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0" windowWidth="20610" windowHeight="11640" tabRatio="867" activeTab="0"/>
  </bookViews>
  <sheets>
    <sheet name="17-23 Dec' 10 (WK 51)" sheetId="1" r:id="rId1"/>
    <sheet name="01 Jan'-23 Dec' 10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'01 Jan'-23 Dec' 10 (Annual)'!#REF!</definedName>
    <definedName name="_xlnm.Print_Area" localSheetId="0">'17-23 Dec'' 10 (WK 51)'!$A$1:$N$81</definedName>
  </definedNames>
  <calcPr fullCalcOnLoad="1"/>
</workbook>
</file>

<file path=xl/sharedStrings.xml><?xml version="1.0" encoding="utf-8"?>
<sst xmlns="http://schemas.openxmlformats.org/spreadsheetml/2006/main" count="2403" uniqueCount="502">
  <si>
    <t>DEVIL</t>
  </si>
  <si>
    <t>PRENSESİN UYKUSU (LOCAL)</t>
  </si>
  <si>
    <t>DUE DATE</t>
  </si>
  <si>
    <t>VAMPIRES SUCK</t>
  </si>
  <si>
    <t>YOU AGAIN</t>
  </si>
  <si>
    <t>UÇAN MELEKLER (LOCAL)</t>
  </si>
  <si>
    <t>JOENJOY (LOCAL)</t>
  </si>
  <si>
    <t>NADA FİLM</t>
  </si>
  <si>
    <r>
      <t xml:space="preserve">İKİ DİL BİR BAVUL </t>
    </r>
    <r>
      <rPr>
        <b/>
        <sz val="10"/>
        <color indexed="10"/>
        <rFont val="Trebuchet MS"/>
        <family val="0"/>
      </rPr>
      <t>(LOCAL)</t>
    </r>
  </si>
  <si>
    <r>
      <t xml:space="preserve">KOLPAÇİNO </t>
    </r>
    <r>
      <rPr>
        <b/>
        <sz val="10"/>
        <color indexed="10"/>
        <rFont val="Trebuchet MS"/>
        <family val="0"/>
      </rPr>
      <t>(LOCAL)</t>
    </r>
  </si>
  <si>
    <r>
      <t xml:space="preserve">PANDORA'NIN KUTUSU </t>
    </r>
    <r>
      <rPr>
        <b/>
        <sz val="10"/>
        <color indexed="10"/>
        <rFont val="Trebuchet MS"/>
        <family val="0"/>
      </rPr>
      <t>(LOCAL)</t>
    </r>
  </si>
  <si>
    <r>
      <t>*Sorted according to film titles - Film isimleri sütununa göre sıralanmı</t>
    </r>
    <r>
      <rPr>
        <i/>
        <sz val="9"/>
        <color indexed="23"/>
        <rFont val="Didot"/>
        <family val="0"/>
      </rPr>
      <t>ş</t>
    </r>
    <r>
      <rPr>
        <i/>
        <sz val="9"/>
        <color indexed="23"/>
        <rFont val="Administer"/>
        <family val="0"/>
      </rPr>
      <t>tır.</t>
    </r>
  </si>
  <si>
    <r>
      <t>Yukarıdaki Turkey's Weekend Market Datas adlı tablo Türkiye'deki film da</t>
    </r>
    <r>
      <rPr>
        <i/>
        <sz val="9"/>
        <color indexed="23"/>
        <rFont val="Didot"/>
        <family val="0"/>
      </rPr>
      <t>ğ</t>
    </r>
    <r>
      <rPr>
        <i/>
        <sz val="9"/>
        <color indexed="23"/>
        <rFont val="Administer"/>
        <family val="0"/>
      </rPr>
      <t xml:space="preserve">ıtıcısı </t>
    </r>
    <r>
      <rPr>
        <i/>
        <sz val="9"/>
        <color indexed="23"/>
        <rFont val="Didot"/>
        <family val="0"/>
      </rPr>
      <t>ş</t>
    </r>
    <r>
      <rPr>
        <i/>
        <sz val="9"/>
        <color indexed="23"/>
        <rFont val="Administer"/>
        <family val="0"/>
      </rPr>
      <t>irketlerin ülkemizde yukarıda belirtilen haftalarda da</t>
    </r>
    <r>
      <rPr>
        <i/>
        <sz val="9"/>
        <color indexed="23"/>
        <rFont val="Didot"/>
        <family val="0"/>
      </rPr>
      <t>ğ</t>
    </r>
    <r>
      <rPr>
        <i/>
        <sz val="9"/>
        <color indexed="23"/>
        <rFont val="Administer"/>
        <family val="0"/>
      </rPr>
      <t>ıttıkları sinema filmlerinin gene yukarıda belirttikleri haftalarda ula</t>
    </r>
    <r>
      <rPr>
        <i/>
        <sz val="9"/>
        <color indexed="23"/>
        <rFont val="Didot"/>
        <family val="0"/>
      </rPr>
      <t>ş</t>
    </r>
    <r>
      <rPr>
        <i/>
        <sz val="9"/>
        <color indexed="23"/>
        <rFont val="Administer"/>
        <family val="0"/>
      </rPr>
      <t>tıkları seyirci sayısını ve yaptıkları hasılatı göstermektedir. Liste ve ekinde bulunan di</t>
    </r>
    <r>
      <rPr>
        <i/>
        <sz val="9"/>
        <color indexed="23"/>
        <rFont val="Didot"/>
        <family val="0"/>
      </rPr>
      <t>ğ</t>
    </r>
    <r>
      <rPr>
        <i/>
        <sz val="9"/>
        <color indexed="23"/>
        <rFont val="Administer"/>
        <family val="0"/>
      </rPr>
      <t>er sayfalar bütün da</t>
    </r>
    <r>
      <rPr>
        <i/>
        <sz val="9"/>
        <color indexed="23"/>
        <rFont val="Didot"/>
        <family val="0"/>
      </rPr>
      <t>ğ</t>
    </r>
    <r>
      <rPr>
        <i/>
        <sz val="9"/>
        <color indexed="23"/>
        <rFont val="Administer"/>
        <family val="0"/>
      </rPr>
      <t>ıtıcıların ortak görü</t>
    </r>
    <r>
      <rPr>
        <i/>
        <sz val="9"/>
        <color indexed="23"/>
        <rFont val="Didot"/>
        <family val="0"/>
      </rPr>
      <t>ş</t>
    </r>
    <r>
      <rPr>
        <i/>
        <sz val="9"/>
        <color indexed="23"/>
        <rFont val="Administer"/>
        <family val="0"/>
      </rPr>
      <t>ü sonucunda Haftalık Antrakt Sinema Gazetesi'ne hazırlattırılmaktadır. Haftalık Antrakt Sinema Gazetesi yukarıdaki ve ekindeki tabloları da</t>
    </r>
    <r>
      <rPr>
        <i/>
        <sz val="9"/>
        <color indexed="23"/>
        <rFont val="Didot"/>
        <family val="0"/>
      </rPr>
      <t>ğ</t>
    </r>
    <r>
      <rPr>
        <i/>
        <sz val="9"/>
        <color indexed="23"/>
        <rFont val="Administer"/>
        <family val="0"/>
      </rPr>
      <t>ıtımcı firmalardan gönderilen özel bilgileri bir araya getirerek olu</t>
    </r>
    <r>
      <rPr>
        <i/>
        <sz val="9"/>
        <color indexed="23"/>
        <rFont val="Didot"/>
        <family val="0"/>
      </rPr>
      <t>ş</t>
    </r>
    <r>
      <rPr>
        <i/>
        <sz val="9"/>
        <color indexed="23"/>
        <rFont val="Administer"/>
        <family val="0"/>
      </rPr>
      <t>turmaktadır. Yukarıdaki ve ekindeki tabloların içerdi</t>
    </r>
    <r>
      <rPr>
        <i/>
        <sz val="9"/>
        <color indexed="23"/>
        <rFont val="Didot"/>
        <family val="0"/>
      </rPr>
      <t>ğ</t>
    </r>
    <r>
      <rPr>
        <i/>
        <sz val="9"/>
        <color indexed="23"/>
        <rFont val="Administer"/>
        <family val="0"/>
      </rPr>
      <t>i veriler ço</t>
    </r>
    <r>
      <rPr>
        <i/>
        <sz val="9"/>
        <color indexed="23"/>
        <rFont val="Didot"/>
        <family val="0"/>
      </rPr>
      <t>ğ</t>
    </r>
    <r>
      <rPr>
        <i/>
        <sz val="9"/>
        <color indexed="23"/>
        <rFont val="Administer"/>
        <family val="0"/>
      </rPr>
      <t>altılamaz, satılamaz. Alıntı veya kopyalama yapılırken Haftalık Antrakt Sinema Gazetesi'nden izin alınmalıdır.</t>
    </r>
  </si>
  <si>
    <r>
      <t>*Sorted according to cumulative G.B.O. - Toplam hasılat sütununa göre sıralanmı</t>
    </r>
    <r>
      <rPr>
        <i/>
        <sz val="9"/>
        <color indexed="23"/>
        <rFont val="Didot"/>
        <family val="0"/>
      </rPr>
      <t>ş</t>
    </r>
    <r>
      <rPr>
        <i/>
        <sz val="9"/>
        <color indexed="23"/>
        <rFont val="Administer"/>
        <family val="0"/>
      </rPr>
      <t>tır.</t>
    </r>
  </si>
  <si>
    <r>
      <t>*Sorted according to Weekend Total G.B.O. - Haftalık toplam hasılat sütununa göre sıralanmı</t>
    </r>
    <r>
      <rPr>
        <i/>
        <sz val="9"/>
        <color indexed="23"/>
        <rFont val="Didot"/>
        <family val="0"/>
      </rPr>
      <t>ş</t>
    </r>
    <r>
      <rPr>
        <i/>
        <sz val="9"/>
        <color indexed="23"/>
        <rFont val="Administer"/>
        <family val="0"/>
      </rPr>
      <t>tır.</t>
    </r>
  </si>
  <si>
    <r>
      <t>http://www.antraktsinema.com</t>
    </r>
    <r>
      <rPr>
        <sz val="12"/>
        <color indexed="47"/>
        <rFont val="Gadget"/>
        <family val="0"/>
      </rPr>
      <t xml:space="preserve"> - Weekly Movie Magazine Antrakt presents - Haftalık Antrakt Sinema Gazetesi sunar</t>
    </r>
  </si>
  <si>
    <t>"Turkey's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</si>
  <si>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SAW 3D</t>
  </si>
  <si>
    <t>SAMMY'S ADVENTURES</t>
  </si>
  <si>
    <r>
      <t xml:space="preserve">NEŞELİ HAYAT </t>
    </r>
    <r>
      <rPr>
        <sz val="10"/>
        <color indexed="10"/>
        <rFont val="Trebuchet MS"/>
        <family val="0"/>
      </rPr>
      <t>(LOCAL)</t>
    </r>
  </si>
  <si>
    <r>
      <t>NEŞELİ HAYAT</t>
    </r>
    <r>
      <rPr>
        <sz val="10"/>
        <color indexed="10"/>
        <rFont val="Trebuchet MS"/>
        <family val="0"/>
      </rPr>
      <t xml:space="preserve"> (LOCAL)</t>
    </r>
  </si>
  <si>
    <r>
      <t xml:space="preserve">NOKTA </t>
    </r>
    <r>
      <rPr>
        <sz val="10"/>
        <color indexed="10"/>
        <rFont val="Trebuchet MS"/>
        <family val="0"/>
      </rPr>
      <t>(LOCAL)</t>
    </r>
  </si>
  <si>
    <r>
      <t>ORADA</t>
    </r>
    <r>
      <rPr>
        <sz val="10"/>
        <color indexed="10"/>
        <rFont val="Trebuchet MS"/>
        <family val="0"/>
      </rPr>
      <t xml:space="preserve"> (LOCAL)</t>
    </r>
  </si>
  <si>
    <r>
      <t xml:space="preserve">ORADA </t>
    </r>
    <r>
      <rPr>
        <sz val="10"/>
        <color indexed="10"/>
        <rFont val="Trebuchet MS"/>
        <family val="0"/>
      </rPr>
      <t>(LOCAL)</t>
    </r>
  </si>
  <si>
    <r>
      <t xml:space="preserve">SİZİ SEVİYORUM </t>
    </r>
    <r>
      <rPr>
        <b/>
        <sz val="10"/>
        <color indexed="10"/>
        <rFont val="Trebuchet MS"/>
        <family val="0"/>
      </rPr>
      <t>(LOCAL)</t>
    </r>
  </si>
  <si>
    <r>
      <t xml:space="preserve">SON BULUŞMA </t>
    </r>
    <r>
      <rPr>
        <sz val="10"/>
        <color indexed="10"/>
        <rFont val="Trebuchet MS"/>
        <family val="0"/>
      </rPr>
      <t>(LOCAL)</t>
    </r>
  </si>
  <si>
    <r>
      <t xml:space="preserve">SONBAHAR </t>
    </r>
    <r>
      <rPr>
        <b/>
        <sz val="10"/>
        <color indexed="10"/>
        <rFont val="Trebuchet MS"/>
        <family val="0"/>
      </rPr>
      <t>(LOCAL)</t>
    </r>
  </si>
  <si>
    <t>EJDER KAPANI (LOCAL)</t>
  </si>
  <si>
    <t>ROMANTİK KOMEDİ (LOCAL)</t>
  </si>
  <si>
    <t>WALTZ WITH BASHIR</t>
  </si>
  <si>
    <t>ETZ LEMON</t>
  </si>
  <si>
    <t>PARADISE NOW</t>
  </si>
  <si>
    <t>BAŞKA DİLDE AŞK</t>
  </si>
  <si>
    <t>DABBE 2</t>
  </si>
  <si>
    <t>SORCERER’S APPRENTICE</t>
  </si>
  <si>
    <t>40</t>
  </si>
  <si>
    <t>SEX AND THE CITY 2</t>
  </si>
  <si>
    <t>ORDINARY PEOPLE</t>
  </si>
  <si>
    <t>SPLICE</t>
  </si>
  <si>
    <t>SALT</t>
  </si>
  <si>
    <t>BEYAZ MELEK</t>
  </si>
  <si>
    <t>7 KOCALI HÜRMÜZ</t>
  </si>
  <si>
    <t>PAZAR: BİR TİCARET MASALI</t>
  </si>
  <si>
    <t>[REC] 2</t>
  </si>
  <si>
    <t>ALVIN AND THE CHIPMUNKS 2</t>
  </si>
  <si>
    <r>
      <t xml:space="preserve">HAYAT VAR </t>
    </r>
    <r>
      <rPr>
        <sz val="10"/>
        <color indexed="10"/>
        <rFont val="Trebuchet MS"/>
        <family val="0"/>
      </rPr>
      <t>(LOCAL)</t>
    </r>
  </si>
  <si>
    <r>
      <t xml:space="preserve">HAYATIN TUZU </t>
    </r>
    <r>
      <rPr>
        <sz val="10"/>
        <color indexed="10"/>
        <rFont val="Trebuchet MS"/>
        <family val="0"/>
      </rPr>
      <t>(LOCAL)</t>
    </r>
  </si>
  <si>
    <r>
      <t xml:space="preserve">İKİ ÇİZGİ </t>
    </r>
    <r>
      <rPr>
        <sz val="10"/>
        <color indexed="10"/>
        <rFont val="Trebuchet MS"/>
        <family val="0"/>
      </rPr>
      <t>(LOCAL)</t>
    </r>
  </si>
  <si>
    <r>
      <t>İNCİR ÇEKİRDEĞİ</t>
    </r>
    <r>
      <rPr>
        <sz val="10"/>
        <color indexed="10"/>
        <rFont val="Trebuchet MS"/>
        <family val="0"/>
      </rPr>
      <t xml:space="preserve"> (LOCAL)</t>
    </r>
  </si>
  <si>
    <r>
      <t xml:space="preserve">İNCİR ÇEKİRDEĞİ </t>
    </r>
    <r>
      <rPr>
        <sz val="10"/>
        <color indexed="10"/>
        <rFont val="Trebuchet MS"/>
        <family val="0"/>
      </rPr>
      <t>(LOCAL)</t>
    </r>
  </si>
  <si>
    <r>
      <t>KAMPÜSTE ÇIPLAK AYAKLAR</t>
    </r>
    <r>
      <rPr>
        <sz val="10"/>
        <color indexed="10"/>
        <rFont val="Trebuchet MS"/>
        <family val="0"/>
      </rPr>
      <t xml:space="preserve"> (LOCAL)</t>
    </r>
  </si>
  <si>
    <r>
      <t xml:space="preserve">KAMPÜSTE ÇIPLAK AYAKLAR </t>
    </r>
    <r>
      <rPr>
        <sz val="10"/>
        <color indexed="10"/>
        <rFont val="Trebuchet MS"/>
        <family val="0"/>
      </rPr>
      <t>(LOCAL)</t>
    </r>
  </si>
  <si>
    <r>
      <t xml:space="preserve">KANAL-İ-ZASYON </t>
    </r>
    <r>
      <rPr>
        <sz val="10"/>
        <color indexed="10"/>
        <rFont val="Trebuchet MS"/>
        <family val="0"/>
      </rPr>
      <t>(LOCAL)</t>
    </r>
  </si>
  <si>
    <r>
      <t>http://www.antraktsinema.com</t>
    </r>
    <r>
      <rPr>
        <sz val="12"/>
        <color indexed="47"/>
        <rFont val="Gadget"/>
        <family val="0"/>
      </rPr>
      <t xml:space="preserve"> - Weekly Movie Magazine Antrakt presents - Haftalık Antrakt Sinema Gazetesi sunar - </t>
    </r>
    <r>
      <rPr>
        <sz val="12"/>
        <color indexed="10"/>
        <rFont val="Gadget"/>
        <family val="0"/>
      </rPr>
      <t>http://www.antraktsinema.com</t>
    </r>
  </si>
  <si>
    <t>BLUE ELEPHANT, THE</t>
  </si>
  <si>
    <t>15</t>
  </si>
  <si>
    <r>
      <t xml:space="preserve">BAŞKA DİLDE AŞK </t>
    </r>
    <r>
      <rPr>
        <b/>
        <sz val="10"/>
        <color indexed="10"/>
        <rFont val="Trebuchet MS"/>
        <family val="0"/>
      </rPr>
      <t>(LOCAL)</t>
    </r>
  </si>
  <si>
    <r>
      <t xml:space="preserve">BORNOVA BORNOVA </t>
    </r>
    <r>
      <rPr>
        <b/>
        <sz val="10"/>
        <color indexed="10"/>
        <rFont val="Trebuchet MS"/>
        <family val="0"/>
      </rPr>
      <t>(LOCAL)</t>
    </r>
  </si>
  <si>
    <r>
      <t xml:space="preserve">DABBE 2 </t>
    </r>
    <r>
      <rPr>
        <b/>
        <sz val="10"/>
        <color indexed="10"/>
        <rFont val="Trebuchet MS"/>
        <family val="0"/>
      </rPr>
      <t>(LOCAL)</t>
    </r>
  </si>
  <si>
    <r>
      <t xml:space="preserve">DELİ DELİ OLMA </t>
    </r>
    <r>
      <rPr>
        <sz val="10"/>
        <color indexed="10"/>
        <rFont val="Trebuchet MS"/>
        <family val="0"/>
      </rPr>
      <t>(LOCAL)</t>
    </r>
  </si>
  <si>
    <r>
      <t xml:space="preserve">GECENİN KANATLARI </t>
    </r>
    <r>
      <rPr>
        <sz val="10"/>
        <color indexed="10"/>
        <rFont val="Trebuchet MS"/>
        <family val="0"/>
      </rPr>
      <t>(LOCAL)</t>
    </r>
  </si>
  <si>
    <r>
      <t>GİZLİ YÜZ</t>
    </r>
    <r>
      <rPr>
        <sz val="10"/>
        <color indexed="10"/>
        <rFont val="Trebuchet MS"/>
        <family val="0"/>
      </rPr>
      <t xml:space="preserve"> (LOCAL)</t>
    </r>
  </si>
  <si>
    <r>
      <t xml:space="preserve">GÜNEŞİ GÖRDÜM </t>
    </r>
    <r>
      <rPr>
        <sz val="10"/>
        <color indexed="10"/>
        <rFont val="Trebuchet MS"/>
        <family val="0"/>
      </rPr>
      <t>(LOCAL)</t>
    </r>
  </si>
  <si>
    <r>
      <t xml:space="preserve">GÜNEŞİN OĞLU </t>
    </r>
    <r>
      <rPr>
        <sz val="10"/>
        <color indexed="10"/>
        <rFont val="Trebuchet MS"/>
        <family val="0"/>
      </rPr>
      <t>(LOCAL)</t>
    </r>
  </si>
  <si>
    <r>
      <t xml:space="preserve">GÜZ SANCISI </t>
    </r>
    <r>
      <rPr>
        <sz val="10"/>
        <color indexed="10"/>
        <rFont val="Trebuchet MS"/>
        <family val="0"/>
      </rPr>
      <t>(LOCAL)</t>
    </r>
  </si>
  <si>
    <t>DERSİMİZ: ATATÜRK (LOCAL)</t>
  </si>
  <si>
    <t>EŞREFPAŞALILAR (LOCAL)</t>
  </si>
  <si>
    <t>AY LAV YU (LOCAL)</t>
  </si>
  <si>
    <t>AŞKIN İKİNCİ YARISI (LOCAL)</t>
  </si>
  <si>
    <t>MAHPEYKER: KÖSEM SULTAN (LOCAL)</t>
  </si>
  <si>
    <t>CEHENNEM 3D (LOCAL)</t>
  </si>
  <si>
    <t>HERKES Mİ ALDATIR? (LOCAL)</t>
  </si>
  <si>
    <t>GELECEKTEN BİR GÜN (LOCAL)</t>
  </si>
  <si>
    <t>ANTICHRIST</t>
  </si>
  <si>
    <t>NANNY MC PHEE AND THE BIG BANG</t>
  </si>
  <si>
    <t>L'AFFAIRE FAREWELL</t>
  </si>
  <si>
    <t>THE LAST SONG</t>
  </si>
  <si>
    <t>THE BOX</t>
  </si>
  <si>
    <t>AZİZİYE TABYALARI NENE HATUN (LOCAL)</t>
  </si>
  <si>
    <t>THE JONESES</t>
  </si>
  <si>
    <t>IN GOTTES NAMEN</t>
  </si>
  <si>
    <t>SES (LOCAL)</t>
  </si>
  <si>
    <t>EN MUTLU OLDUĞUM YER (LOCAL)</t>
  </si>
  <si>
    <t>HARBİ DEFİNE (LOCAL)</t>
  </si>
  <si>
    <t>BAL (LOCAL)</t>
  </si>
  <si>
    <t>A NIGHTMARE ON ELM STREET</t>
  </si>
  <si>
    <t>3 HARFLİLER: MARİD (LOCAL)</t>
  </si>
  <si>
    <t>THE SOCIAL NETWORK</t>
  </si>
  <si>
    <t>THE AMERICAN</t>
  </si>
  <si>
    <t>THE BOUNTY HUNTER</t>
  </si>
  <si>
    <t>THE KARATE KID</t>
  </si>
  <si>
    <t>THE A-TEAM</t>
  </si>
  <si>
    <t>THE REBOUND</t>
  </si>
  <si>
    <t>LE PETIT NICOLAS</t>
  </si>
  <si>
    <t>VAY ARKADAŞ (LOCAL)</t>
  </si>
  <si>
    <t>THE BACK-UP PLAN</t>
  </si>
  <si>
    <t>THE GIRL WITH THE DRAGON TATTOO</t>
  </si>
  <si>
    <t>L'IMMORTEL</t>
  </si>
  <si>
    <t>THE STONING OF SORAYA M.</t>
  </si>
  <si>
    <t>SİYAH BEYAZ (LOCAL)</t>
  </si>
  <si>
    <t>THE OTHER GUYS</t>
  </si>
  <si>
    <t>SENRITSU MEIKYU 3D</t>
  </si>
  <si>
    <t>THE DESCENT: PART 2</t>
  </si>
  <si>
    <t>THE COLLECTOR</t>
  </si>
  <si>
    <t>THE IMAGINARIUM OF DOCTOR PARNASSUS</t>
  </si>
  <si>
    <t>THE LAST STATION</t>
  </si>
  <si>
    <t>MEN WHO STARE AT GOATS</t>
  </si>
  <si>
    <t>AN EDUCATION</t>
  </si>
  <si>
    <t>THE CRAZIES</t>
  </si>
  <si>
    <t>ARTHUR ET LA VENGEANCE DE MALTAZARD</t>
  </si>
  <si>
    <t>THE LOVELY BONES</t>
  </si>
  <si>
    <t>PAK PANTER (LOCAL)</t>
  </si>
  <si>
    <t>THE LAST EXORCISM</t>
  </si>
  <si>
    <t>PUS (LOCAL)</t>
  </si>
  <si>
    <t>THE GOOD HEART</t>
  </si>
  <si>
    <t>LOONG BOONMEE RALEUK CHAT</t>
  </si>
  <si>
    <t>DEUSYNLIGE</t>
  </si>
  <si>
    <t>THE COVE</t>
  </si>
  <si>
    <t>DOĞUŞ YAYIN</t>
  </si>
  <si>
    <r>
      <t xml:space="preserve">NEFES: VATAN SAĞOLSUN </t>
    </r>
    <r>
      <rPr>
        <b/>
        <sz val="10"/>
        <color indexed="10"/>
        <rFont val="Trebuchet MS"/>
        <family val="0"/>
      </rPr>
      <t>(LOCAL)</t>
    </r>
  </si>
  <si>
    <t>Screen Avg. (Adm.)</t>
  </si>
  <si>
    <t>Release Date</t>
  </si>
  <si>
    <t>Week in Release</t>
  </si>
  <si>
    <t>Avg. Ticket Price</t>
  </si>
  <si>
    <t>OZEN-UMUT</t>
  </si>
  <si>
    <t>Türkiye Distributor</t>
  </si>
  <si>
    <t>Release
Date</t>
  </si>
  <si>
    <t># of
Prints</t>
  </si>
  <si>
    <t>Week</t>
  </si>
  <si>
    <t>Cumulative</t>
  </si>
  <si>
    <t>G.B.O.</t>
  </si>
  <si>
    <t>Adm.</t>
  </si>
  <si>
    <t>Avg.
Ticket</t>
  </si>
  <si>
    <t xml:space="preserve">Avg.
Ticket </t>
  </si>
  <si>
    <t># of
Screen</t>
  </si>
  <si>
    <t>NEFES: VATAN SAĞOLSUN</t>
  </si>
  <si>
    <t>KOLPAÇİNO</t>
  </si>
  <si>
    <t>INCEPTION</t>
  </si>
  <si>
    <t>GET HIM TO THE GREEK</t>
  </si>
  <si>
    <t>MOTHER AND CHILD</t>
  </si>
  <si>
    <t>AUSTRALIA</t>
  </si>
  <si>
    <t>NIKO AND THE WAY TO THE STARS</t>
  </si>
  <si>
    <t xml:space="preserve">CLOUDY WITH A CHANCE OF MEATBALLS </t>
  </si>
  <si>
    <r>
      <t xml:space="preserve">KARŞILAŞMA </t>
    </r>
    <r>
      <rPr>
        <sz val="10"/>
        <color indexed="10"/>
        <rFont val="Trebuchet MS"/>
        <family val="0"/>
      </rPr>
      <t>(LOCAL)</t>
    </r>
  </si>
  <si>
    <r>
      <t xml:space="preserve">KELEBEK </t>
    </r>
    <r>
      <rPr>
        <sz val="10"/>
        <color indexed="10"/>
        <rFont val="Trebuchet MS"/>
        <family val="0"/>
      </rPr>
      <t>(LOCAL)</t>
    </r>
  </si>
  <si>
    <r>
      <t>KELEBEK</t>
    </r>
    <r>
      <rPr>
        <sz val="10"/>
        <color indexed="10"/>
        <rFont val="Trebuchet MS"/>
        <family val="0"/>
      </rPr>
      <t xml:space="preserve"> (LOCAL)</t>
    </r>
  </si>
  <si>
    <r>
      <t xml:space="preserve">KISKANMAK </t>
    </r>
    <r>
      <rPr>
        <sz val="10"/>
        <color indexed="10"/>
        <rFont val="Trebuchet MS"/>
        <family val="0"/>
      </rPr>
      <t>(LOCAL)</t>
    </r>
  </si>
  <si>
    <t>SKYLINE</t>
  </si>
  <si>
    <t>UNSTOPPABLE</t>
  </si>
  <si>
    <t>CHAIN LETTER</t>
  </si>
  <si>
    <r>
      <t xml:space="preserve">SONSUZ </t>
    </r>
    <r>
      <rPr>
        <sz val="10"/>
        <color indexed="10"/>
        <rFont val="Trebuchet MS"/>
        <family val="0"/>
      </rPr>
      <t>(LOCAL)</t>
    </r>
  </si>
  <si>
    <r>
      <t>SÜPÜRRR!</t>
    </r>
    <r>
      <rPr>
        <sz val="10"/>
        <color indexed="10"/>
        <rFont val="Trebuchet MS"/>
        <family val="0"/>
      </rPr>
      <t xml:space="preserve"> (LOCAL)</t>
    </r>
  </si>
  <si>
    <r>
      <t xml:space="preserve">SÜPÜRRR! </t>
    </r>
    <r>
      <rPr>
        <sz val="10"/>
        <color indexed="10"/>
        <rFont val="Trebuchet MS"/>
        <family val="0"/>
      </rPr>
      <t>(LOCAL)</t>
    </r>
  </si>
  <si>
    <r>
      <t xml:space="preserve">TATİL KİTABI </t>
    </r>
    <r>
      <rPr>
        <sz val="10"/>
        <color indexed="10"/>
        <rFont val="Trebuchet MS"/>
        <family val="0"/>
      </rPr>
      <t>(LOCAL)</t>
    </r>
  </si>
  <si>
    <r>
      <t xml:space="preserve">TÜRKLER ÇILDIRMIŞ OLMALI </t>
    </r>
    <r>
      <rPr>
        <sz val="10"/>
        <color indexed="10"/>
        <rFont val="Trebuchet MS"/>
        <family val="0"/>
      </rPr>
      <t>(LOCAL)</t>
    </r>
  </si>
  <si>
    <t>YÜREĞİNE SOR (LOCAL)</t>
  </si>
  <si>
    <t>PIRANHA</t>
  </si>
  <si>
    <r>
      <t>ABİMM</t>
    </r>
    <r>
      <rPr>
        <sz val="10"/>
        <color indexed="10"/>
        <rFont val="Trebuchet MS"/>
        <family val="0"/>
      </rPr>
      <t xml:space="preserve"> (LOCAL)</t>
    </r>
  </si>
  <si>
    <r>
      <t xml:space="preserve">ABİMM </t>
    </r>
    <r>
      <rPr>
        <sz val="10"/>
        <color indexed="10"/>
        <rFont val="Trebuchet MS"/>
        <family val="0"/>
      </rPr>
      <t>(LOCAL)</t>
    </r>
  </si>
  <si>
    <r>
      <t xml:space="preserve">ACI </t>
    </r>
    <r>
      <rPr>
        <sz val="10"/>
        <color indexed="10"/>
        <rFont val="Trebuchet MS"/>
        <family val="0"/>
      </rPr>
      <t>(LOCAL)</t>
    </r>
  </si>
  <si>
    <r>
      <t xml:space="preserve">ACI AŞK </t>
    </r>
    <r>
      <rPr>
        <sz val="10"/>
        <color indexed="10"/>
        <rFont val="Trebuchet MS"/>
        <family val="0"/>
      </rPr>
      <t>(LOCAL)</t>
    </r>
  </si>
  <si>
    <r>
      <t>ACI AŞK</t>
    </r>
    <r>
      <rPr>
        <sz val="10"/>
        <color indexed="10"/>
        <rFont val="Trebuchet MS"/>
        <family val="0"/>
      </rPr>
      <t xml:space="preserve"> (LOCAL)</t>
    </r>
  </si>
  <si>
    <r>
      <t xml:space="preserve">ADINI SEN KOY </t>
    </r>
    <r>
      <rPr>
        <sz val="10"/>
        <color indexed="10"/>
        <rFont val="Trebuchet MS"/>
        <family val="0"/>
      </rPr>
      <t>(LOCAL)</t>
    </r>
  </si>
  <si>
    <r>
      <t>ADINI SEN KOY</t>
    </r>
    <r>
      <rPr>
        <sz val="10"/>
        <color indexed="10"/>
        <rFont val="Trebuchet MS"/>
        <family val="0"/>
      </rPr>
      <t xml:space="preserve"> (LOCAL)</t>
    </r>
  </si>
  <si>
    <r>
      <t xml:space="preserve">AKREBİN YOLCULUĞU </t>
    </r>
    <r>
      <rPr>
        <sz val="10"/>
        <color indexed="10"/>
        <rFont val="Trebuchet MS"/>
        <family val="0"/>
      </rPr>
      <t>(LOCAL)</t>
    </r>
  </si>
  <si>
    <r>
      <t>ANAYURT OTELİ</t>
    </r>
    <r>
      <rPr>
        <sz val="10"/>
        <color indexed="10"/>
        <rFont val="Trebuchet MS"/>
        <family val="0"/>
      </rPr>
      <t xml:space="preserve"> (LOCAL)</t>
    </r>
  </si>
  <si>
    <r>
      <t xml:space="preserve">ASK GELIYORUM DEMEZ </t>
    </r>
    <r>
      <rPr>
        <b/>
        <sz val="10"/>
        <color indexed="10"/>
        <rFont val="Trebuchet MS"/>
        <family val="0"/>
      </rPr>
      <t>(LOCAL)</t>
    </r>
  </si>
  <si>
    <t>Admission</t>
  </si>
  <si>
    <t>Title</t>
  </si>
  <si>
    <t>PINEMA</t>
  </si>
  <si>
    <t>PARIS</t>
  </si>
  <si>
    <t>G.B.O. YTL</t>
  </si>
  <si>
    <t>GNOMES AND TROLLS: THE SECRET CHAMBER</t>
  </si>
  <si>
    <t>SECRET OF MOONACRE, THE</t>
  </si>
  <si>
    <t>8</t>
  </si>
  <si>
    <t>HURT LOCKER</t>
  </si>
  <si>
    <t>TAKING WOODSOCK</t>
  </si>
  <si>
    <t>BOLT</t>
  </si>
  <si>
    <t>VALKYRIE</t>
  </si>
  <si>
    <t>DIARY OF A NYMPHOMANIAC</t>
  </si>
  <si>
    <t>PLANET 51</t>
  </si>
  <si>
    <t>ONDINE</t>
  </si>
  <si>
    <t>TALE 52</t>
  </si>
  <si>
    <t>TWILIGHT</t>
  </si>
  <si>
    <t>DUKA FİLM</t>
  </si>
  <si>
    <t>DELİ DUMRUL: KURTLAR KUŞLAR ALEMINDE (LOCAL)</t>
  </si>
  <si>
    <t>EV (LOCAL)</t>
  </si>
  <si>
    <t>RİNA (LOCAL)</t>
  </si>
  <si>
    <t>MIN DIT / MIN DIT: THE CHILDREN OF DIYARBAKIR</t>
  </si>
  <si>
    <t>DIE TUR</t>
  </si>
  <si>
    <t>DIE FREMDE</t>
  </si>
  <si>
    <t>LES AVENTURES EXTRAORDINAIRES D'ADELE BLANC-SEC</t>
  </si>
  <si>
    <t>A SINGLE MAN</t>
  </si>
  <si>
    <t>LE CONCERT</t>
  </si>
  <si>
    <t>THE SPY NEXT DOOR</t>
  </si>
  <si>
    <t>A SERIOUS MAN</t>
  </si>
  <si>
    <t>KUBİLAY (LOCAL)</t>
  </si>
  <si>
    <t>SNARVEIVEN</t>
  </si>
  <si>
    <t>YOGA HAKWON</t>
  </si>
  <si>
    <t>SELVİ BOYLUM AL YAZMALIM (LOCAL)</t>
  </si>
  <si>
    <t>ZEYTİN DALI - DENİZDEN GELEN (LOCAL)</t>
  </si>
  <si>
    <t>O KUL - HAYAL BİLE ETME (LOCAL)</t>
  </si>
  <si>
    <t>CAMCI - ADI AŞK BU EZİYETİN (LOCAL)</t>
  </si>
  <si>
    <t>THE YOUNG VICTORIA</t>
  </si>
  <si>
    <t>DAMSALA DAWİ: SEWAXAN (LOCAL)</t>
  </si>
  <si>
    <t>KARA KÖPEKELR HAVLARKEN (LOCAL)</t>
  </si>
  <si>
    <t>EDEN A L'QUEST</t>
  </si>
  <si>
    <t>LE REFUGE</t>
  </si>
  <si>
    <t>LE HERISSON</t>
  </si>
  <si>
    <t>TENGRI</t>
  </si>
  <si>
    <t>WAVE, THE</t>
  </si>
  <si>
    <r>
      <t>KONAK</t>
    </r>
    <r>
      <rPr>
        <b/>
        <sz val="10"/>
        <color indexed="10"/>
        <rFont val="Trebuchet MS"/>
        <family val="0"/>
      </rPr>
      <t xml:space="preserve"> (LOCAL)</t>
    </r>
  </si>
  <si>
    <r>
      <t xml:space="preserve">KURTLAR VADİSİ GLADİO </t>
    </r>
    <r>
      <rPr>
        <sz val="10"/>
        <color indexed="10"/>
        <rFont val="Trebuchet MS"/>
        <family val="0"/>
      </rPr>
      <t>(LOCAL)</t>
    </r>
  </si>
  <si>
    <r>
      <t>MEZUNİYET</t>
    </r>
    <r>
      <rPr>
        <sz val="10"/>
        <color indexed="10"/>
        <rFont val="Trebuchet MS"/>
        <family val="0"/>
      </rPr>
      <t xml:space="preserve"> (LOCAL)</t>
    </r>
  </si>
  <si>
    <r>
      <t xml:space="preserve">MOMMO </t>
    </r>
    <r>
      <rPr>
        <sz val="10"/>
        <color indexed="10"/>
        <rFont val="Trebuchet MS"/>
        <family val="0"/>
      </rPr>
      <t>(LOCAL)</t>
    </r>
  </si>
  <si>
    <t>TWILIGHT SAGA: NEW MOON</t>
  </si>
  <si>
    <t>CHRISTMAS CAROL</t>
  </si>
  <si>
    <t>CLOUDY WITH A CHANCE OF MEATBALLS</t>
  </si>
  <si>
    <t>DON'T LOOK BACK</t>
  </si>
  <si>
    <t>DUST OF TIME, THE</t>
  </si>
  <si>
    <t>SAW VI</t>
  </si>
  <si>
    <t>MFP-CINEGROUP</t>
  </si>
  <si>
    <t>AVATAR</t>
  </si>
  <si>
    <t>COUPLES RETREAT</t>
  </si>
  <si>
    <t>ZOMBIELAND</t>
  </si>
  <si>
    <t xml:space="preserve">ALVIN &amp; THE CHIPMUNKS: THE SQUEAKQUEL </t>
  </si>
  <si>
    <t>SOUL KITCHEN</t>
  </si>
  <si>
    <t>LAW ABIDING CITIZEN</t>
  </si>
  <si>
    <t xml:space="preserve">BAKJWI </t>
  </si>
  <si>
    <t>NIKO - LENTAJAN POIKA</t>
  </si>
  <si>
    <t>LOS ABRAZOS ROTOS</t>
  </si>
  <si>
    <t>INVICTUS</t>
  </si>
  <si>
    <t>WALL-E</t>
  </si>
  <si>
    <t>MAN WHO LOVES, THE</t>
  </si>
  <si>
    <t>DUKA FILM</t>
  </si>
  <si>
    <t>10</t>
  </si>
  <si>
    <t>5</t>
  </si>
  <si>
    <t>VIAGGIO SEGRETO</t>
  </si>
  <si>
    <t>BELGE FILM</t>
  </si>
  <si>
    <t>OPEN SEASON 2</t>
  </si>
  <si>
    <t>11</t>
  </si>
  <si>
    <t>1</t>
  </si>
  <si>
    <t>17</t>
  </si>
  <si>
    <t>DRAG ME TO HELL</t>
  </si>
  <si>
    <t>CAPITALISM: A LOVE STORY</t>
  </si>
  <si>
    <t>Weeks in Release</t>
  </si>
  <si>
    <t>Distributor</t>
  </si>
  <si>
    <t>ZACK AND MIRI MAKE A PORNO</t>
  </si>
  <si>
    <t>GROWN UPS</t>
  </si>
  <si>
    <t>GOSA</t>
  </si>
  <si>
    <t>PRINCE OF PERSIA: THE SANDS OF TIME</t>
  </si>
  <si>
    <r>
      <t>TÜRKLER ÇILDIRMIŞ OLMALI</t>
    </r>
    <r>
      <rPr>
        <sz val="10"/>
        <color indexed="10"/>
        <rFont val="Trebuchet MS"/>
        <family val="0"/>
      </rPr>
      <t xml:space="preserve"> (LOCAL)</t>
    </r>
  </si>
  <si>
    <r>
      <t xml:space="preserve">UMUT </t>
    </r>
    <r>
      <rPr>
        <b/>
        <sz val="10"/>
        <color indexed="10"/>
        <rFont val="Trebuchet MS"/>
        <family val="0"/>
      </rPr>
      <t>(LOCAL)</t>
    </r>
  </si>
  <si>
    <r>
      <t xml:space="preserve">UZAK İHTİMAL </t>
    </r>
    <r>
      <rPr>
        <sz val="10"/>
        <color indexed="10"/>
        <rFont val="Trebuchet MS"/>
        <family val="0"/>
      </rPr>
      <t>(LOCAL)</t>
    </r>
  </si>
  <si>
    <r>
      <t>VALİ</t>
    </r>
    <r>
      <rPr>
        <sz val="10"/>
        <color indexed="10"/>
        <rFont val="Trebuchet MS"/>
        <family val="0"/>
      </rPr>
      <t xml:space="preserve"> (LOCAL)</t>
    </r>
  </si>
  <si>
    <r>
      <t xml:space="preserve">VALİ </t>
    </r>
    <r>
      <rPr>
        <sz val="10"/>
        <color indexed="10"/>
        <rFont val="Trebuchet MS"/>
        <family val="0"/>
      </rPr>
      <t>(LOCAL)</t>
    </r>
  </si>
  <si>
    <r>
      <t>VAVİEN</t>
    </r>
    <r>
      <rPr>
        <sz val="10"/>
        <color indexed="10"/>
        <rFont val="Trebuchet MS"/>
        <family val="0"/>
      </rPr>
      <t xml:space="preserve"> (LOCAL)</t>
    </r>
  </si>
  <si>
    <r>
      <t xml:space="preserve">VAVİEN </t>
    </r>
    <r>
      <rPr>
        <sz val="10"/>
        <color indexed="10"/>
        <rFont val="Trebuchet MS"/>
        <family val="0"/>
      </rPr>
      <t>(LOCAL)</t>
    </r>
  </si>
  <si>
    <r>
      <t xml:space="preserve">VİCDAN  </t>
    </r>
    <r>
      <rPr>
        <sz val="10"/>
        <color indexed="10"/>
        <rFont val="Trebuchet MS"/>
        <family val="0"/>
      </rPr>
      <t>(LOCAL)</t>
    </r>
  </si>
  <si>
    <r>
      <t>ZEYTİNİN HAYALİ</t>
    </r>
    <r>
      <rPr>
        <sz val="10"/>
        <color indexed="10"/>
        <rFont val="Trebuchet MS"/>
        <family val="0"/>
      </rPr>
      <t xml:space="preserve"> (LOCAL)</t>
    </r>
  </si>
  <si>
    <t>YAHŞİ BATI (LOCAL)</t>
  </si>
  <si>
    <t>NEW YORK'TA BEŞ MİNARE (LOCAL)</t>
  </si>
  <si>
    <t>THE TWILIGHT SAGA: ECLIPSE</t>
  </si>
  <si>
    <t>THE LAST AIRBENDER</t>
  </si>
  <si>
    <t>THE SORCERER’S APPRENTICE</t>
  </si>
  <si>
    <t>THE EXPENDABLES</t>
  </si>
  <si>
    <t>THE PRINCESS AND THE FROG</t>
  </si>
  <si>
    <t>SAMMY'S AVONTUREN: DE GEHEIME DOORGANG</t>
  </si>
  <si>
    <t>THE BOOK OF ELI</t>
  </si>
  <si>
    <t>THE WOLFMAN</t>
  </si>
  <si>
    <r>
      <t xml:space="preserve">11'E 10 KALA </t>
    </r>
    <r>
      <rPr>
        <sz val="10"/>
        <color indexed="10"/>
        <rFont val="Trebuchet MS"/>
        <family val="0"/>
      </rPr>
      <t>(LOCAL)</t>
    </r>
  </si>
  <si>
    <r>
      <t>120</t>
    </r>
    <r>
      <rPr>
        <sz val="10"/>
        <color indexed="10"/>
        <rFont val="Trebuchet MS"/>
        <family val="0"/>
      </rPr>
      <t xml:space="preserve"> (LOCAL)</t>
    </r>
  </si>
  <si>
    <r>
      <t xml:space="preserve">7 KOCALI HÜRMÜZ </t>
    </r>
    <r>
      <rPr>
        <sz val="10"/>
        <color indexed="10"/>
        <rFont val="Trebuchet MS"/>
        <family val="0"/>
      </rPr>
      <t>(LOCAL)</t>
    </r>
  </si>
  <si>
    <t>BRIDE WARS</t>
  </si>
  <si>
    <t>DESPICABLE ME</t>
  </si>
  <si>
    <t>GOING THE DISTANCE</t>
  </si>
  <si>
    <t>PREDATORS</t>
  </si>
  <si>
    <t>MACHETE</t>
  </si>
  <si>
    <t>JOHN RABE</t>
  </si>
  <si>
    <t>HOODWINKED</t>
  </si>
  <si>
    <t>RESIDENT EVIL: AFTERLIFE</t>
  </si>
  <si>
    <t>DIARY OF A WIMPY KID</t>
  </si>
  <si>
    <t>TOUS A L'OUEST: UNE AVENTURE DE LUCKY LUKE</t>
  </si>
  <si>
    <t>NIGHT AT THE MUSEUM: BATTLE OF THE SMITHSONIAN</t>
  </si>
  <si>
    <t>DEAR JOHN</t>
  </si>
  <si>
    <t>MOON</t>
  </si>
  <si>
    <t>MINE VAGANTI</t>
  </si>
  <si>
    <t>LEAP YEAR</t>
  </si>
  <si>
    <t>AWAY WE GO</t>
  </si>
  <si>
    <t>NAR FILM</t>
  </si>
  <si>
    <t>CINE FİLM</t>
  </si>
  <si>
    <t>KNIGHT AND DAY</t>
  </si>
  <si>
    <t>GARFIELD'S PET FORCE</t>
  </si>
  <si>
    <t>FROM PARIS WITH LOVE</t>
  </si>
  <si>
    <t>TORMENTED</t>
  </si>
  <si>
    <t>RED KIT</t>
  </si>
  <si>
    <t>TOY STORY 3</t>
  </si>
  <si>
    <t>CHLOE</t>
  </si>
  <si>
    <t>CLIENTE</t>
  </si>
  <si>
    <t>CHANTIER</t>
  </si>
  <si>
    <t>İKİ DİL BİR BAVUL</t>
  </si>
  <si>
    <t>BÜŞRA (LOCAL)</t>
  </si>
  <si>
    <t>SON İSTASYON (LOCAL)</t>
  </si>
  <si>
    <t>ADA: ZOMBİLERİN DÜĞÜNÜ (LOCAL)</t>
  </si>
  <si>
    <t>KAVŞAK (LOCAL)</t>
  </si>
  <si>
    <t>ÇOĞUNLUK (LOCAL)</t>
  </si>
  <si>
    <t>KOSMOS (LOCAL)</t>
  </si>
  <si>
    <t>PARAMPARÇA (LOCAL)</t>
  </si>
  <si>
    <t>ANADOLU'NUN KAYIP ŞARKILARI (LOCAL)</t>
  </si>
  <si>
    <t>BÜYÜK OYUN (LOCAL)</t>
  </si>
  <si>
    <t>OFF KARADENİZ (LOCAL)</t>
  </si>
  <si>
    <t>BEŞ ŞEHİR (LOCAL)</t>
  </si>
  <si>
    <t>KAKO Sİ? (LOCAL)</t>
  </si>
  <si>
    <t>KAPTAN FEZA (LOCAL)</t>
  </si>
  <si>
    <t>KÖPRÜDEKİLER  (LOCAL)</t>
  </si>
  <si>
    <t>BAHTI KARA (LOCAL)</t>
  </si>
  <si>
    <t xml:space="preserve">YEO-HAENG-JA </t>
  </si>
  <si>
    <t>WINX CLUB 3D: MAGICAL ADVENTURE</t>
  </si>
  <si>
    <t>L'ILLUSIONNIST</t>
  </si>
  <si>
    <t>INHALE</t>
  </si>
  <si>
    <t>WHATEVER WORKS</t>
  </si>
  <si>
    <t xml:space="preserve">VODITEL DLYA VERY </t>
  </si>
  <si>
    <t>LOOKING FOR ERIC</t>
  </si>
  <si>
    <t>SCAR</t>
  </si>
  <si>
    <t>UIP TÜRKİYE</t>
  </si>
  <si>
    <t>WARNER BROS. TÜRKİYE</t>
  </si>
  <si>
    <t>TİGLON FİLM</t>
  </si>
  <si>
    <t>CINE FILM</t>
  </si>
  <si>
    <t>CHANTIER FILMS</t>
  </si>
  <si>
    <t>AVŞAR FİLM</t>
  </si>
  <si>
    <t>DATE NIGHT</t>
  </si>
  <si>
    <t>RICKY</t>
  </si>
  <si>
    <t>HALLOWEEN II</t>
  </si>
  <si>
    <t>SHREK FOREVER AFTER</t>
  </si>
  <si>
    <t>UIP</t>
  </si>
  <si>
    <t>FROZEN</t>
  </si>
  <si>
    <t>ALFA FİLM</t>
  </si>
  <si>
    <t>ÖZEN FİLM</t>
  </si>
  <si>
    <t>TIGLON FİLM</t>
  </si>
  <si>
    <t>PİNEMA</t>
  </si>
  <si>
    <t>HOW TO TRAIN DRAGON</t>
  </si>
  <si>
    <t>CHUGYEOGJA</t>
  </si>
  <si>
    <t>CLASH OF THE TITANS</t>
  </si>
  <si>
    <t>NINE</t>
  </si>
  <si>
    <t>LEGION</t>
  </si>
  <si>
    <t>ICE AGE 3: DAWN OF THE DINOSAURS</t>
  </si>
  <si>
    <t>LA VERITABLE HISTOIRE DU CHAT BOTTE</t>
  </si>
  <si>
    <t>ALIENS IN THE ATTIC</t>
  </si>
  <si>
    <t>G-FORCE</t>
  </si>
  <si>
    <t>(500) DAYS OF SUMMER</t>
  </si>
  <si>
    <t>UP</t>
  </si>
  <si>
    <t>JENNIFER'S BODY</t>
  </si>
  <si>
    <t>TOTALLY SPIES</t>
  </si>
  <si>
    <t>OZEN FILM</t>
  </si>
  <si>
    <t>DREAD</t>
  </si>
  <si>
    <t>DISTRICT 9</t>
  </si>
  <si>
    <t>TOURNAMENT, THE</t>
  </si>
  <si>
    <t>EDGE OF DARKNESS</t>
  </si>
  <si>
    <t>IT'S COMPLICATED</t>
  </si>
  <si>
    <t>7</t>
  </si>
  <si>
    <t>6</t>
  </si>
  <si>
    <t>FRITT WILT II</t>
  </si>
  <si>
    <t>18</t>
  </si>
  <si>
    <t>I SKONI TOU HRONOU</t>
  </si>
  <si>
    <t>VERTIGE</t>
  </si>
  <si>
    <t>CARRIERS</t>
  </si>
  <si>
    <t>FROZEN RIVER</t>
  </si>
  <si>
    <t>BEDTIME STORIES</t>
  </si>
  <si>
    <t>SHERLOCK HOLMES</t>
  </si>
  <si>
    <t>INKHEART</t>
  </si>
  <si>
    <t>INGLOURIOUS BASTERDS</t>
  </si>
  <si>
    <t>PUBLIC ENEMIES</t>
  </si>
  <si>
    <t>ROADSIDE ROMEO</t>
  </si>
  <si>
    <t>GAMER</t>
  </si>
  <si>
    <t>FAME</t>
  </si>
  <si>
    <t>PONTYPOOL</t>
  </si>
  <si>
    <t>EASTERN PLAYS</t>
  </si>
  <si>
    <t>OLD DOGS</t>
  </si>
  <si>
    <t>ASTRO BOY</t>
  </si>
  <si>
    <t>CATCHER: CAT CITY 2</t>
  </si>
  <si>
    <t>DONKEY XOTE</t>
  </si>
  <si>
    <t>E'ELLERMANI: STORY OF LEO AND LEVA, THE</t>
  </si>
  <si>
    <t>TMNT</t>
  </si>
  <si>
    <t xml:space="preserve">EVERYBODY'S FINE </t>
  </si>
  <si>
    <t>WEGA FILM</t>
  </si>
  <si>
    <t>REMEMBER ME</t>
  </si>
  <si>
    <t>UMUT SANAT</t>
  </si>
  <si>
    <t>GREEN ZONE</t>
  </si>
  <si>
    <t>WHEN IN ROME</t>
  </si>
  <si>
    <t xml:space="preserve">DAS WEISSE BAND </t>
  </si>
  <si>
    <t>BRIGHT STAR</t>
  </si>
  <si>
    <t>IRON MAN 2</t>
  </si>
  <si>
    <t>SUNSHINE BARRY AND THE DISCO WORMS (DISCO ORMENE)</t>
  </si>
  <si>
    <t>ROBIN HOOD</t>
  </si>
  <si>
    <t>TINKER BELL AND THE GREAT FAIRY RESCUE</t>
  </si>
  <si>
    <t>CAMINO</t>
  </si>
  <si>
    <t>OCEAN WORLD 3D</t>
  </si>
  <si>
    <t>WALL STREET: MONEY NEVER SLEEPS</t>
  </si>
  <si>
    <t>CHARLIE ST.CLOUD</t>
  </si>
  <si>
    <t>J'AI TUE MA MERE</t>
  </si>
  <si>
    <t>LEGEND OF THE GUARDIANS</t>
  </si>
  <si>
    <t>OCEAN WORLD</t>
  </si>
  <si>
    <t>MAN ON WIRE</t>
  </si>
  <si>
    <t>EAT PRAY LOVE</t>
  </si>
  <si>
    <t>STONE</t>
  </si>
  <si>
    <t>BURIED</t>
  </si>
  <si>
    <t>MY SOUL TO TAKE</t>
  </si>
  <si>
    <t>WILD TARGET</t>
  </si>
  <si>
    <t>AYLA</t>
  </si>
  <si>
    <t>PERCY JACKSON &amp; THE OLYMPIANS: THE LIGHTNING THIEF</t>
  </si>
  <si>
    <t>PARANORMAL ACTIVITY 2</t>
  </si>
  <si>
    <t>RED</t>
  </si>
  <si>
    <t>CENTURION</t>
  </si>
  <si>
    <t>L'AGE DE RAISON</t>
  </si>
  <si>
    <t>ADRENAL FİLM</t>
  </si>
  <si>
    <t>RECEP İVEDİK 3 (LOCAL)</t>
  </si>
  <si>
    <t>EYYVAH EYVAH (LOCAL)</t>
  </si>
  <si>
    <t>ÇOK FİLİM HAREKETLER BUNLAR (LOCAL)</t>
  </si>
  <si>
    <t>VEDA (LOCAL)</t>
  </si>
  <si>
    <t>KUTSAL DAMACANA 2: İTMEN (LOCAL)</t>
  </si>
  <si>
    <t>CATS AND DOGS: REVENGE OF KITTY GALORE</t>
  </si>
  <si>
    <t>AFTER.LIFE</t>
  </si>
  <si>
    <t>COCO CHANEL AND IGOR STRAVINSKY</t>
  </si>
  <si>
    <t>MEDYAVIZYON</t>
  </si>
  <si>
    <t>LEMON TREE</t>
  </si>
  <si>
    <t>9</t>
  </si>
  <si>
    <t>IMPY'S WONDERLAND</t>
  </si>
  <si>
    <t>NORTH</t>
  </si>
  <si>
    <t>HUNGER</t>
  </si>
  <si>
    <t>MY BEST FRIEND'S GIRL</t>
  </si>
  <si>
    <t>COCO AVANT CHANEL</t>
  </si>
  <si>
    <t>VALENTINE'S DAY</t>
  </si>
  <si>
    <t>KUNG FU PANDA</t>
  </si>
  <si>
    <t>SUNSHINE CLEANING</t>
  </si>
  <si>
    <t>EL SECRETO DE SUS OJOS</t>
  </si>
  <si>
    <t>NORDWAND</t>
  </si>
  <si>
    <t>LAT DEN RATTE KOMME IN</t>
  </si>
  <si>
    <t>UP IN THE AIR</t>
  </si>
  <si>
    <t>DID YOU HEAR ABOUT THE MORGANS?</t>
  </si>
  <si>
    <t>NINJA ASSASSIN</t>
  </si>
  <si>
    <t>CHERI</t>
  </si>
  <si>
    <t>AMELIA</t>
  </si>
  <si>
    <t>DAYBREAKERS</t>
  </si>
  <si>
    <t>ALICE IN WONDERLAND</t>
  </si>
  <si>
    <t>SHUTTER ISLAND</t>
  </si>
  <si>
    <t>PRECIOUS: BASED ON THE NOVEL PUSH BY SAPPHIRE</t>
  </si>
  <si>
    <t>CRAZY HEART</t>
  </si>
  <si>
    <t>COCO CHANEL &amp; IGOR STRAVINSKY</t>
  </si>
  <si>
    <t>UGLY TRUTH</t>
  </si>
  <si>
    <t>MEDYAVİZYON</t>
  </si>
  <si>
    <r>
      <t xml:space="preserve">NEW YORK'TA BEŞ MİNARE </t>
    </r>
    <r>
      <rPr>
        <b/>
        <sz val="10"/>
        <color indexed="10"/>
        <rFont val="Trebuchet MS"/>
        <family val="2"/>
      </rPr>
      <t>(LOCAL)</t>
    </r>
  </si>
  <si>
    <t>HARRY POTTER 7a</t>
  </si>
  <si>
    <t>TIGLON</t>
  </si>
  <si>
    <r>
      <t xml:space="preserve">PRENSESİN UYKUSU </t>
    </r>
    <r>
      <rPr>
        <b/>
        <sz val="10"/>
        <color indexed="10"/>
        <rFont val="Trebuchet MS"/>
        <family val="2"/>
      </rPr>
      <t>(LOCAL)</t>
    </r>
  </si>
  <si>
    <r>
      <t>VAY ARKADAŞ</t>
    </r>
    <r>
      <rPr>
        <b/>
        <sz val="10"/>
        <color indexed="10"/>
        <rFont val="Trebuchet MS"/>
        <family val="2"/>
      </rPr>
      <t xml:space="preserve"> (LOCAL)</t>
    </r>
  </si>
  <si>
    <t>AV MEVSİMİ (LOCAL)</t>
  </si>
  <si>
    <t>OPEN SEASON 3</t>
  </si>
  <si>
    <t>MEMLEKETTE DEMOKRASİ VAR (LOCAL)</t>
  </si>
  <si>
    <r>
      <t xml:space="preserve">DİNLE NEYDEN </t>
    </r>
    <r>
      <rPr>
        <b/>
        <sz val="10"/>
        <color indexed="10"/>
        <rFont val="Trebuchet MS"/>
        <family val="2"/>
      </rPr>
      <t>(LOCAL)</t>
    </r>
  </si>
  <si>
    <r>
      <t xml:space="preserve">ÇAKALLARLA DANS </t>
    </r>
    <r>
      <rPr>
        <b/>
        <sz val="10"/>
        <color indexed="10"/>
        <rFont val="Trebuchet MS"/>
        <family val="2"/>
      </rPr>
      <t>(LOCAL)</t>
    </r>
    <r>
      <rPr>
        <b/>
        <sz val="10"/>
        <color indexed="12"/>
        <rFont val="Trebuchet MS"/>
        <family val="2"/>
      </rPr>
      <t xml:space="preserve"> (NEW)</t>
    </r>
  </si>
  <si>
    <r>
      <t>LIFE AS WE KNOW IT</t>
    </r>
    <r>
      <rPr>
        <sz val="10"/>
        <color indexed="12"/>
        <rFont val="Trebuchet MS"/>
        <family val="2"/>
      </rPr>
      <t xml:space="preserve"> </t>
    </r>
    <r>
      <rPr>
        <b/>
        <sz val="10"/>
        <color indexed="12"/>
        <rFont val="Trebuchet MS"/>
        <family val="2"/>
      </rPr>
      <t>(NEW)</t>
    </r>
  </si>
  <si>
    <r>
      <t xml:space="preserve">SULTANIN SIRRI </t>
    </r>
    <r>
      <rPr>
        <b/>
        <sz val="10"/>
        <color indexed="10"/>
        <rFont val="Trebuchet MS"/>
        <family val="2"/>
      </rPr>
      <t>(LOCAL)</t>
    </r>
    <r>
      <rPr>
        <b/>
        <sz val="10"/>
        <color indexed="12"/>
        <rFont val="Trebuchet MS"/>
        <family val="2"/>
      </rPr>
      <t xml:space="preserve"> (NEW)</t>
    </r>
  </si>
  <si>
    <r>
      <t xml:space="preserve">ÇAKAL </t>
    </r>
    <r>
      <rPr>
        <b/>
        <sz val="10"/>
        <color indexed="10"/>
        <rFont val="Trebuchet MS"/>
        <family val="2"/>
      </rPr>
      <t xml:space="preserve">(LOCAL) </t>
    </r>
    <r>
      <rPr>
        <b/>
        <sz val="10"/>
        <color indexed="12"/>
        <rFont val="Trebuchet MS"/>
        <family val="2"/>
      </rPr>
      <t>(NEW)</t>
    </r>
  </si>
  <si>
    <r>
      <t xml:space="preserve">THE GIRL WHO PLAYED WITH FIRE </t>
    </r>
    <r>
      <rPr>
        <b/>
        <sz val="10"/>
        <color indexed="12"/>
        <rFont val="Trebuchet MS"/>
        <family val="2"/>
      </rPr>
      <t>(NEW)</t>
    </r>
  </si>
  <si>
    <r>
      <t xml:space="preserve">ŞENLİKNAME: BİR İSTANBUL MASALI </t>
    </r>
    <r>
      <rPr>
        <b/>
        <sz val="10"/>
        <color indexed="10"/>
        <rFont val="Trebuchet MS"/>
        <family val="2"/>
      </rPr>
      <t xml:space="preserve">(LOCAL) </t>
    </r>
    <r>
      <rPr>
        <b/>
        <sz val="10"/>
        <color indexed="12"/>
        <rFont val="Trebuchet MS"/>
        <family val="2"/>
      </rPr>
      <t>(NEW)</t>
    </r>
  </si>
  <si>
    <r>
      <t>BLACK HEAVEN</t>
    </r>
    <r>
      <rPr>
        <b/>
        <sz val="10"/>
        <rFont val="Trebuchet MS"/>
        <family val="2"/>
      </rPr>
      <t xml:space="preserve"> </t>
    </r>
    <r>
      <rPr>
        <b/>
        <sz val="10"/>
        <color indexed="12"/>
        <rFont val="Trebuchet MS"/>
        <family val="2"/>
      </rPr>
      <t>(NEW)</t>
    </r>
  </si>
  <si>
    <t>M3 FİLM</t>
  </si>
  <si>
    <r>
      <t xml:space="preserve">TESLİMİYET </t>
    </r>
    <r>
      <rPr>
        <b/>
        <sz val="10"/>
        <color indexed="10"/>
        <rFont val="Trebuchet MS"/>
        <family val="2"/>
      </rPr>
      <t xml:space="preserve">(LOCAL) </t>
    </r>
    <r>
      <rPr>
        <b/>
        <sz val="10"/>
        <color indexed="12"/>
        <rFont val="Trebuchet MS"/>
        <family val="2"/>
      </rPr>
      <t>(NEW)</t>
    </r>
  </si>
  <si>
    <r>
      <t xml:space="preserve">AV MEVSİMİ </t>
    </r>
    <r>
      <rPr>
        <b/>
        <sz val="10"/>
        <color indexed="10"/>
        <rFont val="Trebuchet MS"/>
        <family val="2"/>
      </rPr>
      <t>(LOCAL)</t>
    </r>
  </si>
  <si>
    <t>THE TOURIST</t>
  </si>
  <si>
    <t>THE CHRONICLES OF NARNIA: THE VOVAYE OF THE DAWN TREADER</t>
  </si>
  <si>
    <r>
      <t xml:space="preserve">MEMLEKETTE DEMOKRASİ VAR </t>
    </r>
    <r>
      <rPr>
        <b/>
        <sz val="10"/>
        <color indexed="10"/>
        <rFont val="Trebuchet MS"/>
        <family val="2"/>
      </rPr>
      <t>(LOCAL)</t>
    </r>
  </si>
  <si>
    <r>
      <t xml:space="preserve">KUBİLAY </t>
    </r>
    <r>
      <rPr>
        <b/>
        <sz val="10"/>
        <color indexed="10"/>
        <rFont val="Trebuchet MS"/>
        <family val="2"/>
      </rPr>
      <t>(LOCAL)</t>
    </r>
  </si>
  <si>
    <r>
      <t xml:space="preserve">EŞREFPAŞALILAR </t>
    </r>
    <r>
      <rPr>
        <b/>
        <sz val="10"/>
        <color indexed="10"/>
        <rFont val="Trebuchet MS"/>
        <family val="2"/>
      </rPr>
      <t>(LOCAL)</t>
    </r>
  </si>
  <si>
    <r>
      <t>HAVAR</t>
    </r>
    <r>
      <rPr>
        <b/>
        <sz val="10"/>
        <color indexed="10"/>
        <rFont val="Trebuchet MS"/>
        <family val="2"/>
      </rPr>
      <t xml:space="preserve"> (LOCAL)</t>
    </r>
  </si>
  <si>
    <t>NIKO &amp; THE WAY TO THE STARS</t>
  </si>
  <si>
    <t>JOURNEY TO THE CENTER OF THE EARTH</t>
  </si>
  <si>
    <r>
      <t xml:space="preserve">MARE NERO </t>
    </r>
    <r>
      <rPr>
        <b/>
        <sz val="10"/>
        <color indexed="12"/>
        <rFont val="Trebuchet MS"/>
        <family val="2"/>
      </rPr>
      <t>(NEW)</t>
    </r>
  </si>
  <si>
    <t>BELGE FİLM</t>
  </si>
  <si>
    <r>
      <t>NENE HATUN</t>
    </r>
    <r>
      <rPr>
        <b/>
        <sz val="10"/>
        <color indexed="10"/>
        <rFont val="Trebuchet MS"/>
        <family val="2"/>
      </rPr>
      <t xml:space="preserve"> (LOCAL)</t>
    </r>
  </si>
  <si>
    <r>
      <t>UÇAN MELEKLER</t>
    </r>
    <r>
      <rPr>
        <b/>
        <sz val="10"/>
        <color indexed="10"/>
        <rFont val="Trebuchet MS"/>
        <family val="2"/>
      </rPr>
      <t xml:space="preserve"> (LOCAL)</t>
    </r>
  </si>
  <si>
    <r>
      <t xml:space="preserve">CEHENNEM </t>
    </r>
    <r>
      <rPr>
        <b/>
        <sz val="10"/>
        <color indexed="10"/>
        <rFont val="Trebuchet MS"/>
        <family val="2"/>
      </rPr>
      <t>(LOCAL)</t>
    </r>
  </si>
  <si>
    <r>
      <t xml:space="preserve">İKİ DİL BİR BAVUL </t>
    </r>
    <r>
      <rPr>
        <b/>
        <sz val="10"/>
        <color indexed="10"/>
        <rFont val="Trebuchet MS"/>
        <family val="2"/>
      </rPr>
      <t>(LOCAL)</t>
    </r>
  </si>
  <si>
    <r>
      <t xml:space="preserve">KAKO Sİ? </t>
    </r>
    <r>
      <rPr>
        <b/>
        <sz val="10"/>
        <color indexed="10"/>
        <rFont val="Trebuchet MS"/>
        <family val="2"/>
      </rPr>
      <t>(LOCAL)</t>
    </r>
  </si>
  <si>
    <t>KNIGHT&amp;DAY</t>
  </si>
  <si>
    <r>
      <t xml:space="preserve">MAHPEYKER: KÖSEM SULTAN </t>
    </r>
    <r>
      <rPr>
        <b/>
        <sz val="10"/>
        <color indexed="10"/>
        <rFont val="Trebuchet MS"/>
        <family val="2"/>
      </rPr>
      <t>(LOCAL)</t>
    </r>
  </si>
  <si>
    <t>UNCLE BOONMEE WHO CAN RECALL HIS PAST LIVES</t>
  </si>
  <si>
    <r>
      <t xml:space="preserve">KOSMOS </t>
    </r>
    <r>
      <rPr>
        <b/>
        <sz val="10"/>
        <color indexed="10"/>
        <rFont val="Trebuchet MS"/>
        <family val="2"/>
      </rPr>
      <t>(LOCAL)</t>
    </r>
  </si>
  <si>
    <r>
      <t>ANADOLU'NUN KAYIP ŞARKILARI</t>
    </r>
    <r>
      <rPr>
        <b/>
        <sz val="10"/>
        <color indexed="10"/>
        <rFont val="Trebuchet MS"/>
        <family val="2"/>
      </rPr>
      <t xml:space="preserve"> (LOCAL)</t>
    </r>
  </si>
  <si>
    <r>
      <t xml:space="preserve">AŞKIN İKİNCİ YARISI </t>
    </r>
    <r>
      <rPr>
        <b/>
        <sz val="10"/>
        <color indexed="10"/>
        <rFont val="Trebuchet MS"/>
        <family val="2"/>
      </rPr>
      <t>(LOCAL)</t>
    </r>
  </si>
  <si>
    <t>DETOUR</t>
  </si>
  <si>
    <r>
      <t xml:space="preserve">ÇOĞUNLUK </t>
    </r>
    <r>
      <rPr>
        <b/>
        <sz val="10"/>
        <color indexed="10"/>
        <rFont val="Trebuchet MS"/>
        <family val="2"/>
      </rPr>
      <t>(LOCAL)</t>
    </r>
  </si>
  <si>
    <t>HARRY POTTER AND THE DEATHLY HALOOWS: PART 1</t>
  </si>
  <si>
    <t>ÇAKALLARLA DANS (LOCAL)</t>
  </si>
  <si>
    <r>
      <t>LIFE AS WE KNOW IT</t>
    </r>
  </si>
  <si>
    <t>SULTANIN SIRRI (LOCAL)</t>
  </si>
  <si>
    <t>ÇAKAL (LOCAL)</t>
  </si>
  <si>
    <t xml:space="preserve">THE GIRL WHO PLAYED WITH FIRE </t>
  </si>
  <si>
    <t>ŞENLİKNAME: BİR İSTANBUL MASALI (LOCAL)</t>
  </si>
  <si>
    <t>BLACK HEAVEN</t>
  </si>
  <si>
    <t>TESLİMİYET (LOCAL)</t>
  </si>
  <si>
    <t>MARE NERO</t>
  </si>
</sst>
</file>

<file path=xl/styles.xml><?xml version="1.0" encoding="utf-8"?>
<styleSheet xmlns="http://schemas.openxmlformats.org/spreadsheetml/2006/main">
  <numFmts count="5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 numFmtId="210" formatCode="#,##0.00\ _T_L"/>
    <numFmt numFmtId="211" formatCode="#,##0.00\ _Y_T_L"/>
    <numFmt numFmtId="212" formatCode="[$-F400]h:mm:ss\ AM/PM"/>
    <numFmt numFmtId="213" formatCode="#,##0.00\ &quot;TL&quot;"/>
  </numFmts>
  <fonts count="100">
    <font>
      <sz val="10"/>
      <name val="Arial"/>
      <family val="0"/>
    </font>
    <font>
      <u val="single"/>
      <sz val="8"/>
      <color indexed="36"/>
      <name val="Arial"/>
      <family val="2"/>
    </font>
    <font>
      <u val="single"/>
      <sz val="8"/>
      <color indexed="12"/>
      <name val="Arial"/>
      <family val="2"/>
    </font>
    <font>
      <sz val="14"/>
      <name val="Impact"/>
      <family val="2"/>
    </font>
    <font>
      <sz val="10"/>
      <name val="Impact"/>
      <family val="2"/>
    </font>
    <font>
      <sz val="14"/>
      <name val="Arial"/>
      <family val="2"/>
    </font>
    <font>
      <sz val="8"/>
      <name val="Trebuchet MS"/>
      <family val="0"/>
    </font>
    <font>
      <sz val="20"/>
      <name val="Impact"/>
      <family val="2"/>
    </font>
    <font>
      <sz val="10"/>
      <name val="Trebuchet MS"/>
      <family val="0"/>
    </font>
    <font>
      <sz val="10"/>
      <color indexed="9"/>
      <name val="Trebuchet MS"/>
      <family val="2"/>
    </font>
    <font>
      <sz val="10"/>
      <color indexed="9"/>
      <name val="Arial"/>
      <family val="0"/>
    </font>
    <font>
      <sz val="8"/>
      <name val="Arial"/>
      <family val="2"/>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0"/>
    </font>
    <font>
      <b/>
      <sz val="8"/>
      <color indexed="18"/>
      <name val="Verdana"/>
      <family val="2"/>
    </font>
    <font>
      <b/>
      <sz val="14"/>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9"/>
      <name val="Verdana"/>
      <family val="2"/>
    </font>
    <font>
      <sz val="9"/>
      <name val="Verdana"/>
      <family val="2"/>
    </font>
    <font>
      <b/>
      <sz val="9"/>
      <color indexed="9"/>
      <name val="Verdana"/>
      <family val="2"/>
    </font>
    <font>
      <sz val="9"/>
      <color indexed="9"/>
      <name val="Verdana"/>
      <family val="2"/>
    </font>
    <font>
      <b/>
      <sz val="10"/>
      <color indexed="9"/>
      <name val="Arial"/>
      <family val="0"/>
    </font>
    <font>
      <sz val="8"/>
      <color indexed="9"/>
      <name val="Trebuchet MS"/>
      <family val="2"/>
    </font>
    <font>
      <sz val="14"/>
      <color indexed="9"/>
      <name val="Impact"/>
      <family val="2"/>
    </font>
    <font>
      <sz val="20"/>
      <color indexed="9"/>
      <name val="Impact"/>
      <family val="2"/>
    </font>
    <font>
      <sz val="14"/>
      <color indexed="9"/>
      <name val="Arial"/>
      <family val="2"/>
    </font>
    <font>
      <b/>
      <sz val="10"/>
      <name val="Arial"/>
      <family val="0"/>
    </font>
    <font>
      <b/>
      <sz val="9"/>
      <color indexed="9"/>
      <name val="Garamond"/>
      <family val="1"/>
    </font>
    <font>
      <sz val="10"/>
      <color indexed="10"/>
      <name val="Trebuchet MS"/>
      <family val="0"/>
    </font>
    <font>
      <b/>
      <sz val="10"/>
      <name val="Trebuchet MS"/>
      <family val="0"/>
    </font>
    <font>
      <b/>
      <sz val="10"/>
      <color indexed="10"/>
      <name val="Trebuchet MS"/>
      <family val="0"/>
    </font>
    <font>
      <sz val="12"/>
      <color indexed="47"/>
      <name val="Gadget"/>
      <family val="0"/>
    </font>
    <font>
      <sz val="12"/>
      <color indexed="10"/>
      <name val="Gadget"/>
      <family val="0"/>
    </font>
    <font>
      <sz val="10"/>
      <name val="Administer"/>
      <family val="0"/>
    </font>
    <font>
      <b/>
      <sz val="10"/>
      <name val="Administer"/>
      <family val="0"/>
    </font>
    <font>
      <b/>
      <sz val="10"/>
      <color indexed="9"/>
      <name val="Administer"/>
      <family val="0"/>
    </font>
    <font>
      <i/>
      <sz val="9"/>
      <color indexed="23"/>
      <name val="Administer"/>
      <family val="0"/>
    </font>
    <font>
      <i/>
      <sz val="9"/>
      <color indexed="23"/>
      <name val="Arial"/>
      <family val="0"/>
    </font>
    <font>
      <b/>
      <sz val="10"/>
      <color indexed="9"/>
      <name val="Trebuchet MS"/>
      <family val="2"/>
    </font>
    <font>
      <sz val="10"/>
      <color indexed="10"/>
      <name val="Administer"/>
      <family val="0"/>
    </font>
    <font>
      <sz val="10"/>
      <color indexed="10"/>
      <name val="Arial"/>
      <family val="0"/>
    </font>
    <font>
      <sz val="12"/>
      <color indexed="9"/>
      <name val="Impact"/>
      <family val="2"/>
    </font>
    <font>
      <i/>
      <sz val="9"/>
      <color indexed="9"/>
      <name val="Arial"/>
      <family val="0"/>
    </font>
    <font>
      <i/>
      <sz val="9"/>
      <color indexed="23"/>
      <name val="Didot"/>
      <family val="0"/>
    </font>
    <font>
      <b/>
      <sz val="10"/>
      <color indexed="12"/>
      <name val="Trebuchet MS"/>
      <family val="2"/>
    </font>
    <font>
      <sz val="12"/>
      <color indexed="9"/>
      <name val="Gadget"/>
      <family val="0"/>
    </font>
    <font>
      <sz val="10"/>
      <color indexed="12"/>
      <name val="Trebuchet MS"/>
      <family val="2"/>
    </font>
    <font>
      <sz val="10"/>
      <color indexed="9"/>
      <name val="Verdana"/>
      <family val="0"/>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24"/>
      <color indexed="8"/>
      <name val="AcidSansRegular"/>
      <family val="0"/>
    </font>
    <font>
      <b/>
      <sz val="24"/>
      <color indexed="8"/>
      <name val="Arial"/>
      <family val="0"/>
    </font>
    <font>
      <b/>
      <sz val="20"/>
      <color indexed="8"/>
      <name val="AcidSans-Light"/>
      <family val="0"/>
    </font>
    <font>
      <sz val="20"/>
      <color indexed="10"/>
      <name val="AcidSans-Regular"/>
      <family val="0"/>
    </font>
    <font>
      <sz val="20"/>
      <color indexed="8"/>
      <name val="Administer"/>
      <family val="0"/>
    </font>
    <font>
      <b/>
      <sz val="20"/>
      <color indexed="8"/>
      <name val="AcidSansRegular"/>
      <family val="0"/>
    </font>
    <font>
      <b/>
      <sz val="20"/>
      <color indexed="8"/>
      <name val="Arial"/>
      <family val="0"/>
    </font>
    <font>
      <sz val="16"/>
      <color indexed="10"/>
      <name val="AcidSans-Regular"/>
      <family val="0"/>
    </font>
    <font>
      <sz val="16"/>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65"/>
        <bgColor indexed="64"/>
      </patternFill>
    </fill>
    <fill>
      <patternFill patternType="solid">
        <fgColor indexed="9"/>
        <bgColor indexed="64"/>
      </patternFill>
    </fill>
  </fills>
  <borders count="6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color indexed="63"/>
      </left>
      <right style="hair"/>
      <top style="hair"/>
      <bottom style="hair"/>
    </border>
    <border>
      <left style="hair"/>
      <right style="hair"/>
      <top style="medium"/>
      <bottom style="hair"/>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style="medium"/>
      <right style="hair"/>
      <top style="medium"/>
      <bottom style="hair"/>
    </border>
    <border>
      <left>
        <color indexed="63"/>
      </left>
      <right>
        <color indexed="63"/>
      </right>
      <top style="hair"/>
      <bottom style="hair"/>
    </border>
    <border>
      <left style="hair"/>
      <right style="hair"/>
      <top style="hair"/>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color indexed="63"/>
      </right>
      <top style="medium"/>
      <bottom style="hair"/>
    </border>
    <border>
      <left style="medium"/>
      <right>
        <color indexed="63"/>
      </right>
      <top style="hair"/>
      <bottom style="hair"/>
    </border>
    <border>
      <left style="thin"/>
      <right style="medium"/>
      <top style="thin"/>
      <bottom style="medium"/>
    </border>
    <border>
      <left style="medium"/>
      <right>
        <color indexed="63"/>
      </right>
      <top style="hair"/>
      <bottom style="thin"/>
    </border>
    <border>
      <left style="medium"/>
      <right>
        <color indexed="63"/>
      </right>
      <top>
        <color indexed="63"/>
      </top>
      <bottom style="hair"/>
    </border>
    <border>
      <left style="medium"/>
      <right style="hair"/>
      <top style="medium"/>
      <bottom>
        <color indexed="63"/>
      </bottom>
    </border>
    <border>
      <left style="hair"/>
      <right style="hair"/>
      <top style="medium"/>
      <bottom>
        <color indexed="63"/>
      </bottom>
    </border>
    <border>
      <left style="hair"/>
      <right>
        <color indexed="63"/>
      </right>
      <top style="medium"/>
      <bottom>
        <color indexed="63"/>
      </bottom>
    </border>
    <border>
      <left>
        <color indexed="63"/>
      </left>
      <right>
        <color indexed="63"/>
      </right>
      <top>
        <color indexed="63"/>
      </top>
      <bottom style="thin"/>
    </border>
    <border>
      <left style="medium"/>
      <right>
        <color indexed="63"/>
      </right>
      <top style="hair"/>
      <bottom>
        <color indexed="63"/>
      </bottom>
    </border>
    <border>
      <left>
        <color indexed="63"/>
      </left>
      <right>
        <color indexed="63"/>
      </right>
      <top>
        <color indexed="63"/>
      </top>
      <bottom style="medium"/>
    </border>
    <border>
      <left style="thin"/>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style="medium"/>
      <right style="hair"/>
      <top style="hair"/>
      <bottom style="hair"/>
    </border>
    <border>
      <left style="hair"/>
      <right style="medium"/>
      <top style="medium"/>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style="medium"/>
      <top>
        <color indexed="63"/>
      </top>
      <bottom style="hair"/>
    </border>
    <border>
      <left style="medium"/>
      <right style="hair"/>
      <top>
        <color indexed="63"/>
      </top>
      <bottom style="hair"/>
    </border>
    <border>
      <left style="hair"/>
      <right style="hair"/>
      <top style="hair"/>
      <bottom style="thin"/>
    </border>
    <border>
      <left style="medium"/>
      <right style="hair"/>
      <top style="hair"/>
      <bottom style="thin"/>
    </border>
    <border>
      <left style="hair"/>
      <right style="medium"/>
      <top style="hair"/>
      <bottom style="thin"/>
    </border>
    <border>
      <left>
        <color indexed="63"/>
      </left>
      <right style="hair"/>
      <top>
        <color indexed="63"/>
      </top>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thin"/>
      <top style="thin"/>
      <bottom>
        <color indexed="63"/>
      </bottom>
    </border>
    <border>
      <left style="thin"/>
      <right>
        <color indexed="63"/>
      </right>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1" applyNumberFormat="0" applyFill="0" applyAlignment="0" applyProtection="0"/>
    <xf numFmtId="0" fontId="88" fillId="0" borderId="2" applyNumberFormat="0" applyFill="0" applyAlignment="0" applyProtection="0"/>
    <xf numFmtId="0" fontId="89" fillId="0" borderId="3" applyNumberFormat="0" applyFill="0" applyAlignment="0" applyProtection="0"/>
    <xf numFmtId="0" fontId="90" fillId="0" borderId="4" applyNumberFormat="0" applyFill="0" applyAlignment="0" applyProtection="0"/>
    <xf numFmtId="0" fontId="9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1" fillId="20" borderId="5" applyNumberFormat="0" applyAlignment="0" applyProtection="0"/>
    <xf numFmtId="0" fontId="92" fillId="21" borderId="6" applyNumberFormat="0" applyAlignment="0" applyProtection="0"/>
    <xf numFmtId="0" fontId="93" fillId="20" borderId="6" applyNumberFormat="0" applyAlignment="0" applyProtection="0"/>
    <xf numFmtId="0" fontId="94" fillId="22" borderId="7" applyNumberFormat="0" applyAlignment="0" applyProtection="0"/>
    <xf numFmtId="0" fontId="95"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96"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9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8" fillId="0" borderId="9" applyNumberFormat="0" applyFill="0" applyAlignment="0" applyProtection="0"/>
    <xf numFmtId="0" fontId="99" fillId="0" borderId="0" applyNumberFormat="0" applyFill="0" applyBorder="0" applyAlignment="0" applyProtection="0"/>
    <xf numFmtId="0" fontId="84" fillId="27"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9" fontId="0" fillId="0" borderId="0" applyFont="0" applyFill="0" applyBorder="0" applyAlignment="0" applyProtection="0"/>
  </cellStyleXfs>
  <cellXfs count="672">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184" fontId="9" fillId="33" borderId="10" xfId="0" applyNumberFormat="1" applyFont="1" applyFill="1" applyBorder="1" applyAlignment="1">
      <alignment horizontal="center" vertical="center"/>
    </xf>
    <xf numFmtId="0" fontId="9" fillId="33" borderId="10" xfId="0" applyFont="1" applyFill="1" applyBorder="1" applyAlignment="1">
      <alignment horizontal="left" vertical="center"/>
    </xf>
    <xf numFmtId="0" fontId="10" fillId="0" borderId="0" xfId="0" applyFont="1" applyFill="1" applyAlignment="1">
      <alignment/>
    </xf>
    <xf numFmtId="200" fontId="18" fillId="33" borderId="10" xfId="0" applyNumberFormat="1" applyFont="1" applyFill="1" applyBorder="1" applyAlignment="1">
      <alignment horizontal="right" vertical="center"/>
    </xf>
    <xf numFmtId="193" fontId="18" fillId="33" borderId="10" xfId="0" applyNumberFormat="1" applyFont="1" applyFill="1" applyBorder="1" applyAlignment="1">
      <alignment horizontal="right" vertical="center"/>
    </xf>
    <xf numFmtId="0" fontId="12" fillId="0" borderId="0" xfId="0" applyFont="1" applyAlignment="1">
      <alignment/>
    </xf>
    <xf numFmtId="0" fontId="23" fillId="0" borderId="0" xfId="0" applyFont="1" applyAlignment="1">
      <alignment/>
    </xf>
    <xf numFmtId="193" fontId="28" fillId="33" borderId="10" xfId="0" applyNumberFormat="1" applyFont="1" applyFill="1" applyBorder="1" applyAlignment="1">
      <alignment horizontal="right" vertical="center"/>
    </xf>
    <xf numFmtId="192" fontId="29" fillId="33" borderId="10" xfId="0" applyNumberFormat="1" applyFont="1" applyFill="1" applyBorder="1" applyAlignment="1">
      <alignment horizontal="right" vertical="center"/>
    </xf>
    <xf numFmtId="200" fontId="29" fillId="33" borderId="10" xfId="0" applyNumberFormat="1" applyFont="1" applyFill="1" applyBorder="1" applyAlignment="1">
      <alignment horizontal="right" vertical="center"/>
    </xf>
    <xf numFmtId="193" fontId="29" fillId="33" borderId="10" xfId="0" applyNumberFormat="1" applyFont="1" applyFill="1" applyBorder="1" applyAlignment="1">
      <alignment horizontal="right" vertical="center"/>
    </xf>
    <xf numFmtId="0" fontId="12" fillId="0" borderId="0" xfId="0" applyFont="1" applyAlignment="1">
      <alignment horizontal="center"/>
    </xf>
    <xf numFmtId="3" fontId="27" fillId="0" borderId="0" xfId="0" applyNumberFormat="1" applyFont="1" applyAlignment="1">
      <alignment horizontal="right"/>
    </xf>
    <xf numFmtId="2" fontId="27" fillId="0" borderId="0" xfId="0" applyNumberFormat="1" applyFont="1" applyAlignment="1">
      <alignment/>
    </xf>
    <xf numFmtId="4" fontId="27" fillId="0" borderId="0" xfId="0" applyNumberFormat="1" applyFont="1" applyAlignment="1">
      <alignment horizontal="right"/>
    </xf>
    <xf numFmtId="0" fontId="25" fillId="33" borderId="10" xfId="0" applyFont="1" applyFill="1" applyBorder="1" applyAlignment="1">
      <alignment horizontal="right" vertical="center"/>
    </xf>
    <xf numFmtId="3" fontId="25" fillId="33" borderId="10" xfId="0" applyNumberFormat="1" applyFont="1" applyFill="1" applyBorder="1" applyAlignment="1">
      <alignment horizontal="right" vertical="center"/>
    </xf>
    <xf numFmtId="0" fontId="15" fillId="0" borderId="0" xfId="0" applyFont="1" applyAlignment="1">
      <alignment horizontal="right" vertical="center"/>
    </xf>
    <xf numFmtId="0" fontId="15" fillId="0" borderId="11" xfId="0" applyFont="1" applyBorder="1" applyAlignment="1">
      <alignment horizontal="right" vertical="center"/>
    </xf>
    <xf numFmtId="0" fontId="14" fillId="0" borderId="11" xfId="0" applyFont="1" applyFill="1" applyBorder="1" applyAlignment="1" applyProtection="1">
      <alignment horizontal="left" vertical="center"/>
      <protection locked="0"/>
    </xf>
    <xf numFmtId="0" fontId="14" fillId="0" borderId="11" xfId="0" applyFont="1" applyFill="1" applyBorder="1" applyAlignment="1">
      <alignment horizontal="left" vertical="center"/>
    </xf>
    <xf numFmtId="0" fontId="14" fillId="0" borderId="11" xfId="0" applyFont="1" applyFill="1" applyBorder="1" applyAlignment="1">
      <alignment horizontal="left"/>
    </xf>
    <xf numFmtId="0" fontId="14" fillId="0" borderId="12" xfId="0" applyFont="1" applyFill="1" applyBorder="1" applyAlignment="1" applyProtection="1">
      <alignment horizontal="left" vertical="center"/>
      <protection locked="0"/>
    </xf>
    <xf numFmtId="0" fontId="14" fillId="0" borderId="12" xfId="0" applyFont="1" applyFill="1" applyBorder="1" applyAlignment="1">
      <alignment horizontal="left" vertical="center"/>
    </xf>
    <xf numFmtId="0" fontId="14" fillId="0" borderId="12" xfId="0" applyFont="1" applyFill="1" applyBorder="1" applyAlignment="1">
      <alignment horizontal="left"/>
    </xf>
    <xf numFmtId="200" fontId="16" fillId="0" borderId="0" xfId="0" applyNumberFormat="1" applyFont="1" applyAlignment="1">
      <alignment horizontal="right" vertical="center"/>
    </xf>
    <xf numFmtId="193" fontId="16" fillId="0" borderId="0" xfId="0" applyNumberFormat="1" applyFont="1" applyAlignment="1">
      <alignment horizontal="right" vertical="center"/>
    </xf>
    <xf numFmtId="0" fontId="24" fillId="0" borderId="11" xfId="0" applyFont="1" applyFill="1" applyBorder="1" applyAlignment="1" applyProtection="1">
      <alignment vertical="center"/>
      <protection locked="0"/>
    </xf>
    <xf numFmtId="184"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left" vertical="center"/>
      <protection locked="0"/>
    </xf>
    <xf numFmtId="0" fontId="15" fillId="0" borderId="11" xfId="0" applyNumberFormat="1" applyFont="1" applyFill="1" applyBorder="1" applyAlignment="1" applyProtection="1">
      <alignment horizontal="right" vertical="center"/>
      <protection locked="0"/>
    </xf>
    <xf numFmtId="200" fontId="19" fillId="0" borderId="11" xfId="0" applyNumberFormat="1" applyFont="1" applyFill="1" applyBorder="1" applyAlignment="1" applyProtection="1">
      <alignment horizontal="right" vertical="center"/>
      <protection locked="0"/>
    </xf>
    <xf numFmtId="193" fontId="16" fillId="0" borderId="11" xfId="0" applyNumberFormat="1" applyFont="1" applyFill="1" applyBorder="1" applyAlignment="1" applyProtection="1">
      <alignment horizontal="right" vertical="center"/>
      <protection locked="0"/>
    </xf>
    <xf numFmtId="193" fontId="26" fillId="0" borderId="11" xfId="0" applyNumberFormat="1" applyFont="1" applyFill="1" applyBorder="1" applyAlignment="1" applyProtection="1">
      <alignment horizontal="right" vertical="center"/>
      <protection locked="0"/>
    </xf>
    <xf numFmtId="192" fontId="27" fillId="0" borderId="11" xfId="0" applyNumberFormat="1" applyFont="1" applyFill="1" applyBorder="1" applyAlignment="1" applyProtection="1">
      <alignment horizontal="right" vertical="center"/>
      <protection locked="0"/>
    </xf>
    <xf numFmtId="200" fontId="27" fillId="0" borderId="11" xfId="40" applyNumberFormat="1" applyFont="1" applyFill="1" applyBorder="1" applyAlignment="1" applyProtection="1">
      <alignment horizontal="right" vertical="center"/>
      <protection/>
    </xf>
    <xf numFmtId="193" fontId="27" fillId="0" borderId="11" xfId="0" applyNumberFormat="1" applyFont="1" applyFill="1" applyBorder="1" applyAlignment="1" applyProtection="1">
      <alignment horizontal="right" vertical="center"/>
      <protection locked="0"/>
    </xf>
    <xf numFmtId="0" fontId="23" fillId="0" borderId="11" xfId="0" applyFont="1" applyBorder="1" applyAlignment="1">
      <alignment/>
    </xf>
    <xf numFmtId="0" fontId="23" fillId="0" borderId="11" xfId="0" applyFont="1" applyBorder="1" applyAlignment="1">
      <alignment vertical="center" readingOrder="1"/>
    </xf>
    <xf numFmtId="184" fontId="0" fillId="0" borderId="11" xfId="0" applyNumberFormat="1" applyBorder="1" applyAlignment="1">
      <alignment horizontal="center" vertical="center"/>
    </xf>
    <xf numFmtId="0" fontId="0" fillId="0" borderId="11" xfId="0" applyBorder="1" applyAlignment="1">
      <alignment horizontal="left" vertical="center"/>
    </xf>
    <xf numFmtId="200" fontId="13" fillId="0" borderId="11" xfId="0" applyNumberFormat="1" applyFont="1" applyBorder="1" applyAlignment="1">
      <alignment horizontal="right" vertical="center"/>
    </xf>
    <xf numFmtId="193" fontId="13" fillId="0" borderId="11" xfId="0" applyNumberFormat="1" applyFont="1" applyBorder="1" applyAlignment="1">
      <alignment horizontal="right" vertical="center"/>
    </xf>
    <xf numFmtId="193" fontId="26" fillId="0" borderId="11" xfId="0" applyNumberFormat="1" applyFont="1" applyBorder="1" applyAlignment="1">
      <alignment horizontal="right" vertical="center"/>
    </xf>
    <xf numFmtId="192" fontId="27" fillId="0" borderId="11" xfId="0" applyNumberFormat="1" applyFont="1" applyBorder="1" applyAlignment="1">
      <alignment horizontal="right" vertical="center"/>
    </xf>
    <xf numFmtId="200" fontId="27" fillId="0" borderId="11" xfId="0" applyNumberFormat="1" applyFont="1" applyBorder="1" applyAlignment="1">
      <alignment horizontal="right" vertical="center"/>
    </xf>
    <xf numFmtId="193" fontId="27" fillId="0" borderId="11" xfId="0" applyNumberFormat="1" applyFont="1" applyBorder="1" applyAlignment="1">
      <alignment horizontal="right" vertical="center"/>
    </xf>
    <xf numFmtId="200" fontId="17" fillId="0" borderId="11" xfId="0" applyNumberFormat="1" applyFont="1" applyFill="1" applyBorder="1" applyAlignment="1" applyProtection="1">
      <alignment horizontal="right" vertical="center"/>
      <protection locked="0"/>
    </xf>
    <xf numFmtId="193" fontId="20" fillId="0" borderId="11" xfId="0" applyNumberFormat="1" applyFont="1" applyFill="1" applyBorder="1" applyAlignment="1" applyProtection="1">
      <alignment horizontal="right" vertical="center"/>
      <protection locked="0"/>
    </xf>
    <xf numFmtId="200" fontId="27" fillId="0" borderId="11" xfId="0" applyNumberFormat="1" applyFont="1" applyFill="1" applyBorder="1" applyAlignment="1" applyProtection="1">
      <alignment horizontal="right" vertical="center"/>
      <protection locked="0"/>
    </xf>
    <xf numFmtId="0" fontId="22" fillId="0" borderId="11" xfId="0" applyFont="1" applyFill="1" applyBorder="1" applyAlignment="1" applyProtection="1">
      <alignment vertical="center"/>
      <protection locked="0"/>
    </xf>
    <xf numFmtId="184" fontId="5" fillId="0" borderId="11"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left" vertical="center"/>
      <protection locked="0"/>
    </xf>
    <xf numFmtId="43" fontId="22" fillId="0" borderId="13" xfId="40" applyFont="1" applyFill="1" applyBorder="1" applyAlignment="1" applyProtection="1">
      <alignment vertical="center"/>
      <protection/>
    </xf>
    <xf numFmtId="184" fontId="3" fillId="0" borderId="13" xfId="0" applyNumberFormat="1"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xf>
    <xf numFmtId="0" fontId="15" fillId="0" borderId="13" xfId="0" applyNumberFormat="1" applyFont="1" applyFill="1" applyBorder="1" applyAlignment="1" applyProtection="1">
      <alignment horizontal="right" vertical="center"/>
      <protection/>
    </xf>
    <xf numFmtId="200" fontId="17" fillId="0" borderId="13" xfId="0" applyNumberFormat="1" applyFont="1" applyFill="1" applyBorder="1" applyAlignment="1" applyProtection="1">
      <alignment horizontal="right" vertical="center"/>
      <protection/>
    </xf>
    <xf numFmtId="193" fontId="20" fillId="0" borderId="13" xfId="0" applyNumberFormat="1" applyFont="1" applyFill="1" applyBorder="1" applyAlignment="1" applyProtection="1">
      <alignment horizontal="right" vertical="center"/>
      <protection/>
    </xf>
    <xf numFmtId="193" fontId="26" fillId="0" borderId="13" xfId="0" applyNumberFormat="1" applyFont="1" applyFill="1" applyBorder="1" applyAlignment="1" applyProtection="1">
      <alignment horizontal="right" vertical="center"/>
      <protection/>
    </xf>
    <xf numFmtId="192" fontId="27" fillId="0" borderId="13" xfId="0" applyNumberFormat="1" applyFont="1" applyFill="1" applyBorder="1" applyAlignment="1" applyProtection="1">
      <alignment horizontal="right" vertical="center"/>
      <protection/>
    </xf>
    <xf numFmtId="200" fontId="27" fillId="0" borderId="13" xfId="0" applyNumberFormat="1" applyFont="1" applyFill="1" applyBorder="1" applyAlignment="1" applyProtection="1">
      <alignment horizontal="right" vertical="center"/>
      <protection/>
    </xf>
    <xf numFmtId="193" fontId="27" fillId="0" borderId="13" xfId="0" applyNumberFormat="1" applyFont="1" applyFill="1" applyBorder="1" applyAlignment="1" applyProtection="1">
      <alignment horizontal="right" vertical="center"/>
      <protection/>
    </xf>
    <xf numFmtId="192" fontId="27" fillId="0" borderId="14" xfId="0" applyNumberFormat="1" applyFont="1" applyFill="1" applyBorder="1" applyAlignment="1" applyProtection="1">
      <alignment horizontal="right" vertical="center"/>
      <protection/>
    </xf>
    <xf numFmtId="192" fontId="29" fillId="33" borderId="15" xfId="0" applyNumberFormat="1" applyFont="1" applyFill="1" applyBorder="1" applyAlignment="1">
      <alignment horizontal="right" vertical="center"/>
    </xf>
    <xf numFmtId="192" fontId="27" fillId="0" borderId="16" xfId="0" applyNumberFormat="1" applyFont="1" applyFill="1" applyBorder="1" applyAlignment="1" applyProtection="1">
      <alignment horizontal="right" vertical="center"/>
      <protection locked="0"/>
    </xf>
    <xf numFmtId="2" fontId="27" fillId="0" borderId="0" xfId="0" applyNumberFormat="1" applyFont="1" applyAlignment="1">
      <alignment/>
    </xf>
    <xf numFmtId="0" fontId="32" fillId="0" borderId="0"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31" fillId="0" borderId="0" xfId="0" applyFont="1" applyFill="1" applyBorder="1" applyAlignment="1" applyProtection="1">
      <alignment vertical="center"/>
      <protection locked="0"/>
    </xf>
    <xf numFmtId="0" fontId="34" fillId="0" borderId="0" xfId="0" applyFont="1" applyFill="1" applyBorder="1" applyAlignment="1" applyProtection="1">
      <alignment vertical="center"/>
      <protection locked="0"/>
    </xf>
    <xf numFmtId="0" fontId="14" fillId="0" borderId="11" xfId="0" applyFont="1" applyFill="1" applyBorder="1" applyAlignment="1" applyProtection="1">
      <alignment vertical="center"/>
      <protection locked="0"/>
    </xf>
    <xf numFmtId="0" fontId="14" fillId="0" borderId="11" xfId="0" applyFont="1" applyBorder="1" applyAlignment="1">
      <alignment/>
    </xf>
    <xf numFmtId="0" fontId="14" fillId="0" borderId="11" xfId="0" applyFont="1" applyFill="1" applyBorder="1" applyAlignment="1">
      <alignment vertical="center"/>
    </xf>
    <xf numFmtId="0" fontId="14" fillId="0" borderId="12" xfId="0" applyFont="1" applyFill="1" applyBorder="1" applyAlignment="1" applyProtection="1">
      <alignment vertical="center"/>
      <protection locked="0"/>
    </xf>
    <xf numFmtId="0" fontId="14" fillId="0" borderId="12" xfId="0" applyFont="1" applyFill="1" applyBorder="1" applyAlignment="1">
      <alignment vertical="center"/>
    </xf>
    <xf numFmtId="0" fontId="14" fillId="0" borderId="12" xfId="0" applyFont="1" applyBorder="1" applyAlignment="1">
      <alignment/>
    </xf>
    <xf numFmtId="0" fontId="0" fillId="0" borderId="11" xfId="0" applyBorder="1" applyAlignment="1">
      <alignment/>
    </xf>
    <xf numFmtId="0" fontId="12" fillId="0" borderId="11" xfId="0" applyFont="1" applyBorder="1" applyAlignment="1">
      <alignment/>
    </xf>
    <xf numFmtId="4" fontId="0" fillId="0" borderId="11" xfId="0" applyNumberFormat="1" applyBorder="1" applyAlignment="1">
      <alignment vertical="center"/>
    </xf>
    <xf numFmtId="3" fontId="0" fillId="0" borderId="11" xfId="0" applyNumberFormat="1" applyBorder="1" applyAlignment="1">
      <alignment vertical="center"/>
    </xf>
    <xf numFmtId="0" fontId="0" fillId="0" borderId="11" xfId="0" applyBorder="1" applyAlignment="1">
      <alignment vertical="center"/>
    </xf>
    <xf numFmtId="0" fontId="11" fillId="0" borderId="11" xfId="0" applyFont="1" applyBorder="1" applyAlignment="1">
      <alignment horizontal="center" vertical="center"/>
    </xf>
    <xf numFmtId="193" fontId="13" fillId="0" borderId="11" xfId="0" applyNumberFormat="1" applyFont="1" applyBorder="1" applyAlignment="1">
      <alignment horizontal="right" vertical="center" indent="1"/>
    </xf>
    <xf numFmtId="192" fontId="14" fillId="0" borderId="11" xfId="0" applyNumberFormat="1" applyFont="1" applyBorder="1" applyAlignment="1">
      <alignment horizontal="right" vertical="center" indent="1"/>
    </xf>
    <xf numFmtId="0" fontId="35" fillId="0" borderId="11" xfId="0" applyFont="1" applyBorder="1" applyAlignment="1">
      <alignment horizontal="right" vertical="center"/>
    </xf>
    <xf numFmtId="1" fontId="26" fillId="0" borderId="17" xfId="0" applyNumberFormat="1" applyFont="1" applyFill="1" applyBorder="1" applyAlignment="1" applyProtection="1">
      <alignment horizontal="right" vertical="center"/>
      <protection/>
    </xf>
    <xf numFmtId="1" fontId="26" fillId="0" borderId="11" xfId="0" applyNumberFormat="1" applyFont="1" applyFill="1" applyBorder="1" applyAlignment="1" applyProtection="1">
      <alignment horizontal="right" vertical="center"/>
      <protection locked="0"/>
    </xf>
    <xf numFmtId="0" fontId="29" fillId="0" borderId="18" xfId="0" applyFont="1" applyFill="1" applyBorder="1" applyAlignment="1">
      <alignment horizontal="right"/>
    </xf>
    <xf numFmtId="4" fontId="10" fillId="0" borderId="11" xfId="0" applyNumberFormat="1" applyFont="1" applyFill="1" applyBorder="1" applyAlignment="1">
      <alignment horizontal="center" vertical="center"/>
    </xf>
    <xf numFmtId="0" fontId="0" fillId="0" borderId="10" xfId="0" applyBorder="1" applyAlignment="1">
      <alignment vertical="center"/>
    </xf>
    <xf numFmtId="0" fontId="11" fillId="0" borderId="10" xfId="0" applyFont="1" applyBorder="1" applyAlignment="1">
      <alignment horizontal="center" vertical="center"/>
    </xf>
    <xf numFmtId="200" fontId="13" fillId="0" borderId="10" xfId="0" applyNumberFormat="1" applyFont="1" applyBorder="1" applyAlignment="1">
      <alignment horizontal="right" vertical="center"/>
    </xf>
    <xf numFmtId="193" fontId="13" fillId="0" borderId="10" xfId="0" applyNumberFormat="1" applyFont="1" applyBorder="1" applyAlignment="1">
      <alignment horizontal="right" vertical="center" indent="1"/>
    </xf>
    <xf numFmtId="192" fontId="14" fillId="0" borderId="10" xfId="0" applyNumberFormat="1" applyFont="1" applyBorder="1" applyAlignment="1">
      <alignment horizontal="right" vertical="center" indent="1"/>
    </xf>
    <xf numFmtId="4" fontId="0" fillId="0" borderId="19" xfId="0" applyNumberFormat="1" applyBorder="1" applyAlignment="1">
      <alignment vertical="center"/>
    </xf>
    <xf numFmtId="3" fontId="0" fillId="0" borderId="19" xfId="0" applyNumberFormat="1" applyBorder="1" applyAlignment="1">
      <alignment vertical="center"/>
    </xf>
    <xf numFmtId="0" fontId="0" fillId="0" borderId="19" xfId="0" applyBorder="1" applyAlignment="1">
      <alignment/>
    </xf>
    <xf numFmtId="0" fontId="0" fillId="0" borderId="19" xfId="0" applyBorder="1" applyAlignment="1">
      <alignment vertical="center"/>
    </xf>
    <xf numFmtId="3" fontId="0" fillId="0" borderId="10" xfId="0" applyNumberFormat="1" applyBorder="1" applyAlignment="1">
      <alignment vertical="center"/>
    </xf>
    <xf numFmtId="4" fontId="0" fillId="0" borderId="10" xfId="0" applyNumberFormat="1" applyBorder="1" applyAlignment="1">
      <alignment vertical="center"/>
    </xf>
    <xf numFmtId="0" fontId="0" fillId="0" borderId="10" xfId="0" applyBorder="1" applyAlignment="1">
      <alignment/>
    </xf>
    <xf numFmtId="0" fontId="9" fillId="0" borderId="12" xfId="0" applyFont="1" applyFill="1" applyBorder="1" applyAlignment="1" applyProtection="1">
      <alignment horizontal="right" vertical="center"/>
      <protection locked="0"/>
    </xf>
    <xf numFmtId="0" fontId="9" fillId="0" borderId="12" xfId="0" applyFont="1" applyFill="1" applyBorder="1" applyAlignment="1">
      <alignment horizontal="right" vertical="center"/>
    </xf>
    <xf numFmtId="0" fontId="9" fillId="0" borderId="12" xfId="0" applyFont="1" applyFill="1" applyBorder="1" applyAlignment="1" applyProtection="1">
      <alignment horizontal="center" vertical="center"/>
      <protection locked="0"/>
    </xf>
    <xf numFmtId="0" fontId="13" fillId="0" borderId="0" xfId="0" applyFont="1" applyAlignment="1">
      <alignment/>
    </xf>
    <xf numFmtId="0" fontId="8" fillId="0" borderId="20" xfId="0" applyFont="1" applyFill="1" applyBorder="1" applyAlignment="1" applyProtection="1">
      <alignment horizontal="left" vertical="center"/>
      <protection locked="0"/>
    </xf>
    <xf numFmtId="184" fontId="8" fillId="0" borderId="21" xfId="0" applyNumberFormat="1" applyFont="1" applyFill="1" applyBorder="1" applyAlignment="1" applyProtection="1">
      <alignment horizontal="center" vertical="center"/>
      <protection locked="0"/>
    </xf>
    <xf numFmtId="184" fontId="8" fillId="0" borderId="21" xfId="0" applyNumberFormat="1" applyFont="1" applyFill="1" applyBorder="1" applyAlignment="1" applyProtection="1">
      <alignment vertical="center"/>
      <protection locked="0"/>
    </xf>
    <xf numFmtId="0" fontId="8" fillId="0" borderId="21" xfId="0" applyFont="1" applyFill="1" applyBorder="1" applyAlignment="1" applyProtection="1">
      <alignment horizontal="right" vertical="center"/>
      <protection locked="0"/>
    </xf>
    <xf numFmtId="4" fontId="38" fillId="0" borderId="21" xfId="42" applyNumberFormat="1" applyFont="1" applyFill="1" applyBorder="1" applyAlignment="1" applyProtection="1">
      <alignment horizontal="right" vertical="center"/>
      <protection locked="0"/>
    </xf>
    <xf numFmtId="3" fontId="38" fillId="0" borderId="21" xfId="42" applyNumberFormat="1" applyFont="1" applyFill="1" applyBorder="1" applyAlignment="1" applyProtection="1">
      <alignment horizontal="right" vertical="center"/>
      <protection locked="0"/>
    </xf>
    <xf numFmtId="3" fontId="8" fillId="0" borderId="21" xfId="42" applyNumberFormat="1" applyFont="1" applyFill="1" applyBorder="1" applyAlignment="1" applyProtection="1">
      <alignment horizontal="right" vertical="center"/>
      <protection/>
    </xf>
    <xf numFmtId="2" fontId="8" fillId="0" borderId="21" xfId="42" applyNumberFormat="1" applyFont="1" applyFill="1" applyBorder="1" applyAlignment="1" applyProtection="1">
      <alignment vertical="center"/>
      <protection/>
    </xf>
    <xf numFmtId="4" fontId="8" fillId="0" borderId="21" xfId="42" applyNumberFormat="1" applyFont="1" applyFill="1" applyBorder="1" applyAlignment="1" applyProtection="1">
      <alignment horizontal="right" vertical="center"/>
      <protection locked="0"/>
    </xf>
    <xf numFmtId="3" fontId="8" fillId="0" borderId="21" xfId="42" applyNumberFormat="1" applyFont="1" applyFill="1" applyBorder="1" applyAlignment="1" applyProtection="1">
      <alignment horizontal="right" vertical="center"/>
      <protection locked="0"/>
    </xf>
    <xf numFmtId="2" fontId="8" fillId="0" borderId="22" xfId="42" applyNumberFormat="1" applyFont="1" applyFill="1" applyBorder="1" applyAlignment="1" applyProtection="1">
      <alignment vertical="center"/>
      <protection/>
    </xf>
    <xf numFmtId="0" fontId="8" fillId="0" borderId="23" xfId="0" applyFont="1" applyFill="1" applyBorder="1" applyAlignment="1" applyProtection="1">
      <alignment horizontal="left" vertical="center"/>
      <protection locked="0"/>
    </xf>
    <xf numFmtId="184" fontId="8" fillId="0" borderId="24" xfId="0" applyNumberFormat="1" applyFont="1" applyFill="1" applyBorder="1" applyAlignment="1" applyProtection="1">
      <alignment horizontal="center" vertical="center"/>
      <protection locked="0"/>
    </xf>
    <xf numFmtId="184" fontId="8" fillId="0" borderId="24" xfId="0" applyNumberFormat="1" applyFont="1" applyFill="1" applyBorder="1" applyAlignment="1" applyProtection="1">
      <alignment vertical="center"/>
      <protection locked="0"/>
    </xf>
    <xf numFmtId="0" fontId="8" fillId="0" borderId="24" xfId="0" applyFont="1" applyFill="1" applyBorder="1" applyAlignment="1" applyProtection="1">
      <alignment horizontal="right" vertical="center"/>
      <protection locked="0"/>
    </xf>
    <xf numFmtId="4" fontId="38" fillId="0" borderId="24" xfId="42" applyNumberFormat="1" applyFont="1" applyFill="1" applyBorder="1" applyAlignment="1" applyProtection="1">
      <alignment horizontal="right" vertical="center"/>
      <protection locked="0"/>
    </xf>
    <xf numFmtId="3" fontId="38" fillId="0" borderId="24" xfId="42" applyNumberFormat="1" applyFont="1" applyFill="1" applyBorder="1" applyAlignment="1" applyProtection="1">
      <alignment horizontal="right" vertical="center"/>
      <protection locked="0"/>
    </xf>
    <xf numFmtId="3" fontId="8" fillId="0" borderId="24" xfId="42" applyNumberFormat="1" applyFont="1" applyFill="1" applyBorder="1" applyAlignment="1" applyProtection="1">
      <alignment horizontal="right" vertical="center"/>
      <protection/>
    </xf>
    <xf numFmtId="2" fontId="8" fillId="0" borderId="24" xfId="42" applyNumberFormat="1" applyFont="1" applyFill="1" applyBorder="1" applyAlignment="1" applyProtection="1">
      <alignment horizontal="right" vertical="center"/>
      <protection/>
    </xf>
    <xf numFmtId="4" fontId="8" fillId="0" borderId="24" xfId="42" applyNumberFormat="1" applyFont="1" applyFill="1" applyBorder="1" applyAlignment="1" applyProtection="1">
      <alignment horizontal="right" vertical="center"/>
      <protection locked="0"/>
    </xf>
    <xf numFmtId="3" fontId="8" fillId="0" borderId="24" xfId="42" applyNumberFormat="1" applyFont="1" applyFill="1" applyBorder="1" applyAlignment="1" applyProtection="1">
      <alignment horizontal="right" vertical="center"/>
      <protection locked="0"/>
    </xf>
    <xf numFmtId="2" fontId="8" fillId="0" borderId="25" xfId="42" applyNumberFormat="1" applyFont="1" applyFill="1" applyBorder="1" applyAlignment="1" applyProtection="1">
      <alignment vertical="center"/>
      <protection/>
    </xf>
    <xf numFmtId="0" fontId="8" fillId="0" borderId="24" xfId="0" applyFont="1" applyFill="1" applyBorder="1" applyAlignment="1" applyProtection="1">
      <alignment vertical="center"/>
      <protection locked="0"/>
    </xf>
    <xf numFmtId="3" fontId="38" fillId="0" borderId="24" xfId="42" applyNumberFormat="1" applyFont="1" applyFill="1" applyBorder="1" applyAlignment="1" applyProtection="1">
      <alignment vertical="center"/>
      <protection locked="0"/>
    </xf>
    <xf numFmtId="3" fontId="8" fillId="0" borderId="24" xfId="42" applyNumberFormat="1" applyFont="1" applyFill="1" applyBorder="1" applyAlignment="1" applyProtection="1">
      <alignment vertical="center"/>
      <protection locked="0"/>
    </xf>
    <xf numFmtId="4" fontId="38" fillId="0" borderId="24" xfId="42" applyNumberFormat="1" applyFont="1" applyFill="1" applyBorder="1" applyAlignment="1" applyProtection="1">
      <alignment vertical="center"/>
      <protection locked="0"/>
    </xf>
    <xf numFmtId="4" fontId="8" fillId="0" borderId="24" xfId="42" applyNumberFormat="1" applyFont="1" applyFill="1" applyBorder="1" applyAlignment="1" applyProtection="1">
      <alignment vertical="center"/>
      <protection locked="0"/>
    </xf>
    <xf numFmtId="184" fontId="8" fillId="0" borderId="24" xfId="0" applyNumberFormat="1" applyFont="1" applyFill="1" applyBorder="1" applyAlignment="1">
      <alignment horizontal="center" vertical="center"/>
    </xf>
    <xf numFmtId="0" fontId="8" fillId="0" borderId="24" xfId="0" applyFont="1" applyFill="1" applyBorder="1" applyAlignment="1">
      <alignment vertical="center"/>
    </xf>
    <xf numFmtId="4" fontId="38" fillId="0" borderId="24" xfId="0" applyNumberFormat="1" applyFont="1" applyFill="1" applyBorder="1" applyAlignment="1">
      <alignment vertical="center"/>
    </xf>
    <xf numFmtId="3" fontId="38" fillId="0" borderId="24" xfId="0" applyNumberFormat="1" applyFont="1" applyFill="1" applyBorder="1" applyAlignment="1">
      <alignment vertical="center"/>
    </xf>
    <xf numFmtId="3" fontId="8" fillId="0" borderId="24" xfId="0" applyNumberFormat="1" applyFont="1" applyFill="1" applyBorder="1" applyAlignment="1">
      <alignment vertical="center"/>
    </xf>
    <xf numFmtId="4" fontId="8" fillId="0" borderId="24" xfId="0" applyNumberFormat="1" applyFont="1" applyFill="1" applyBorder="1" applyAlignment="1">
      <alignment vertical="center"/>
    </xf>
    <xf numFmtId="0" fontId="8" fillId="0" borderId="24" xfId="0" applyFont="1" applyFill="1" applyBorder="1" applyAlignment="1">
      <alignment horizontal="left" vertical="center"/>
    </xf>
    <xf numFmtId="0" fontId="8" fillId="0" borderId="24" xfId="0" applyFont="1" applyFill="1" applyBorder="1" applyAlignment="1">
      <alignment horizontal="right" vertical="center"/>
    </xf>
    <xf numFmtId="0" fontId="9" fillId="0" borderId="12" xfId="0" applyFont="1" applyBorder="1" applyAlignment="1" applyProtection="1">
      <alignment vertical="center"/>
      <protection locked="0"/>
    </xf>
    <xf numFmtId="0" fontId="9" fillId="0" borderId="12" xfId="0" applyFont="1" applyBorder="1" applyAlignment="1" applyProtection="1">
      <alignment horizontal="center" vertical="center"/>
      <protection locked="0"/>
    </xf>
    <xf numFmtId="0" fontId="9" fillId="0" borderId="12" xfId="0" applyFont="1" applyFill="1" applyBorder="1" applyAlignment="1" applyProtection="1">
      <alignment vertical="center"/>
      <protection locked="0"/>
    </xf>
    <xf numFmtId="4" fontId="38" fillId="0" borderId="24" xfId="0" applyNumberFormat="1" applyFont="1" applyFill="1" applyBorder="1" applyAlignment="1">
      <alignment horizontal="right" vertical="center"/>
    </xf>
    <xf numFmtId="0" fontId="8" fillId="0" borderId="23" xfId="0" applyFont="1" applyFill="1" applyBorder="1" applyAlignment="1">
      <alignment horizontal="left" vertical="center"/>
    </xf>
    <xf numFmtId="3" fontId="38" fillId="0" borderId="24" xfId="0" applyNumberFormat="1" applyFont="1" applyFill="1" applyBorder="1" applyAlignment="1">
      <alignment horizontal="right" vertical="center"/>
    </xf>
    <xf numFmtId="3" fontId="8" fillId="0" borderId="24" xfId="0" applyNumberFormat="1" applyFont="1" applyFill="1" applyBorder="1" applyAlignment="1">
      <alignment horizontal="right" vertical="center"/>
    </xf>
    <xf numFmtId="4" fontId="8" fillId="0" borderId="24" xfId="0" applyNumberFormat="1" applyFont="1" applyFill="1" applyBorder="1" applyAlignment="1">
      <alignment horizontal="right" vertical="center"/>
    </xf>
    <xf numFmtId="0" fontId="8" fillId="0" borderId="24" xfId="0" applyFont="1" applyFill="1" applyBorder="1" applyAlignment="1" applyProtection="1">
      <alignment horizontal="left" vertical="center"/>
      <protection locked="0"/>
    </xf>
    <xf numFmtId="0" fontId="8" fillId="0" borderId="24" xfId="0" applyFont="1" applyBorder="1" applyAlignment="1">
      <alignment horizontal="right" vertical="center"/>
    </xf>
    <xf numFmtId="4" fontId="38" fillId="0" borderId="24" xfId="0" applyNumberFormat="1" applyFont="1" applyBorder="1" applyAlignment="1">
      <alignment horizontal="right" vertical="center"/>
    </xf>
    <xf numFmtId="3" fontId="38" fillId="0" borderId="24" xfId="0" applyNumberFormat="1" applyFont="1" applyBorder="1" applyAlignment="1">
      <alignment horizontal="right" vertical="center"/>
    </xf>
    <xf numFmtId="0" fontId="9" fillId="0" borderId="12" xfId="0" applyFont="1" applyFill="1" applyBorder="1" applyAlignment="1">
      <alignment vertical="center"/>
    </xf>
    <xf numFmtId="1" fontId="9" fillId="0" borderId="12" xfId="0" applyNumberFormat="1" applyFont="1" applyFill="1" applyBorder="1" applyAlignment="1" applyProtection="1">
      <alignment horizontal="right" vertical="center"/>
      <protection locked="0"/>
    </xf>
    <xf numFmtId="0" fontId="8" fillId="0" borderId="23" xfId="0" applyFont="1" applyFill="1" applyBorder="1" applyAlignment="1">
      <alignment vertical="center"/>
    </xf>
    <xf numFmtId="4" fontId="38" fillId="0" borderId="24" xfId="40" applyNumberFormat="1" applyFont="1" applyFill="1" applyBorder="1" applyAlignment="1" applyProtection="1">
      <alignment horizontal="right" vertical="center"/>
      <protection/>
    </xf>
    <xf numFmtId="3" fontId="38" fillId="0" borderId="24" xfId="40" applyNumberFormat="1" applyFont="1" applyFill="1" applyBorder="1" applyAlignment="1" applyProtection="1">
      <alignment vertical="center"/>
      <protection/>
    </xf>
    <xf numFmtId="4" fontId="8" fillId="0" borderId="24" xfId="40" applyNumberFormat="1" applyFont="1" applyFill="1" applyBorder="1" applyAlignment="1" applyProtection="1">
      <alignment horizontal="right" vertical="center"/>
      <protection/>
    </xf>
    <xf numFmtId="3" fontId="38" fillId="0" borderId="24" xfId="40" applyNumberFormat="1" applyFont="1" applyFill="1" applyBorder="1" applyAlignment="1" applyProtection="1">
      <alignment horizontal="right" vertical="center"/>
      <protection/>
    </xf>
    <xf numFmtId="1" fontId="9" fillId="0" borderId="12" xfId="0" applyNumberFormat="1" applyFont="1" applyFill="1" applyBorder="1" applyAlignment="1" applyProtection="1">
      <alignment horizontal="right" vertical="center"/>
      <protection locked="0"/>
    </xf>
    <xf numFmtId="0" fontId="8" fillId="34" borderId="23" xfId="0" applyFont="1" applyFill="1" applyBorder="1" applyAlignment="1">
      <alignment horizontal="left" vertical="center"/>
    </xf>
    <xf numFmtId="184" fontId="8" fillId="34" borderId="24" xfId="0" applyNumberFormat="1" applyFont="1" applyFill="1" applyBorder="1" applyAlignment="1">
      <alignment horizontal="center" vertical="center"/>
    </xf>
    <xf numFmtId="0" fontId="8" fillId="34" borderId="24" xfId="0" applyFont="1" applyFill="1" applyBorder="1" applyAlignment="1">
      <alignment horizontal="right" vertical="center"/>
    </xf>
    <xf numFmtId="0" fontId="9" fillId="35" borderId="12" xfId="0" applyFont="1" applyFill="1" applyBorder="1" applyAlignment="1" applyProtection="1">
      <alignment vertical="center"/>
      <protection locked="0"/>
    </xf>
    <xf numFmtId="184" fontId="8" fillId="0" borderId="24" xfId="0" applyNumberFormat="1" applyFont="1" applyBorder="1" applyAlignment="1">
      <alignment horizontal="center" vertical="center"/>
    </xf>
    <xf numFmtId="0" fontId="8" fillId="0" borderId="23" xfId="0" applyNumberFormat="1" applyFont="1" applyFill="1" applyBorder="1" applyAlignment="1" applyProtection="1">
      <alignment horizontal="left" vertical="center"/>
      <protection locked="0"/>
    </xf>
    <xf numFmtId="0" fontId="8" fillId="0" borderId="24" xfId="0" applyNumberFormat="1" applyFont="1" applyFill="1" applyBorder="1" applyAlignment="1" applyProtection="1">
      <alignment horizontal="right" vertical="center"/>
      <protection locked="0"/>
    </xf>
    <xf numFmtId="4" fontId="38" fillId="0" borderId="24" xfId="44" applyNumberFormat="1" applyFont="1" applyFill="1" applyBorder="1" applyAlignment="1" applyProtection="1">
      <alignment horizontal="right" vertical="center"/>
      <protection locked="0"/>
    </xf>
    <xf numFmtId="3" fontId="38" fillId="0" borderId="24" xfId="44" applyNumberFormat="1" applyFont="1" applyFill="1" applyBorder="1" applyAlignment="1" applyProtection="1">
      <alignment horizontal="right" vertical="center"/>
      <protection locked="0"/>
    </xf>
    <xf numFmtId="4" fontId="8" fillId="0" borderId="24" xfId="44" applyNumberFormat="1" applyFont="1" applyFill="1" applyBorder="1" applyAlignment="1" applyProtection="1">
      <alignment horizontal="right" vertical="center"/>
      <protection locked="0"/>
    </xf>
    <xf numFmtId="3" fontId="8" fillId="0" borderId="24" xfId="44" applyNumberFormat="1" applyFont="1" applyFill="1" applyBorder="1" applyAlignment="1" applyProtection="1">
      <alignment horizontal="right" vertical="center"/>
      <protection locked="0"/>
    </xf>
    <xf numFmtId="3" fontId="38" fillId="0" borderId="24" xfId="44" applyNumberFormat="1" applyFont="1" applyFill="1" applyBorder="1" applyAlignment="1" applyProtection="1">
      <alignment vertical="center"/>
      <protection locked="0"/>
    </xf>
    <xf numFmtId="3" fontId="8" fillId="0" borderId="24" xfId="44" applyNumberFormat="1" applyFont="1" applyFill="1" applyBorder="1" applyAlignment="1" applyProtection="1">
      <alignment vertical="center"/>
      <protection locked="0"/>
    </xf>
    <xf numFmtId="0" fontId="9" fillId="35" borderId="12" xfId="0" applyFont="1" applyFill="1" applyBorder="1" applyAlignment="1" applyProtection="1">
      <alignment horizontal="center" vertical="center"/>
      <protection locked="0"/>
    </xf>
    <xf numFmtId="0" fontId="9" fillId="0" borderId="12" xfId="0" applyNumberFormat="1" applyFont="1" applyFill="1" applyBorder="1" applyAlignment="1" applyProtection="1">
      <alignment horizontal="center" vertical="center"/>
      <protection locked="0"/>
    </xf>
    <xf numFmtId="0" fontId="8" fillId="0" borderId="23" xfId="0" applyFont="1" applyFill="1" applyBorder="1" applyAlignment="1" applyProtection="1">
      <alignment vertical="center"/>
      <protection locked="0"/>
    </xf>
    <xf numFmtId="0" fontId="8" fillId="0" borderId="23" xfId="0" applyFont="1" applyFill="1" applyBorder="1" applyAlignment="1">
      <alignment horizontal="left" vertical="center" shrinkToFit="1"/>
    </xf>
    <xf numFmtId="3" fontId="38" fillId="0" borderId="24" xfId="0" applyNumberFormat="1" applyFont="1" applyBorder="1" applyAlignment="1">
      <alignment vertical="center"/>
    </xf>
    <xf numFmtId="0" fontId="9" fillId="0" borderId="12" xfId="0" applyFont="1" applyFill="1" applyBorder="1" applyAlignment="1" applyProtection="1">
      <alignment vertical="center"/>
      <protection locked="0"/>
    </xf>
    <xf numFmtId="4" fontId="38" fillId="0" borderId="24" xfId="43" applyNumberFormat="1" applyFont="1" applyFill="1" applyBorder="1" applyAlignment="1" applyProtection="1">
      <alignment horizontal="right" vertical="center"/>
      <protection locked="0"/>
    </xf>
    <xf numFmtId="3" fontId="38" fillId="0" borderId="24" xfId="43" applyNumberFormat="1" applyFont="1" applyFill="1" applyBorder="1" applyAlignment="1" applyProtection="1">
      <alignment horizontal="right" vertical="center"/>
      <protection locked="0"/>
    </xf>
    <xf numFmtId="4" fontId="8" fillId="0" borderId="24" xfId="43" applyNumberFormat="1" applyFont="1" applyFill="1" applyBorder="1" applyAlignment="1" applyProtection="1">
      <alignment horizontal="right" vertical="center"/>
      <protection locked="0"/>
    </xf>
    <xf numFmtId="3" fontId="8" fillId="0" borderId="24" xfId="43" applyNumberFormat="1" applyFont="1" applyFill="1" applyBorder="1" applyAlignment="1" applyProtection="1">
      <alignment horizontal="right" vertical="center"/>
      <protection locked="0"/>
    </xf>
    <xf numFmtId="0" fontId="8" fillId="0" borderId="24" xfId="0" applyFont="1" applyBorder="1" applyAlignment="1">
      <alignment horizontal="left" vertical="center"/>
    </xf>
    <xf numFmtId="184" fontId="8" fillId="0" borderId="24" xfId="0" applyNumberFormat="1" applyFont="1" applyFill="1" applyBorder="1" applyAlignment="1" applyProtection="1">
      <alignment horizontal="left" vertical="center"/>
      <protection locked="0"/>
    </xf>
    <xf numFmtId="4" fontId="38" fillId="0" borderId="24" xfId="40" applyNumberFormat="1" applyFont="1" applyFill="1" applyBorder="1" applyAlignment="1" applyProtection="1">
      <alignment vertical="center"/>
      <protection/>
    </xf>
    <xf numFmtId="4" fontId="8" fillId="0" borderId="24" xfId="40" applyNumberFormat="1" applyFont="1" applyFill="1" applyBorder="1" applyAlignment="1" applyProtection="1">
      <alignment vertical="center"/>
      <protection/>
    </xf>
    <xf numFmtId="14" fontId="8" fillId="0" borderId="24" xfId="0" applyNumberFormat="1" applyFont="1" applyFill="1" applyBorder="1" applyAlignment="1">
      <alignment horizontal="left" vertical="center"/>
    </xf>
    <xf numFmtId="0" fontId="8" fillId="35" borderId="23" xfId="0" applyFont="1" applyFill="1" applyBorder="1" applyAlignment="1">
      <alignment horizontal="left" vertical="center"/>
    </xf>
    <xf numFmtId="184" fontId="8" fillId="35" borderId="24" xfId="0" applyNumberFormat="1" applyFont="1" applyFill="1" applyBorder="1" applyAlignment="1">
      <alignment horizontal="center" vertical="center"/>
    </xf>
    <xf numFmtId="0" fontId="8" fillId="35" borderId="24" xfId="0" applyFont="1" applyFill="1" applyBorder="1" applyAlignment="1">
      <alignment horizontal="right" vertical="center"/>
    </xf>
    <xf numFmtId="4" fontId="38" fillId="35" borderId="24" xfId="0" applyNumberFormat="1" applyFont="1" applyFill="1" applyBorder="1" applyAlignment="1">
      <alignment horizontal="right" vertical="center"/>
    </xf>
    <xf numFmtId="3" fontId="38" fillId="35" borderId="24" xfId="0" applyNumberFormat="1" applyFont="1" applyFill="1" applyBorder="1" applyAlignment="1">
      <alignment horizontal="right" vertical="center"/>
    </xf>
    <xf numFmtId="3" fontId="8" fillId="35" borderId="24" xfId="0" applyNumberFormat="1" applyFont="1" applyFill="1" applyBorder="1" applyAlignment="1">
      <alignment horizontal="right" vertical="center"/>
    </xf>
    <xf numFmtId="4" fontId="8" fillId="35" borderId="24" xfId="0" applyNumberFormat="1" applyFont="1" applyFill="1" applyBorder="1" applyAlignment="1">
      <alignment horizontal="right" vertical="center"/>
    </xf>
    <xf numFmtId="0" fontId="38" fillId="0" borderId="23" xfId="0" applyFont="1" applyBorder="1" applyAlignment="1">
      <alignment horizontal="left" vertical="center"/>
    </xf>
    <xf numFmtId="4" fontId="8" fillId="0" borderId="24" xfId="0" applyNumberFormat="1" applyFont="1" applyBorder="1" applyAlignment="1">
      <alignment horizontal="right" vertical="center"/>
    </xf>
    <xf numFmtId="3" fontId="8" fillId="0" borderId="24" xfId="0" applyNumberFormat="1" applyFont="1" applyBorder="1" applyAlignment="1">
      <alignment horizontal="right" vertical="center"/>
    </xf>
    <xf numFmtId="49" fontId="8" fillId="0" borderId="24" xfId="0" applyNumberFormat="1" applyFont="1" applyFill="1" applyBorder="1" applyAlignment="1" applyProtection="1">
      <alignment horizontal="left" vertical="center"/>
      <protection locked="0"/>
    </xf>
    <xf numFmtId="4" fontId="38" fillId="0" borderId="24" xfId="40" applyNumberFormat="1" applyFont="1" applyFill="1" applyBorder="1" applyAlignment="1" applyProtection="1">
      <alignment horizontal="right" vertical="center"/>
      <protection locked="0"/>
    </xf>
    <xf numFmtId="3" fontId="38" fillId="0" borderId="24" xfId="40" applyNumberFormat="1" applyFont="1" applyFill="1" applyBorder="1" applyAlignment="1" applyProtection="1">
      <alignment vertical="center"/>
      <protection locked="0"/>
    </xf>
    <xf numFmtId="4" fontId="8" fillId="0" borderId="24" xfId="40" applyNumberFormat="1" applyFont="1" applyFill="1" applyBorder="1" applyAlignment="1" applyProtection="1">
      <alignment horizontal="right" vertical="center"/>
      <protection locked="0"/>
    </xf>
    <xf numFmtId="3" fontId="8" fillId="0" borderId="24" xfId="40" applyNumberFormat="1" applyFont="1" applyFill="1" applyBorder="1" applyAlignment="1" applyProtection="1">
      <alignment vertical="center"/>
      <protection locked="0"/>
    </xf>
    <xf numFmtId="49" fontId="8" fillId="0" borderId="23" xfId="0" applyNumberFormat="1" applyFont="1" applyFill="1" applyBorder="1" applyAlignment="1" applyProtection="1">
      <alignment horizontal="left" vertical="center"/>
      <protection locked="0"/>
    </xf>
    <xf numFmtId="49" fontId="8" fillId="0" borderId="24" xfId="0" applyNumberFormat="1" applyFont="1" applyFill="1" applyBorder="1" applyAlignment="1" applyProtection="1">
      <alignment horizontal="right" vertical="center"/>
      <protection locked="0"/>
    </xf>
    <xf numFmtId="3" fontId="38" fillId="0" borderId="24" xfId="40" applyNumberFormat="1" applyFont="1" applyFill="1" applyBorder="1" applyAlignment="1" applyProtection="1">
      <alignment horizontal="right" vertical="center"/>
      <protection locked="0"/>
    </xf>
    <xf numFmtId="3" fontId="8" fillId="0" borderId="24" xfId="40" applyNumberFormat="1" applyFont="1" applyFill="1" applyBorder="1" applyAlignment="1" applyProtection="1">
      <alignment horizontal="right" vertical="center"/>
      <protection locked="0"/>
    </xf>
    <xf numFmtId="49" fontId="8" fillId="0" borderId="24" xfId="0" applyNumberFormat="1" applyFont="1" applyFill="1" applyBorder="1" applyAlignment="1" applyProtection="1">
      <alignment vertical="center"/>
      <protection locked="0"/>
    </xf>
    <xf numFmtId="0" fontId="8" fillId="0" borderId="24" xfId="0" applyNumberFormat="1" applyFont="1" applyFill="1" applyBorder="1" applyAlignment="1" applyProtection="1">
      <alignment vertical="center"/>
      <protection locked="0"/>
    </xf>
    <xf numFmtId="0" fontId="8" fillId="0" borderId="26" xfId="0" applyFont="1" applyFill="1" applyBorder="1" applyAlignment="1" applyProtection="1">
      <alignment horizontal="left" vertical="center"/>
      <protection locked="0"/>
    </xf>
    <xf numFmtId="184" fontId="8" fillId="0" borderId="27" xfId="0" applyNumberFormat="1" applyFont="1" applyFill="1" applyBorder="1" applyAlignment="1" applyProtection="1">
      <alignment horizontal="center" vertical="center"/>
      <protection locked="0"/>
    </xf>
    <xf numFmtId="184" fontId="8" fillId="0" borderId="27" xfId="0" applyNumberFormat="1" applyFont="1" applyFill="1" applyBorder="1" applyAlignment="1" applyProtection="1">
      <alignment vertical="center"/>
      <protection locked="0"/>
    </xf>
    <xf numFmtId="0" fontId="8" fillId="0" borderId="27" xfId="0" applyFont="1" applyFill="1" applyBorder="1" applyAlignment="1" applyProtection="1">
      <alignment horizontal="right" vertical="center"/>
      <protection locked="0"/>
    </xf>
    <xf numFmtId="4" fontId="38" fillId="0" borderId="27" xfId="42" applyNumberFormat="1" applyFont="1" applyFill="1" applyBorder="1" applyAlignment="1" applyProtection="1">
      <alignment horizontal="right" vertical="center"/>
      <protection locked="0"/>
    </xf>
    <xf numFmtId="3" fontId="38" fillId="0" borderId="27" xfId="42" applyNumberFormat="1" applyFont="1" applyFill="1" applyBorder="1" applyAlignment="1" applyProtection="1">
      <alignment horizontal="right" vertical="center"/>
      <protection locked="0"/>
    </xf>
    <xf numFmtId="3" fontId="8" fillId="0" borderId="27" xfId="42" applyNumberFormat="1" applyFont="1" applyFill="1" applyBorder="1" applyAlignment="1" applyProtection="1">
      <alignment horizontal="right" vertical="center"/>
      <protection/>
    </xf>
    <xf numFmtId="2" fontId="8" fillId="0" borderId="27" xfId="42" applyNumberFormat="1" applyFont="1" applyFill="1" applyBorder="1" applyAlignment="1" applyProtection="1">
      <alignment horizontal="right" vertical="center"/>
      <protection/>
    </xf>
    <xf numFmtId="4" fontId="8" fillId="0" borderId="27" xfId="42" applyNumberFormat="1" applyFont="1" applyFill="1" applyBorder="1" applyAlignment="1" applyProtection="1">
      <alignment horizontal="right" vertical="center"/>
      <protection locked="0"/>
    </xf>
    <xf numFmtId="3" fontId="8" fillId="0" borderId="27" xfId="42" applyNumberFormat="1" applyFont="1" applyFill="1" applyBorder="1" applyAlignment="1" applyProtection="1">
      <alignment horizontal="right" vertical="center"/>
      <protection locked="0"/>
    </xf>
    <xf numFmtId="4" fontId="38" fillId="0" borderId="24" xfId="40" applyNumberFormat="1" applyFont="1" applyFill="1" applyBorder="1" applyAlignment="1" applyProtection="1">
      <alignment vertical="center"/>
      <protection locked="0"/>
    </xf>
    <xf numFmtId="4" fontId="8" fillId="0" borderId="24" xfId="40" applyNumberFormat="1" applyFont="1" applyFill="1" applyBorder="1" applyAlignment="1" applyProtection="1">
      <alignment vertical="center"/>
      <protection locked="0"/>
    </xf>
    <xf numFmtId="0" fontId="8" fillId="0" borderId="24" xfId="0" applyFont="1" applyFill="1" applyBorder="1" applyAlignment="1">
      <alignment/>
    </xf>
    <xf numFmtId="184" fontId="8" fillId="0" borderId="24" xfId="0" applyNumberFormat="1" applyFont="1" applyFill="1" applyBorder="1" applyAlignment="1">
      <alignment horizontal="center"/>
    </xf>
    <xf numFmtId="0" fontId="8" fillId="0" borderId="24" xfId="0" applyFont="1" applyFill="1" applyBorder="1" applyAlignment="1">
      <alignment horizontal="left"/>
    </xf>
    <xf numFmtId="4" fontId="38" fillId="0" borderId="24" xfId="0" applyNumberFormat="1" applyFont="1" applyFill="1" applyBorder="1" applyAlignment="1">
      <alignment wrapText="1"/>
    </xf>
    <xf numFmtId="3" fontId="38" fillId="0" borderId="24" xfId="0" applyNumberFormat="1" applyFont="1" applyFill="1" applyBorder="1" applyAlignment="1">
      <alignment/>
    </xf>
    <xf numFmtId="4" fontId="8" fillId="0" borderId="24" xfId="0" applyNumberFormat="1" applyFont="1" applyFill="1" applyBorder="1" applyAlignment="1">
      <alignment wrapText="1"/>
    </xf>
    <xf numFmtId="3" fontId="8" fillId="0" borderId="24" xfId="0" applyNumberFormat="1" applyFont="1" applyFill="1" applyBorder="1" applyAlignment="1">
      <alignment/>
    </xf>
    <xf numFmtId="0" fontId="8" fillId="0" borderId="24" xfId="0" applyFont="1" applyFill="1" applyBorder="1" applyAlignment="1">
      <alignment horizontal="left" vertical="center" shrinkToFit="1"/>
    </xf>
    <xf numFmtId="4" fontId="38" fillId="0" borderId="24" xfId="0" applyNumberFormat="1" applyFont="1" applyFill="1" applyBorder="1" applyAlignment="1" applyProtection="1">
      <alignment vertical="center"/>
      <protection locked="0"/>
    </xf>
    <xf numFmtId="3" fontId="38" fillId="0" borderId="24" xfId="0" applyNumberFormat="1" applyFont="1" applyFill="1" applyBorder="1" applyAlignment="1" applyProtection="1">
      <alignment vertical="center"/>
      <protection locked="0"/>
    </xf>
    <xf numFmtId="4" fontId="8" fillId="0" borderId="24" xfId="0" applyNumberFormat="1" applyFont="1" applyFill="1" applyBorder="1" applyAlignment="1" applyProtection="1">
      <alignment vertical="center"/>
      <protection locked="0"/>
    </xf>
    <xf numFmtId="3" fontId="8" fillId="0" borderId="24" xfId="0" applyNumberFormat="1" applyFont="1" applyFill="1" applyBorder="1" applyAlignment="1" applyProtection="1">
      <alignment vertical="center"/>
      <protection locked="0"/>
    </xf>
    <xf numFmtId="0" fontId="8" fillId="0" borderId="23" xfId="0" applyFont="1" applyFill="1" applyBorder="1" applyAlignment="1">
      <alignment vertical="center" shrinkToFit="1"/>
    </xf>
    <xf numFmtId="0" fontId="8" fillId="0" borderId="23" xfId="0" applyFont="1" applyFill="1" applyBorder="1" applyAlignment="1">
      <alignment/>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8" fillId="0" borderId="11" xfId="0" applyFont="1" applyFill="1" applyBorder="1" applyAlignment="1">
      <alignment horizontal="left" vertical="center"/>
    </xf>
    <xf numFmtId="184" fontId="8" fillId="0" borderId="11" xfId="0" applyNumberFormat="1" applyFont="1" applyFill="1" applyBorder="1" applyAlignment="1">
      <alignment horizontal="center" vertical="center"/>
    </xf>
    <xf numFmtId="0" fontId="12" fillId="0" borderId="10" xfId="0" applyFont="1" applyBorder="1" applyAlignment="1">
      <alignment horizontal="center"/>
    </xf>
    <xf numFmtId="1" fontId="43" fillId="0" borderId="28" xfId="0" applyNumberFormat="1" applyFont="1" applyFill="1" applyBorder="1" applyAlignment="1" applyProtection="1">
      <alignment horizontal="center" wrapText="1"/>
      <protection/>
    </xf>
    <xf numFmtId="0" fontId="44" fillId="0" borderId="0" xfId="0" applyFont="1" applyFill="1" applyBorder="1" applyAlignment="1" applyProtection="1">
      <alignment horizontal="center" wrapText="1"/>
      <protection locked="0"/>
    </xf>
    <xf numFmtId="0" fontId="43" fillId="0" borderId="0" xfId="0" applyFont="1" applyFill="1" applyBorder="1" applyAlignment="1" applyProtection="1">
      <alignment horizontal="center" wrapText="1"/>
      <protection locked="0"/>
    </xf>
    <xf numFmtId="1" fontId="44" fillId="0" borderId="29" xfId="0" applyNumberFormat="1" applyFont="1" applyFill="1" applyBorder="1" applyAlignment="1" applyProtection="1">
      <alignment horizontal="center" wrapText="1"/>
      <protection/>
    </xf>
    <xf numFmtId="200" fontId="43" fillId="0" borderId="27" xfId="0" applyNumberFormat="1" applyFont="1" applyFill="1" applyBorder="1" applyAlignment="1" applyProtection="1">
      <alignment horizontal="center" wrapText="1"/>
      <protection/>
    </xf>
    <xf numFmtId="193" fontId="43" fillId="0" borderId="27" xfId="0" applyNumberFormat="1" applyFont="1" applyFill="1" applyBorder="1" applyAlignment="1" applyProtection="1">
      <alignment horizontal="center" wrapText="1"/>
      <protection/>
    </xf>
    <xf numFmtId="192" fontId="43" fillId="0" borderId="27" xfId="0" applyNumberFormat="1" applyFont="1" applyFill="1" applyBorder="1" applyAlignment="1" applyProtection="1">
      <alignment horizontal="center" wrapText="1"/>
      <protection/>
    </xf>
    <xf numFmtId="192" fontId="43" fillId="0" borderId="30" xfId="0" applyNumberFormat="1" applyFont="1" applyFill="1" applyBorder="1" applyAlignment="1" applyProtection="1">
      <alignment horizontal="center" wrapText="1"/>
      <protection/>
    </xf>
    <xf numFmtId="0" fontId="43" fillId="0" borderId="29" xfId="0" applyFont="1" applyBorder="1" applyAlignment="1" applyProtection="1">
      <alignment vertical="center"/>
      <protection locked="0"/>
    </xf>
    <xf numFmtId="0" fontId="43" fillId="0" borderId="31" xfId="0" applyFont="1" applyFill="1" applyBorder="1" applyAlignment="1" applyProtection="1">
      <alignment vertical="center"/>
      <protection locked="0"/>
    </xf>
    <xf numFmtId="0" fontId="43" fillId="0" borderId="32" xfId="0" applyFont="1" applyBorder="1" applyAlignment="1" applyProtection="1">
      <alignment vertical="center"/>
      <protection locked="0"/>
    </xf>
    <xf numFmtId="1" fontId="26" fillId="0" borderId="33" xfId="0" applyNumberFormat="1" applyFont="1" applyFill="1" applyBorder="1" applyAlignment="1" applyProtection="1">
      <alignment horizontal="right" vertical="center"/>
      <protection/>
    </xf>
    <xf numFmtId="43" fontId="22" fillId="0" borderId="34" xfId="40" applyFont="1" applyFill="1" applyBorder="1" applyAlignment="1" applyProtection="1">
      <alignment vertical="center"/>
      <protection/>
    </xf>
    <xf numFmtId="184" fontId="3" fillId="0" borderId="34" xfId="0" applyNumberFormat="1" applyFont="1" applyFill="1" applyBorder="1" applyAlignment="1" applyProtection="1">
      <alignment horizontal="center" vertical="center"/>
      <protection/>
    </xf>
    <xf numFmtId="0" fontId="3" fillId="0" borderId="34" xfId="0" applyFont="1" applyFill="1" applyBorder="1" applyAlignment="1" applyProtection="1">
      <alignment horizontal="left" vertical="center"/>
      <protection/>
    </xf>
    <xf numFmtId="0" fontId="15" fillId="0" borderId="34" xfId="0" applyNumberFormat="1" applyFont="1" applyFill="1" applyBorder="1" applyAlignment="1" applyProtection="1">
      <alignment horizontal="right" vertical="center"/>
      <protection/>
    </xf>
    <xf numFmtId="200" fontId="17" fillId="0" borderId="34" xfId="0" applyNumberFormat="1" applyFont="1" applyFill="1" applyBorder="1" applyAlignment="1" applyProtection="1">
      <alignment horizontal="right" vertical="center"/>
      <protection/>
    </xf>
    <xf numFmtId="193" fontId="20" fillId="0" borderId="34" xfId="0" applyNumberFormat="1" applyFont="1" applyFill="1" applyBorder="1" applyAlignment="1" applyProtection="1">
      <alignment horizontal="right" vertical="center"/>
      <protection/>
    </xf>
    <xf numFmtId="193" fontId="26" fillId="0" borderId="34" xfId="0" applyNumberFormat="1" applyFont="1" applyFill="1" applyBorder="1" applyAlignment="1" applyProtection="1">
      <alignment horizontal="right" vertical="center"/>
      <protection/>
    </xf>
    <xf numFmtId="192" fontId="27" fillId="0" borderId="34" xfId="0" applyNumberFormat="1" applyFont="1" applyFill="1" applyBorder="1" applyAlignment="1" applyProtection="1">
      <alignment horizontal="right" vertical="center"/>
      <protection/>
    </xf>
    <xf numFmtId="200" fontId="27" fillId="0" borderId="34" xfId="0" applyNumberFormat="1" applyFont="1" applyFill="1" applyBorder="1" applyAlignment="1" applyProtection="1">
      <alignment horizontal="right" vertical="center"/>
      <protection/>
    </xf>
    <xf numFmtId="193" fontId="27" fillId="0" borderId="34" xfId="0" applyNumberFormat="1" applyFont="1" applyFill="1" applyBorder="1" applyAlignment="1" applyProtection="1">
      <alignment horizontal="right" vertical="center"/>
      <protection/>
    </xf>
    <xf numFmtId="192" fontId="27" fillId="0" borderId="35" xfId="0" applyNumberFormat="1" applyFont="1" applyFill="1" applyBorder="1" applyAlignment="1" applyProtection="1">
      <alignment horizontal="right" vertical="center"/>
      <protection/>
    </xf>
    <xf numFmtId="0" fontId="40" fillId="0" borderId="0" xfId="0" applyFont="1" applyBorder="1" applyAlignment="1">
      <alignment horizontal="center"/>
    </xf>
    <xf numFmtId="0" fontId="43" fillId="0" borderId="0" xfId="0" applyFont="1" applyFill="1" applyBorder="1" applyAlignment="1">
      <alignment horizontal="right" vertical="center"/>
    </xf>
    <xf numFmtId="0" fontId="43" fillId="0" borderId="36" xfId="0" applyFont="1" applyFill="1" applyBorder="1" applyAlignment="1">
      <alignment horizontal="right" vertical="center"/>
    </xf>
    <xf numFmtId="0" fontId="43" fillId="0" borderId="16" xfId="0" applyFont="1" applyFill="1" applyBorder="1" applyAlignment="1">
      <alignment horizontal="right" vertical="center"/>
    </xf>
    <xf numFmtId="0" fontId="43" fillId="0" borderId="32" xfId="0" applyFont="1" applyFill="1" applyBorder="1" applyAlignment="1">
      <alignment horizontal="center"/>
    </xf>
    <xf numFmtId="4" fontId="44" fillId="0" borderId="0" xfId="0" applyNumberFormat="1" applyFont="1" applyFill="1" applyBorder="1" applyAlignment="1">
      <alignment horizontal="center"/>
    </xf>
    <xf numFmtId="4" fontId="43" fillId="0" borderId="10" xfId="0" applyNumberFormat="1" applyFont="1" applyFill="1" applyBorder="1" applyAlignment="1">
      <alignment horizontal="center"/>
    </xf>
    <xf numFmtId="3" fontId="43" fillId="0" borderId="10" xfId="0" applyNumberFormat="1" applyFont="1" applyFill="1" applyBorder="1" applyAlignment="1">
      <alignment horizontal="center"/>
    </xf>
    <xf numFmtId="0" fontId="43" fillId="0" borderId="10" xfId="0" applyFont="1" applyFill="1" applyBorder="1" applyAlignment="1">
      <alignment horizontal="center"/>
    </xf>
    <xf numFmtId="0" fontId="44" fillId="0" borderId="37" xfId="0" applyFont="1" applyFill="1" applyBorder="1" applyAlignment="1">
      <alignment horizontal="center"/>
    </xf>
    <xf numFmtId="200" fontId="43" fillId="0" borderId="38" xfId="0" applyNumberFormat="1" applyFont="1" applyFill="1" applyBorder="1" applyAlignment="1" applyProtection="1">
      <alignment horizontal="center" wrapText="1"/>
      <protection/>
    </xf>
    <xf numFmtId="193" fontId="43" fillId="0" borderId="38" xfId="0" applyNumberFormat="1" applyFont="1" applyFill="1" applyBorder="1" applyAlignment="1" applyProtection="1">
      <alignment horizontal="center" wrapText="1"/>
      <protection/>
    </xf>
    <xf numFmtId="4" fontId="43" fillId="0" borderId="11" xfId="0" applyNumberFormat="1" applyFont="1" applyFill="1" applyBorder="1" applyAlignment="1">
      <alignment horizontal="center"/>
    </xf>
    <xf numFmtId="3" fontId="43" fillId="0" borderId="11" xfId="0" applyNumberFormat="1" applyFont="1" applyFill="1" applyBorder="1" applyAlignment="1">
      <alignment horizontal="center"/>
    </xf>
    <xf numFmtId="0" fontId="43" fillId="0" borderId="11" xfId="0" applyFont="1" applyFill="1" applyBorder="1" applyAlignment="1">
      <alignment horizontal="center"/>
    </xf>
    <xf numFmtId="4" fontId="43" fillId="0" borderId="39" xfId="0" applyNumberFormat="1" applyFont="1" applyFill="1" applyBorder="1" applyAlignment="1" applyProtection="1">
      <alignment horizontal="center" wrapText="1"/>
      <protection/>
    </xf>
    <xf numFmtId="3" fontId="43" fillId="0" borderId="39" xfId="0" applyNumberFormat="1" applyFont="1" applyFill="1" applyBorder="1" applyAlignment="1" applyProtection="1">
      <alignment horizontal="center" wrapText="1"/>
      <protection/>
    </xf>
    <xf numFmtId="2" fontId="43" fillId="0" borderId="39" xfId="0" applyNumberFormat="1" applyFont="1" applyFill="1" applyBorder="1" applyAlignment="1" applyProtection="1">
      <alignment horizontal="center" wrapText="1"/>
      <protection/>
    </xf>
    <xf numFmtId="1" fontId="43" fillId="0" borderId="40" xfId="0" applyNumberFormat="1" applyFont="1" applyFill="1" applyBorder="1" applyAlignment="1" applyProtection="1">
      <alignment horizontal="center" wrapText="1"/>
      <protection/>
    </xf>
    <xf numFmtId="1" fontId="44" fillId="0" borderId="41" xfId="0" applyNumberFormat="1" applyFont="1" applyFill="1" applyBorder="1" applyAlignment="1" applyProtection="1">
      <alignment horizontal="center" wrapText="1"/>
      <protection/>
    </xf>
    <xf numFmtId="0" fontId="42" fillId="0" borderId="32" xfId="0" applyFont="1" applyFill="1" applyBorder="1" applyAlignment="1" applyProtection="1">
      <alignment horizontal="right" vertical="center"/>
      <protection/>
    </xf>
    <xf numFmtId="0" fontId="47" fillId="0" borderId="11" xfId="0" applyFont="1" applyFill="1" applyBorder="1" applyAlignment="1" applyProtection="1">
      <alignment horizontal="center" vertical="center"/>
      <protection/>
    </xf>
    <xf numFmtId="0" fontId="48" fillId="0" borderId="11" xfId="0" applyFont="1" applyFill="1" applyBorder="1" applyAlignment="1" applyProtection="1">
      <alignment horizontal="left" vertical="center"/>
      <protection/>
    </xf>
    <xf numFmtId="0" fontId="49" fillId="0" borderId="11" xfId="0" applyFont="1" applyBorder="1" applyAlignment="1">
      <alignment horizontal="left" vertical="center"/>
    </xf>
    <xf numFmtId="0" fontId="50" fillId="0" borderId="11" xfId="0" applyFont="1" applyFill="1" applyBorder="1" applyAlignment="1" applyProtection="1">
      <alignment vertical="center"/>
      <protection/>
    </xf>
    <xf numFmtId="0" fontId="46" fillId="0" borderId="18" xfId="0" applyFont="1" applyBorder="1" applyAlignment="1">
      <alignment horizontal="left" vertical="center"/>
    </xf>
    <xf numFmtId="0" fontId="46" fillId="0" borderId="0" xfId="0" applyFont="1" applyBorder="1" applyAlignment="1">
      <alignment horizontal="left" vertical="center"/>
    </xf>
    <xf numFmtId="0" fontId="46" fillId="0" borderId="0" xfId="0" applyFont="1" applyBorder="1" applyAlignment="1">
      <alignment vertical="center"/>
    </xf>
    <xf numFmtId="1" fontId="26" fillId="0" borderId="10"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vertical="center"/>
      <protection locked="0"/>
    </xf>
    <xf numFmtId="184" fontId="5" fillId="0" borderId="1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protection locked="0"/>
    </xf>
    <xf numFmtId="0" fontId="15" fillId="0" borderId="10" xfId="0" applyNumberFormat="1" applyFont="1" applyFill="1" applyBorder="1" applyAlignment="1" applyProtection="1">
      <alignment horizontal="right" vertical="center"/>
      <protection locked="0"/>
    </xf>
    <xf numFmtId="200" fontId="17" fillId="0" borderId="10" xfId="0" applyNumberFormat="1" applyFont="1" applyFill="1" applyBorder="1" applyAlignment="1" applyProtection="1">
      <alignment horizontal="right" vertical="center"/>
      <protection locked="0"/>
    </xf>
    <xf numFmtId="193" fontId="20" fillId="0" borderId="10" xfId="0" applyNumberFormat="1" applyFont="1" applyFill="1" applyBorder="1" applyAlignment="1" applyProtection="1">
      <alignment horizontal="right" vertical="center"/>
      <protection locked="0"/>
    </xf>
    <xf numFmtId="193" fontId="26" fillId="0" borderId="10" xfId="0" applyNumberFormat="1" applyFont="1" applyFill="1" applyBorder="1" applyAlignment="1" applyProtection="1">
      <alignment horizontal="right" vertical="center"/>
      <protection locked="0"/>
    </xf>
    <xf numFmtId="192" fontId="27" fillId="0" borderId="10" xfId="0" applyNumberFormat="1" applyFont="1" applyFill="1" applyBorder="1" applyAlignment="1" applyProtection="1">
      <alignment horizontal="right" vertical="center"/>
      <protection locked="0"/>
    </xf>
    <xf numFmtId="200" fontId="27" fillId="0" borderId="10" xfId="0" applyNumberFormat="1" applyFont="1" applyFill="1" applyBorder="1" applyAlignment="1" applyProtection="1">
      <alignment horizontal="right" vertical="center"/>
      <protection locked="0"/>
    </xf>
    <xf numFmtId="193" fontId="27" fillId="0" borderId="10" xfId="0" applyNumberFormat="1" applyFont="1" applyFill="1" applyBorder="1" applyAlignment="1" applyProtection="1">
      <alignment horizontal="right" vertical="center"/>
      <protection locked="0"/>
    </xf>
    <xf numFmtId="192" fontId="27" fillId="0" borderId="15" xfId="0" applyNumberFormat="1" applyFont="1" applyFill="1" applyBorder="1" applyAlignment="1" applyProtection="1">
      <alignment horizontal="right" vertical="center"/>
      <protection locked="0"/>
    </xf>
    <xf numFmtId="0" fontId="46" fillId="0" borderId="11" xfId="0" applyFont="1" applyBorder="1" applyAlignment="1">
      <alignment horizontal="left" vertical="center"/>
    </xf>
    <xf numFmtId="0" fontId="46" fillId="0" borderId="11" xfId="0" applyFont="1" applyBorder="1" applyAlignment="1">
      <alignment vertical="center"/>
    </xf>
    <xf numFmtId="0" fontId="34" fillId="0" borderId="11" xfId="0" applyFont="1" applyFill="1" applyBorder="1" applyAlignment="1" applyProtection="1">
      <alignment vertical="center"/>
      <protection locked="0"/>
    </xf>
    <xf numFmtId="0" fontId="34" fillId="0" borderId="16" xfId="0" applyFont="1" applyFill="1" applyBorder="1" applyAlignment="1" applyProtection="1">
      <alignment vertical="center"/>
      <protection locked="0"/>
    </xf>
    <xf numFmtId="0" fontId="47" fillId="0" borderId="12" xfId="0" applyFont="1" applyFill="1" applyBorder="1" applyAlignment="1" applyProtection="1">
      <alignment horizontal="center" vertical="center"/>
      <protection/>
    </xf>
    <xf numFmtId="0" fontId="49" fillId="0" borderId="12" xfId="0" applyFont="1" applyBorder="1" applyAlignment="1">
      <alignment horizontal="left" vertical="center"/>
    </xf>
    <xf numFmtId="0" fontId="50" fillId="0" borderId="12" xfId="0" applyFont="1" applyFill="1" applyBorder="1" applyAlignment="1" applyProtection="1">
      <alignment vertical="center"/>
      <protection/>
    </xf>
    <xf numFmtId="0" fontId="30" fillId="0" borderId="0" xfId="0" applyFont="1" applyFill="1" applyBorder="1" applyAlignment="1" applyProtection="1">
      <alignment horizontal="center" vertical="center"/>
      <protection/>
    </xf>
    <xf numFmtId="0" fontId="47" fillId="0" borderId="0" xfId="0" applyFont="1" applyFill="1" applyBorder="1" applyAlignment="1" applyProtection="1">
      <alignment horizontal="center" vertical="center"/>
      <protection/>
    </xf>
    <xf numFmtId="0" fontId="48" fillId="0" borderId="0" xfId="0" applyFont="1" applyFill="1" applyBorder="1" applyAlignment="1" applyProtection="1">
      <alignment horizontal="left" vertical="center"/>
      <protection/>
    </xf>
    <xf numFmtId="0" fontId="49" fillId="0" borderId="0" xfId="0" applyFont="1" applyBorder="1" applyAlignment="1">
      <alignment horizontal="left" vertical="center"/>
    </xf>
    <xf numFmtId="0" fontId="10" fillId="0" borderId="0" xfId="0" applyFont="1" applyFill="1" applyBorder="1" applyAlignment="1" applyProtection="1">
      <alignment vertical="center"/>
      <protection/>
    </xf>
    <xf numFmtId="0" fontId="50" fillId="0" borderId="0" xfId="0" applyFont="1" applyFill="1" applyBorder="1" applyAlignment="1" applyProtection="1">
      <alignment vertical="center"/>
      <protection/>
    </xf>
    <xf numFmtId="0" fontId="46" fillId="0" borderId="18" xfId="0" applyFont="1" applyBorder="1" applyAlignment="1">
      <alignment vertical="center"/>
    </xf>
    <xf numFmtId="0" fontId="34" fillId="0" borderId="18" xfId="0" applyFont="1" applyFill="1" applyBorder="1" applyAlignment="1" applyProtection="1">
      <alignment vertical="center"/>
      <protection locked="0"/>
    </xf>
    <xf numFmtId="0" fontId="13" fillId="0" borderId="11" xfId="0" applyFont="1" applyBorder="1" applyAlignment="1">
      <alignment/>
    </xf>
    <xf numFmtId="0" fontId="12" fillId="0" borderId="11" xfId="0" applyFont="1" applyBorder="1" applyAlignment="1">
      <alignment horizontal="center"/>
    </xf>
    <xf numFmtId="200" fontId="16" fillId="0" borderId="11" xfId="0" applyNumberFormat="1" applyFont="1" applyBorder="1" applyAlignment="1">
      <alignment horizontal="right" vertical="center"/>
    </xf>
    <xf numFmtId="193" fontId="16" fillId="0" borderId="11" xfId="0" applyNumberFormat="1" applyFont="1" applyBorder="1" applyAlignment="1">
      <alignment horizontal="right" vertical="center"/>
    </xf>
    <xf numFmtId="3" fontId="27" fillId="0" borderId="11" xfId="0" applyNumberFormat="1" applyFont="1" applyBorder="1" applyAlignment="1">
      <alignment horizontal="right"/>
    </xf>
    <xf numFmtId="2" fontId="27" fillId="0" borderId="11" xfId="0" applyNumberFormat="1" applyFont="1" applyBorder="1" applyAlignment="1">
      <alignment/>
    </xf>
    <xf numFmtId="4" fontId="27" fillId="0" borderId="11" xfId="0" applyNumberFormat="1" applyFont="1" applyBorder="1" applyAlignment="1">
      <alignment horizontal="right"/>
    </xf>
    <xf numFmtId="2" fontId="27" fillId="0" borderId="11" xfId="0" applyNumberFormat="1" applyFont="1" applyBorder="1" applyAlignment="1">
      <alignment/>
    </xf>
    <xf numFmtId="0" fontId="29" fillId="0" borderId="11" xfId="0" applyFont="1" applyFill="1" applyBorder="1" applyAlignment="1">
      <alignment horizontal="right"/>
    </xf>
    <xf numFmtId="0" fontId="10" fillId="0" borderId="11" xfId="0" applyFont="1" applyFill="1" applyBorder="1" applyAlignment="1">
      <alignment/>
    </xf>
    <xf numFmtId="0" fontId="5" fillId="0" borderId="11" xfId="0" applyFont="1" applyFill="1" applyBorder="1" applyAlignment="1" applyProtection="1">
      <alignment vertical="center"/>
      <protection locked="0"/>
    </xf>
    <xf numFmtId="2" fontId="43" fillId="0" borderId="42" xfId="0" applyNumberFormat="1" applyFont="1" applyFill="1" applyBorder="1" applyAlignment="1" applyProtection="1">
      <alignment horizontal="center" wrapText="1"/>
      <protection/>
    </xf>
    <xf numFmtId="0" fontId="29" fillId="0" borderId="10" xfId="0" applyFont="1" applyFill="1" applyBorder="1" applyAlignment="1">
      <alignment horizontal="right"/>
    </xf>
    <xf numFmtId="0" fontId="10" fillId="0" borderId="10" xfId="0" applyFont="1" applyFill="1" applyBorder="1" applyAlignment="1">
      <alignment/>
    </xf>
    <xf numFmtId="0" fontId="44" fillId="0" borderId="11" xfId="0" applyFont="1" applyFill="1" applyBorder="1" applyAlignment="1" applyProtection="1">
      <alignment horizontal="center" wrapText="1"/>
      <protection locked="0"/>
    </xf>
    <xf numFmtId="0" fontId="43" fillId="0" borderId="11" xfId="0" applyFont="1" applyFill="1" applyBorder="1" applyAlignment="1" applyProtection="1">
      <alignment horizontal="center" wrapText="1"/>
      <protection locked="0"/>
    </xf>
    <xf numFmtId="0" fontId="36" fillId="0" borderId="11" xfId="0" applyFont="1" applyFill="1" applyBorder="1" applyAlignment="1" applyProtection="1">
      <alignment horizontal="center" vertical="center" wrapText="1"/>
      <protection locked="0"/>
    </xf>
    <xf numFmtId="0" fontId="8" fillId="0" borderId="24" xfId="0" applyFont="1" applyFill="1" applyBorder="1" applyAlignment="1">
      <alignment horizontal="center" vertical="center"/>
    </xf>
    <xf numFmtId="0" fontId="8" fillId="0" borderId="43" xfId="0" applyFont="1" applyFill="1" applyBorder="1" applyAlignment="1" applyProtection="1">
      <alignment horizontal="left" vertical="center"/>
      <protection locked="0"/>
    </xf>
    <xf numFmtId="0" fontId="8" fillId="0" borderId="11" xfId="0" applyFont="1" applyFill="1" applyBorder="1" applyAlignment="1">
      <alignment horizontal="right" vertical="center"/>
    </xf>
    <xf numFmtId="4" fontId="38" fillId="0" borderId="11" xfId="42" applyNumberFormat="1" applyFont="1" applyFill="1" applyBorder="1" applyAlignment="1" applyProtection="1">
      <alignment vertical="center"/>
      <protection locked="0"/>
    </xf>
    <xf numFmtId="3" fontId="38" fillId="0" borderId="11" xfId="42" applyNumberFormat="1" applyFont="1" applyFill="1" applyBorder="1" applyAlignment="1" applyProtection="1">
      <alignment vertical="center"/>
      <protection locked="0"/>
    </xf>
    <xf numFmtId="4" fontId="8" fillId="0" borderId="11" xfId="0" applyNumberFormat="1" applyFont="1" applyFill="1" applyBorder="1" applyAlignment="1">
      <alignment vertical="center"/>
    </xf>
    <xf numFmtId="3" fontId="8" fillId="0" borderId="11" xfId="0" applyNumberFormat="1" applyFont="1" applyFill="1" applyBorder="1" applyAlignment="1">
      <alignment vertical="center"/>
    </xf>
    <xf numFmtId="0" fontId="9" fillId="35" borderId="12" xfId="0" applyFont="1" applyFill="1" applyBorder="1" applyAlignment="1" applyProtection="1">
      <alignment vertical="center"/>
      <protection locked="0"/>
    </xf>
    <xf numFmtId="1" fontId="9" fillId="0" borderId="12" xfId="0" applyNumberFormat="1" applyFont="1" applyFill="1" applyBorder="1" applyAlignment="1">
      <alignment horizontal="right" vertical="center"/>
    </xf>
    <xf numFmtId="0" fontId="9" fillId="35" borderId="12" xfId="0" applyFont="1" applyFill="1" applyBorder="1" applyAlignment="1">
      <alignment/>
    </xf>
    <xf numFmtId="0" fontId="9" fillId="0" borderId="12" xfId="0" applyFont="1" applyFill="1" applyBorder="1" applyAlignment="1">
      <alignment/>
    </xf>
    <xf numFmtId="0" fontId="9" fillId="0" borderId="12" xfId="0" applyFont="1" applyBorder="1" applyAlignment="1">
      <alignment/>
    </xf>
    <xf numFmtId="0" fontId="9" fillId="0" borderId="12" xfId="0" applyFont="1" applyFill="1" applyBorder="1" applyAlignment="1">
      <alignment/>
    </xf>
    <xf numFmtId="0" fontId="9" fillId="35" borderId="12" xfId="0" applyFont="1" applyFill="1" applyBorder="1" applyAlignment="1">
      <alignment vertical="center"/>
    </xf>
    <xf numFmtId="3" fontId="9" fillId="0" borderId="12" xfId="0" applyNumberFormat="1" applyFont="1" applyFill="1" applyBorder="1" applyAlignment="1">
      <alignment horizontal="right" vertical="center"/>
    </xf>
    <xf numFmtId="0" fontId="9" fillId="0" borderId="12" xfId="0" applyFont="1" applyFill="1" applyBorder="1" applyAlignment="1">
      <alignment horizontal="right"/>
    </xf>
    <xf numFmtId="0" fontId="23" fillId="0" borderId="10" xfId="0" applyFont="1" applyBorder="1" applyAlignment="1">
      <alignment/>
    </xf>
    <xf numFmtId="0" fontId="12" fillId="0" borderId="10" xfId="0" applyFont="1" applyBorder="1" applyAlignment="1">
      <alignment/>
    </xf>
    <xf numFmtId="200" fontId="16" fillId="0" borderId="10" xfId="0" applyNumberFormat="1" applyFont="1" applyBorder="1" applyAlignment="1">
      <alignment horizontal="right" vertical="center"/>
    </xf>
    <xf numFmtId="193" fontId="16" fillId="0" borderId="10" xfId="0" applyNumberFormat="1" applyFont="1" applyBorder="1" applyAlignment="1">
      <alignment horizontal="right" vertical="center"/>
    </xf>
    <xf numFmtId="0" fontId="15" fillId="0" borderId="10" xfId="0" applyFont="1" applyBorder="1" applyAlignment="1">
      <alignment horizontal="right" vertical="center"/>
    </xf>
    <xf numFmtId="3" fontId="27" fillId="0" borderId="10" xfId="0" applyNumberFormat="1" applyFont="1" applyBorder="1" applyAlignment="1">
      <alignment horizontal="right"/>
    </xf>
    <xf numFmtId="2" fontId="27" fillId="0" borderId="10" xfId="0" applyNumberFormat="1" applyFont="1" applyBorder="1" applyAlignment="1">
      <alignment/>
    </xf>
    <xf numFmtId="4" fontId="27" fillId="0" borderId="10" xfId="0" applyNumberFormat="1" applyFont="1" applyBorder="1" applyAlignment="1">
      <alignment horizontal="right"/>
    </xf>
    <xf numFmtId="2" fontId="27" fillId="0" borderId="10" xfId="0" applyNumberFormat="1" applyFont="1" applyBorder="1" applyAlignment="1">
      <alignment/>
    </xf>
    <xf numFmtId="2" fontId="8" fillId="0" borderId="30" xfId="42" applyNumberFormat="1" applyFont="1" applyFill="1" applyBorder="1" applyAlignment="1" applyProtection="1">
      <alignment vertical="center"/>
      <protection/>
    </xf>
    <xf numFmtId="184" fontId="8" fillId="0" borderId="11" xfId="0" applyNumberFormat="1"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4" fontId="38" fillId="0" borderId="11" xfId="42" applyNumberFormat="1" applyFont="1" applyFill="1" applyBorder="1" applyAlignment="1" applyProtection="1">
      <alignment horizontal="right" vertical="center"/>
      <protection locked="0"/>
    </xf>
    <xf numFmtId="3" fontId="38" fillId="0" borderId="11" xfId="42" applyNumberFormat="1" applyFont="1" applyFill="1" applyBorder="1" applyAlignment="1" applyProtection="1">
      <alignment horizontal="right" vertical="center"/>
      <protection locked="0"/>
    </xf>
    <xf numFmtId="3" fontId="8" fillId="0" borderId="11" xfId="42" applyNumberFormat="1" applyFont="1" applyFill="1" applyBorder="1" applyAlignment="1" applyProtection="1">
      <alignment horizontal="right" vertical="center"/>
      <protection/>
    </xf>
    <xf numFmtId="2" fontId="8" fillId="0" borderId="11" xfId="42" applyNumberFormat="1" applyFont="1" applyFill="1" applyBorder="1" applyAlignment="1" applyProtection="1">
      <alignment horizontal="right" vertical="center"/>
      <protection/>
    </xf>
    <xf numFmtId="4" fontId="8" fillId="0" borderId="11" xfId="42" applyNumberFormat="1" applyFont="1" applyFill="1" applyBorder="1" applyAlignment="1" applyProtection="1">
      <alignment horizontal="right" vertical="center"/>
      <protection locked="0"/>
    </xf>
    <xf numFmtId="3" fontId="8" fillId="0" borderId="11" xfId="42" applyNumberFormat="1" applyFont="1" applyFill="1" applyBorder="1" applyAlignment="1" applyProtection="1">
      <alignment horizontal="right" vertical="center"/>
      <protection locked="0"/>
    </xf>
    <xf numFmtId="0" fontId="8" fillId="0" borderId="11" xfId="0" applyNumberFormat="1" applyFont="1" applyFill="1" applyBorder="1" applyAlignment="1" applyProtection="1">
      <alignment horizontal="left" vertical="center"/>
      <protection locked="0"/>
    </xf>
    <xf numFmtId="0" fontId="8" fillId="0" borderId="11" xfId="0" applyNumberFormat="1" applyFont="1" applyFill="1" applyBorder="1" applyAlignment="1" applyProtection="1">
      <alignment horizontal="center" vertical="center"/>
      <protection locked="0"/>
    </xf>
    <xf numFmtId="4" fontId="38" fillId="0" borderId="11" xfId="40" applyNumberFormat="1" applyFont="1" applyFill="1" applyBorder="1" applyAlignment="1" applyProtection="1">
      <alignment horizontal="right" vertical="center"/>
      <protection locked="0"/>
    </xf>
    <xf numFmtId="3" fontId="38" fillId="0" borderId="11" xfId="40" applyNumberFormat="1" applyFont="1" applyFill="1" applyBorder="1" applyAlignment="1" applyProtection="1">
      <alignment horizontal="right" vertical="center"/>
      <protection locked="0"/>
    </xf>
    <xf numFmtId="3" fontId="8" fillId="0" borderId="11" xfId="68" applyNumberFormat="1" applyFont="1" applyFill="1" applyBorder="1" applyAlignment="1" applyProtection="1">
      <alignment horizontal="right" vertical="center"/>
      <protection/>
    </xf>
    <xf numFmtId="2" fontId="8" fillId="0" borderId="11" xfId="68" applyNumberFormat="1" applyFont="1" applyFill="1" applyBorder="1" applyAlignment="1" applyProtection="1">
      <alignment horizontal="right" vertical="center"/>
      <protection/>
    </xf>
    <xf numFmtId="4" fontId="8" fillId="0" borderId="11" xfId="40" applyNumberFormat="1" applyFont="1" applyFill="1" applyBorder="1" applyAlignment="1" applyProtection="1">
      <alignment horizontal="right" vertical="center"/>
      <protection locked="0"/>
    </xf>
    <xf numFmtId="3" fontId="8" fillId="0" borderId="11" xfId="40" applyNumberFormat="1" applyFont="1" applyFill="1" applyBorder="1" applyAlignment="1" applyProtection="1">
      <alignment horizontal="right" vertical="center"/>
      <protection locked="0"/>
    </xf>
    <xf numFmtId="184" fontId="8"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xf>
    <xf numFmtId="4" fontId="38" fillId="0" borderId="11" xfId="43" applyNumberFormat="1" applyFont="1" applyFill="1" applyBorder="1" applyAlignment="1" applyProtection="1">
      <alignment horizontal="right" vertical="center"/>
      <protection locked="0"/>
    </xf>
    <xf numFmtId="3" fontId="38" fillId="0" borderId="11" xfId="43" applyNumberFormat="1" applyFont="1" applyFill="1" applyBorder="1" applyAlignment="1" applyProtection="1">
      <alignment horizontal="right" vertical="center"/>
      <protection locked="0"/>
    </xf>
    <xf numFmtId="3" fontId="8" fillId="0" borderId="11" xfId="43" applyNumberFormat="1" applyFont="1" applyFill="1" applyBorder="1" applyAlignment="1" applyProtection="1">
      <alignment horizontal="right" vertical="center"/>
      <protection/>
    </xf>
    <xf numFmtId="2" fontId="8" fillId="0" borderId="11" xfId="43" applyNumberFormat="1" applyFont="1" applyFill="1" applyBorder="1" applyAlignment="1" applyProtection="1">
      <alignment horizontal="right" vertical="center"/>
      <protection/>
    </xf>
    <xf numFmtId="4" fontId="8" fillId="0" borderId="11" xfId="43" applyNumberFormat="1" applyFont="1" applyFill="1" applyBorder="1" applyAlignment="1" applyProtection="1">
      <alignment horizontal="right" vertical="center"/>
      <protection locked="0"/>
    </xf>
    <xf numFmtId="3" fontId="8" fillId="0" borderId="11" xfId="43" applyNumberFormat="1" applyFont="1" applyFill="1" applyBorder="1" applyAlignment="1" applyProtection="1">
      <alignment horizontal="right" vertical="center"/>
      <protection locked="0"/>
    </xf>
    <xf numFmtId="4" fontId="38" fillId="0" borderId="11" xfId="0" applyNumberFormat="1" applyFont="1" applyFill="1" applyBorder="1" applyAlignment="1">
      <alignment horizontal="right" vertical="center"/>
    </xf>
    <xf numFmtId="3" fontId="38" fillId="0" borderId="11" xfId="0" applyNumberFormat="1" applyFont="1" applyFill="1" applyBorder="1" applyAlignment="1">
      <alignment horizontal="right" vertical="center"/>
    </xf>
    <xf numFmtId="3" fontId="8" fillId="0" borderId="11" xfId="0" applyNumberFormat="1" applyFont="1" applyFill="1" applyBorder="1" applyAlignment="1">
      <alignment horizontal="right" vertical="center"/>
    </xf>
    <xf numFmtId="2" fontId="8" fillId="0" borderId="11" xfId="0" applyNumberFormat="1" applyFont="1" applyFill="1" applyBorder="1" applyAlignment="1">
      <alignment horizontal="right" vertical="center"/>
    </xf>
    <xf numFmtId="4" fontId="8" fillId="0" borderId="11" xfId="0" applyNumberFormat="1" applyFont="1" applyFill="1" applyBorder="1" applyAlignment="1">
      <alignment horizontal="right" vertical="center"/>
    </xf>
    <xf numFmtId="3" fontId="8" fillId="0" borderId="11" xfId="0" applyNumberFormat="1" applyFont="1" applyFill="1" applyBorder="1" applyAlignment="1">
      <alignment horizontal="right" vertical="center"/>
    </xf>
    <xf numFmtId="4" fontId="38" fillId="0" borderId="11" xfId="44" applyNumberFormat="1" applyFont="1" applyFill="1" applyBorder="1" applyAlignment="1" applyProtection="1">
      <alignment horizontal="right" vertical="center"/>
      <protection locked="0"/>
    </xf>
    <xf numFmtId="3" fontId="38" fillId="0" borderId="11" xfId="44" applyNumberFormat="1" applyFont="1" applyFill="1" applyBorder="1" applyAlignment="1" applyProtection="1">
      <alignment horizontal="right" vertical="center"/>
      <protection locked="0"/>
    </xf>
    <xf numFmtId="4" fontId="8" fillId="0" borderId="11" xfId="44" applyNumberFormat="1" applyFont="1" applyFill="1" applyBorder="1" applyAlignment="1" applyProtection="1">
      <alignment horizontal="right" vertical="center"/>
      <protection locked="0"/>
    </xf>
    <xf numFmtId="3" fontId="8" fillId="0" borderId="11" xfId="44" applyNumberFormat="1" applyFont="1" applyFill="1" applyBorder="1" applyAlignment="1" applyProtection="1">
      <alignment horizontal="right" vertical="center"/>
      <protection locked="0"/>
    </xf>
    <xf numFmtId="3" fontId="8" fillId="0" borderId="11" xfId="0" applyNumberFormat="1" applyFont="1" applyFill="1" applyBorder="1" applyAlignment="1">
      <alignment horizontal="right" vertical="center"/>
    </xf>
    <xf numFmtId="4" fontId="38" fillId="0" borderId="11" xfId="40" applyNumberFormat="1" applyFont="1" applyFill="1" applyBorder="1" applyAlignment="1" applyProtection="1">
      <alignment horizontal="right" vertical="center"/>
      <protection/>
    </xf>
    <xf numFmtId="4" fontId="8" fillId="0" borderId="11" xfId="40" applyNumberFormat="1" applyFont="1" applyFill="1" applyBorder="1" applyAlignment="1" applyProtection="1">
      <alignment horizontal="right" vertical="center"/>
      <protection/>
    </xf>
    <xf numFmtId="184" fontId="8"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xf>
    <xf numFmtId="4" fontId="38" fillId="0" borderId="11" xfId="0" applyNumberFormat="1" applyFont="1" applyFill="1" applyBorder="1" applyAlignment="1">
      <alignment horizontal="right" vertical="center"/>
    </xf>
    <xf numFmtId="3" fontId="38" fillId="0" borderId="11" xfId="0" applyNumberFormat="1" applyFont="1" applyFill="1" applyBorder="1" applyAlignment="1">
      <alignment horizontal="right" vertical="center"/>
    </xf>
    <xf numFmtId="4" fontId="8" fillId="0" borderId="11" xfId="0" applyNumberFormat="1" applyFont="1" applyFill="1" applyBorder="1" applyAlignment="1">
      <alignment horizontal="right" vertical="center"/>
    </xf>
    <xf numFmtId="3" fontId="38" fillId="0" borderId="11" xfId="0" applyNumberFormat="1" applyFont="1" applyFill="1" applyBorder="1" applyAlignment="1">
      <alignment horizontal="right" vertical="center"/>
    </xf>
    <xf numFmtId="3" fontId="38" fillId="0" borderId="11" xfId="40" applyNumberFormat="1" applyFont="1" applyFill="1" applyBorder="1" applyAlignment="1" applyProtection="1">
      <alignment horizontal="right" vertical="center"/>
      <protection/>
    </xf>
    <xf numFmtId="4" fontId="38" fillId="0" borderId="11" xfId="0" applyNumberFormat="1" applyFont="1" applyFill="1" applyBorder="1" applyAlignment="1" applyProtection="1">
      <alignment horizontal="right" vertical="center"/>
      <protection locked="0"/>
    </xf>
    <xf numFmtId="3" fontId="38" fillId="0" borderId="11" xfId="0" applyNumberFormat="1" applyFont="1" applyFill="1" applyBorder="1" applyAlignment="1" applyProtection="1">
      <alignment horizontal="right" vertical="center"/>
      <protection locked="0"/>
    </xf>
    <xf numFmtId="184" fontId="8" fillId="0" borderId="13" xfId="0" applyNumberFormat="1"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3" fontId="8" fillId="0" borderId="13" xfId="42" applyNumberFormat="1" applyFont="1" applyFill="1" applyBorder="1" applyAlignment="1" applyProtection="1">
      <alignment horizontal="right" vertical="center"/>
      <protection/>
    </xf>
    <xf numFmtId="2" fontId="8" fillId="0" borderId="13" xfId="42" applyNumberFormat="1" applyFont="1" applyFill="1" applyBorder="1" applyAlignment="1" applyProtection="1">
      <alignment horizontal="right" vertical="center"/>
      <protection/>
    </xf>
    <xf numFmtId="4" fontId="8" fillId="0" borderId="13" xfId="42" applyNumberFormat="1" applyFont="1" applyFill="1" applyBorder="1" applyAlignment="1" applyProtection="1">
      <alignment horizontal="right" vertical="center"/>
      <protection locked="0"/>
    </xf>
    <xf numFmtId="3" fontId="8" fillId="0" borderId="13" xfId="42" applyNumberFormat="1" applyFont="1" applyFill="1" applyBorder="1" applyAlignment="1" applyProtection="1">
      <alignment horizontal="right" vertical="center"/>
      <protection locked="0"/>
    </xf>
    <xf numFmtId="2" fontId="8" fillId="0" borderId="44" xfId="42" applyNumberFormat="1" applyFont="1" applyFill="1" applyBorder="1" applyAlignment="1" applyProtection="1">
      <alignment horizontal="right" vertical="center"/>
      <protection/>
    </xf>
    <xf numFmtId="0" fontId="8" fillId="0" borderId="43" xfId="0" applyNumberFormat="1" applyFont="1" applyFill="1" applyBorder="1" applyAlignment="1" applyProtection="1">
      <alignment horizontal="left" vertical="center"/>
      <protection locked="0"/>
    </xf>
    <xf numFmtId="2" fontId="8" fillId="0" borderId="45" xfId="68" applyNumberFormat="1" applyFont="1" applyFill="1" applyBorder="1" applyAlignment="1" applyProtection="1">
      <alignment horizontal="right" vertical="center"/>
      <protection/>
    </xf>
    <xf numFmtId="2" fontId="8" fillId="0" borderId="45" xfId="42" applyNumberFormat="1" applyFont="1" applyFill="1" applyBorder="1" applyAlignment="1" applyProtection="1">
      <alignment horizontal="right" vertical="center"/>
      <protection/>
    </xf>
    <xf numFmtId="2" fontId="8" fillId="0" borderId="45" xfId="43" applyNumberFormat="1" applyFont="1" applyFill="1" applyBorder="1" applyAlignment="1" applyProtection="1">
      <alignment horizontal="right" vertical="center"/>
      <protection/>
    </xf>
    <xf numFmtId="2" fontId="8" fillId="0" borderId="45" xfId="0" applyNumberFormat="1" applyFont="1" applyFill="1" applyBorder="1" applyAlignment="1">
      <alignment horizontal="right" vertical="center"/>
    </xf>
    <xf numFmtId="0" fontId="51" fillId="0" borderId="18" xfId="0" applyFont="1" applyFill="1" applyBorder="1" applyAlignment="1">
      <alignment horizontal="left" vertical="center"/>
    </xf>
    <xf numFmtId="0" fontId="51" fillId="0" borderId="18" xfId="0" applyFont="1" applyFill="1" applyBorder="1" applyAlignment="1">
      <alignment vertical="center"/>
    </xf>
    <xf numFmtId="4" fontId="38" fillId="0" borderId="10" xfId="42" applyNumberFormat="1" applyFont="1" applyFill="1" applyBorder="1" applyAlignment="1" applyProtection="1">
      <alignment horizontal="right" vertical="center"/>
      <protection locked="0"/>
    </xf>
    <xf numFmtId="3" fontId="38" fillId="0" borderId="10" xfId="42" applyNumberFormat="1" applyFont="1" applyFill="1" applyBorder="1" applyAlignment="1" applyProtection="1">
      <alignment horizontal="right" vertical="center"/>
      <protection locked="0"/>
    </xf>
    <xf numFmtId="0" fontId="8" fillId="0" borderId="24" xfId="0" applyFont="1" applyFill="1" applyBorder="1" applyAlignment="1" applyProtection="1">
      <alignment horizontal="left" vertical="center"/>
      <protection locked="0"/>
    </xf>
    <xf numFmtId="184" fontId="8" fillId="0" borderId="24" xfId="0" applyNumberFormat="1" applyFont="1" applyFill="1" applyBorder="1" applyAlignment="1" applyProtection="1">
      <alignment horizontal="center" vertical="center"/>
      <protection locked="0"/>
    </xf>
    <xf numFmtId="0" fontId="8" fillId="0" borderId="24" xfId="0" applyFont="1" applyFill="1" applyBorder="1" applyAlignment="1" applyProtection="1">
      <alignment horizontal="right" vertical="center"/>
      <protection locked="0"/>
    </xf>
    <xf numFmtId="4" fontId="38" fillId="0" borderId="24" xfId="40" applyNumberFormat="1" applyFont="1" applyFill="1" applyBorder="1" applyAlignment="1" applyProtection="1">
      <alignment horizontal="right" vertical="center"/>
      <protection/>
    </xf>
    <xf numFmtId="3" fontId="38" fillId="0" borderId="24" xfId="40" applyNumberFormat="1" applyFont="1" applyFill="1" applyBorder="1" applyAlignment="1" applyProtection="1">
      <alignment horizontal="right" vertical="center"/>
      <protection/>
    </xf>
    <xf numFmtId="3" fontId="8" fillId="0" borderId="24" xfId="68" applyNumberFormat="1" applyFont="1" applyFill="1" applyBorder="1" applyAlignment="1" applyProtection="1">
      <alignment horizontal="right" vertical="center"/>
      <protection/>
    </xf>
    <xf numFmtId="2" fontId="8" fillId="0" borderId="24" xfId="68" applyNumberFormat="1" applyFont="1" applyFill="1" applyBorder="1" applyAlignment="1" applyProtection="1">
      <alignment horizontal="right" vertical="center"/>
      <protection/>
    </xf>
    <xf numFmtId="4" fontId="8" fillId="0" borderId="24" xfId="40" applyNumberFormat="1" applyFont="1" applyFill="1" applyBorder="1" applyAlignment="1" applyProtection="1">
      <alignment horizontal="right" vertical="center"/>
      <protection/>
    </xf>
    <xf numFmtId="3" fontId="8" fillId="0" borderId="24" xfId="0" applyNumberFormat="1" applyFont="1" applyFill="1" applyBorder="1" applyAlignment="1">
      <alignment horizontal="right" vertical="center"/>
    </xf>
    <xf numFmtId="0" fontId="8" fillId="0" borderId="24" xfId="0" applyFont="1" applyFill="1" applyBorder="1" applyAlignment="1">
      <alignment horizontal="left" vertical="center"/>
    </xf>
    <xf numFmtId="184" fontId="8" fillId="0" borderId="24" xfId="0" applyNumberFormat="1" applyFont="1" applyFill="1" applyBorder="1" applyAlignment="1">
      <alignment horizontal="center" vertical="center"/>
    </xf>
    <xf numFmtId="0" fontId="8" fillId="0" borderId="24" xfId="0" applyFont="1" applyFill="1" applyBorder="1" applyAlignment="1">
      <alignment horizontal="right" vertical="center"/>
    </xf>
    <xf numFmtId="4" fontId="38" fillId="0" borderId="24" xfId="43" applyNumberFormat="1" applyFont="1" applyFill="1" applyBorder="1" applyAlignment="1" applyProtection="1">
      <alignment horizontal="right" vertical="center"/>
      <protection locked="0"/>
    </xf>
    <xf numFmtId="3" fontId="38" fillId="0" borderId="24" xfId="43" applyNumberFormat="1" applyFont="1" applyFill="1" applyBorder="1" applyAlignment="1" applyProtection="1">
      <alignment horizontal="right" vertical="center"/>
      <protection locked="0"/>
    </xf>
    <xf numFmtId="3" fontId="8" fillId="0" borderId="24" xfId="43" applyNumberFormat="1" applyFont="1" applyFill="1" applyBorder="1" applyAlignment="1" applyProtection="1">
      <alignment horizontal="right" vertical="center"/>
      <protection/>
    </xf>
    <xf numFmtId="2" fontId="8" fillId="0" borderId="24" xfId="43" applyNumberFormat="1" applyFont="1" applyFill="1" applyBorder="1" applyAlignment="1" applyProtection="1">
      <alignment horizontal="right" vertical="center"/>
      <protection/>
    </xf>
    <xf numFmtId="4" fontId="8" fillId="0" borderId="24" xfId="43" applyNumberFormat="1" applyFont="1" applyFill="1" applyBorder="1" applyAlignment="1" applyProtection="1">
      <alignment horizontal="right" vertical="center"/>
      <protection locked="0"/>
    </xf>
    <xf numFmtId="3" fontId="8" fillId="0" borderId="24" xfId="43" applyNumberFormat="1" applyFont="1" applyFill="1" applyBorder="1" applyAlignment="1" applyProtection="1">
      <alignment horizontal="right" vertical="center"/>
      <protection locked="0"/>
    </xf>
    <xf numFmtId="0" fontId="8" fillId="0" borderId="23" xfId="0" applyFont="1" applyFill="1" applyBorder="1" applyAlignment="1" applyProtection="1">
      <alignment horizontal="left" vertical="center"/>
      <protection locked="0"/>
    </xf>
    <xf numFmtId="0" fontId="8" fillId="0" borderId="23" xfId="0" applyFont="1" applyFill="1" applyBorder="1" applyAlignment="1">
      <alignment horizontal="left" vertical="center"/>
    </xf>
    <xf numFmtId="2" fontId="8" fillId="0" borderId="25" xfId="68" applyNumberFormat="1" applyFont="1" applyFill="1" applyBorder="1" applyAlignment="1" applyProtection="1">
      <alignment horizontal="right" vertical="center"/>
      <protection/>
    </xf>
    <xf numFmtId="2" fontId="8" fillId="0" borderId="25" xfId="43" applyNumberFormat="1" applyFont="1" applyFill="1" applyBorder="1" applyAlignment="1" applyProtection="1">
      <alignment horizontal="right" vertical="center"/>
      <protection/>
    </xf>
    <xf numFmtId="14" fontId="8" fillId="0" borderId="11" xfId="0" applyNumberFormat="1" applyFont="1" applyFill="1" applyBorder="1" applyAlignment="1">
      <alignment vertical="center"/>
    </xf>
    <xf numFmtId="0" fontId="8" fillId="0" borderId="11" xfId="0" applyFont="1" applyFill="1" applyBorder="1" applyAlignment="1" applyProtection="1">
      <alignment vertical="center"/>
      <protection locked="0"/>
    </xf>
    <xf numFmtId="0" fontId="8" fillId="0" borderId="11" xfId="0" applyFont="1" applyFill="1" applyBorder="1" applyAlignment="1">
      <alignment vertical="center"/>
    </xf>
    <xf numFmtId="0" fontId="8" fillId="0" borderId="11" xfId="55" applyNumberFormat="1" applyFont="1" applyFill="1" applyBorder="1" applyAlignment="1" applyProtection="1">
      <alignment horizontal="left" vertical="center"/>
      <protection locked="0"/>
    </xf>
    <xf numFmtId="0" fontId="8" fillId="0" borderId="11" xfId="55" applyNumberFormat="1" applyFont="1" applyFill="1" applyBorder="1" applyAlignment="1" applyProtection="1">
      <alignment horizontal="center" vertical="center"/>
      <protection locked="0"/>
    </xf>
    <xf numFmtId="184" fontId="8" fillId="0" borderId="11" xfId="53" applyNumberFormat="1" applyFont="1" applyFill="1" applyBorder="1" applyAlignment="1">
      <alignment horizontal="center" vertical="center"/>
      <protection/>
    </xf>
    <xf numFmtId="0" fontId="8" fillId="0" borderId="11" xfId="53" applyFont="1" applyFill="1" applyBorder="1" applyAlignment="1">
      <alignment vertical="center"/>
      <protection/>
    </xf>
    <xf numFmtId="49" fontId="8" fillId="0" borderId="11" xfId="0" applyNumberFormat="1" applyFont="1" applyFill="1" applyBorder="1" applyAlignment="1" applyProtection="1">
      <alignment vertical="center"/>
      <protection locked="0"/>
    </xf>
    <xf numFmtId="0" fontId="8" fillId="0" borderId="13" xfId="0" applyNumberFormat="1" applyFont="1" applyFill="1" applyBorder="1" applyAlignment="1" applyProtection="1">
      <alignment horizontal="center" vertical="center"/>
      <protection locked="0"/>
    </xf>
    <xf numFmtId="4" fontId="38" fillId="0" borderId="13" xfId="40" applyNumberFormat="1" applyFont="1" applyFill="1" applyBorder="1" applyAlignment="1" applyProtection="1">
      <alignment horizontal="right" vertical="center"/>
      <protection locked="0"/>
    </xf>
    <xf numFmtId="3" fontId="38" fillId="0" borderId="13" xfId="40" applyNumberFormat="1" applyFont="1" applyFill="1" applyBorder="1" applyAlignment="1" applyProtection="1">
      <alignment horizontal="right" vertical="center"/>
      <protection locked="0"/>
    </xf>
    <xf numFmtId="2" fontId="8" fillId="0" borderId="44" xfId="68" applyNumberFormat="1" applyFont="1" applyFill="1" applyBorder="1" applyAlignment="1" applyProtection="1">
      <alignment horizontal="right" vertical="center"/>
      <protection/>
    </xf>
    <xf numFmtId="2" fontId="8" fillId="0" borderId="45" xfId="0" applyNumberFormat="1" applyFont="1" applyFill="1" applyBorder="1" applyAlignment="1" applyProtection="1">
      <alignment horizontal="right" vertical="center"/>
      <protection locked="0"/>
    </xf>
    <xf numFmtId="0" fontId="8" fillId="0" borderId="43" xfId="55" applyNumberFormat="1" applyFont="1" applyFill="1" applyBorder="1" applyAlignment="1" applyProtection="1">
      <alignment horizontal="left" vertical="center"/>
      <protection locked="0"/>
    </xf>
    <xf numFmtId="2" fontId="8" fillId="0" borderId="45" xfId="44" applyNumberFormat="1" applyFont="1" applyFill="1" applyBorder="1" applyAlignment="1" applyProtection="1">
      <alignment horizontal="right" vertical="center"/>
      <protection/>
    </xf>
    <xf numFmtId="2" fontId="8" fillId="0" borderId="45" xfId="40" applyNumberFormat="1" applyFont="1" applyFill="1" applyBorder="1" applyAlignment="1" applyProtection="1">
      <alignment horizontal="right" vertical="center"/>
      <protection/>
    </xf>
    <xf numFmtId="0" fontId="8" fillId="0" borderId="46" xfId="0" applyNumberFormat="1" applyFont="1" applyFill="1" applyBorder="1" applyAlignment="1" applyProtection="1">
      <alignment horizontal="left" vertical="center"/>
      <protection locked="0"/>
    </xf>
    <xf numFmtId="0" fontId="8" fillId="0" borderId="47" xfId="0" applyNumberFormat="1" applyFont="1" applyFill="1" applyBorder="1" applyAlignment="1" applyProtection="1">
      <alignment horizontal="center" vertical="center"/>
      <protection locked="0"/>
    </xf>
    <xf numFmtId="4" fontId="38" fillId="0" borderId="47" xfId="40" applyNumberFormat="1" applyFont="1" applyFill="1" applyBorder="1" applyAlignment="1" applyProtection="1">
      <alignment horizontal="right" vertical="center"/>
      <protection locked="0"/>
    </xf>
    <xf numFmtId="3" fontId="38" fillId="0" borderId="47" xfId="40" applyNumberFormat="1" applyFont="1" applyFill="1" applyBorder="1" applyAlignment="1" applyProtection="1">
      <alignment horizontal="right" vertical="center"/>
      <protection locked="0"/>
    </xf>
    <xf numFmtId="2" fontId="8" fillId="0" borderId="48" xfId="68" applyNumberFormat="1" applyFont="1" applyFill="1" applyBorder="1" applyAlignment="1" applyProtection="1">
      <alignment horizontal="right" vertical="center"/>
      <protection/>
    </xf>
    <xf numFmtId="193" fontId="28" fillId="0" borderId="34" xfId="0" applyNumberFormat="1" applyFont="1" applyFill="1" applyBorder="1" applyAlignment="1" applyProtection="1">
      <alignment horizontal="right" vertical="center"/>
      <protection/>
    </xf>
    <xf numFmtId="0" fontId="54" fillId="0" borderId="0" xfId="0" applyFont="1" applyFill="1" applyBorder="1" applyAlignment="1">
      <alignment horizontal="center"/>
    </xf>
    <xf numFmtId="193" fontId="28" fillId="0" borderId="11" xfId="0" applyNumberFormat="1" applyFont="1" applyFill="1" applyBorder="1" applyAlignment="1">
      <alignment horizontal="right" vertical="center"/>
    </xf>
    <xf numFmtId="0" fontId="8" fillId="0" borderId="11" xfId="0" applyNumberFormat="1" applyFont="1" applyFill="1" applyBorder="1" applyAlignment="1" applyProtection="1">
      <alignment vertical="center"/>
      <protection locked="0"/>
    </xf>
    <xf numFmtId="3" fontId="8" fillId="0" borderId="11" xfId="44" applyNumberFormat="1" applyFont="1" applyFill="1" applyBorder="1" applyAlignment="1" applyProtection="1">
      <alignment horizontal="right" vertical="center"/>
      <protection/>
    </xf>
    <xf numFmtId="2" fontId="8" fillId="0" borderId="11" xfId="44" applyNumberFormat="1" applyFont="1" applyFill="1" applyBorder="1" applyAlignment="1" applyProtection="1">
      <alignment horizontal="right" vertical="center"/>
      <protection/>
    </xf>
    <xf numFmtId="0" fontId="8" fillId="0" borderId="11" xfId="53" applyFont="1" applyFill="1" applyBorder="1" applyAlignment="1">
      <alignment horizontal="center" vertical="center"/>
      <protection/>
    </xf>
    <xf numFmtId="4" fontId="38" fillId="0" borderId="11" xfId="53" applyNumberFormat="1" applyFont="1" applyFill="1" applyBorder="1" applyAlignment="1" applyProtection="1">
      <alignment horizontal="right" vertical="center"/>
      <protection/>
    </xf>
    <xf numFmtId="3" fontId="8" fillId="0" borderId="11" xfId="53" applyNumberFormat="1" applyFont="1" applyFill="1" applyBorder="1" applyAlignment="1" applyProtection="1">
      <alignment horizontal="right" vertical="center"/>
      <protection/>
    </xf>
    <xf numFmtId="4" fontId="8" fillId="0" borderId="11" xfId="53" applyNumberFormat="1" applyFont="1" applyFill="1" applyBorder="1" applyAlignment="1" applyProtection="1">
      <alignment horizontal="right" vertical="center"/>
      <protection/>
    </xf>
    <xf numFmtId="2" fontId="8" fillId="0" borderId="11" xfId="53" applyNumberFormat="1" applyFont="1" applyFill="1" applyBorder="1" applyAlignment="1" applyProtection="1">
      <alignment horizontal="right" vertical="center"/>
      <protection/>
    </xf>
    <xf numFmtId="3" fontId="38" fillId="0" borderId="11" xfId="53" applyNumberFormat="1" applyFont="1" applyFill="1" applyBorder="1" applyAlignment="1" applyProtection="1">
      <alignment horizontal="right" vertical="center"/>
      <protection/>
    </xf>
    <xf numFmtId="0" fontId="8" fillId="0" borderId="24" xfId="0" applyFont="1" applyFill="1" applyBorder="1" applyAlignment="1">
      <alignment vertical="center"/>
    </xf>
    <xf numFmtId="0" fontId="8" fillId="0" borderId="24" xfId="0" applyFont="1" applyFill="1" applyBorder="1" applyAlignment="1">
      <alignment horizontal="center" vertical="center"/>
    </xf>
    <xf numFmtId="4" fontId="38" fillId="0" borderId="24" xfId="0" applyNumberFormat="1" applyFont="1" applyFill="1" applyBorder="1" applyAlignment="1">
      <alignment horizontal="right" vertical="center"/>
    </xf>
    <xf numFmtId="3" fontId="38" fillId="0" borderId="24" xfId="0" applyNumberFormat="1" applyFont="1" applyFill="1" applyBorder="1" applyAlignment="1">
      <alignment horizontal="right" vertical="center"/>
    </xf>
    <xf numFmtId="3" fontId="8" fillId="0" borderId="24" xfId="42" applyNumberFormat="1" applyFont="1" applyFill="1" applyBorder="1" applyAlignment="1" applyProtection="1">
      <alignment horizontal="right" vertical="center"/>
      <protection/>
    </xf>
    <xf numFmtId="2" fontId="8" fillId="0" borderId="24" xfId="42" applyNumberFormat="1" applyFont="1" applyFill="1" applyBorder="1" applyAlignment="1" applyProtection="1">
      <alignment horizontal="right" vertical="center"/>
      <protection/>
    </xf>
    <xf numFmtId="4" fontId="8" fillId="0" borderId="24" xfId="0" applyNumberFormat="1" applyFont="1" applyFill="1" applyBorder="1" applyAlignment="1">
      <alignment horizontal="right" vertical="center"/>
    </xf>
    <xf numFmtId="184" fontId="8" fillId="0" borderId="24" xfId="0" applyNumberFormat="1" applyFont="1" applyFill="1" applyBorder="1" applyAlignment="1">
      <alignment horizontal="center" vertical="center"/>
    </xf>
    <xf numFmtId="0" fontId="8" fillId="0" borderId="24" xfId="0" applyFont="1" applyFill="1" applyBorder="1" applyAlignment="1">
      <alignment horizontal="center" vertical="center"/>
    </xf>
    <xf numFmtId="4" fontId="38" fillId="0" borderId="24" xfId="0" applyNumberFormat="1" applyFont="1" applyFill="1" applyBorder="1" applyAlignment="1">
      <alignment horizontal="right" vertical="center"/>
    </xf>
    <xf numFmtId="3" fontId="38" fillId="0" borderId="24" xfId="0" applyNumberFormat="1" applyFont="1" applyFill="1" applyBorder="1" applyAlignment="1">
      <alignment horizontal="right" vertical="center"/>
    </xf>
    <xf numFmtId="4" fontId="8" fillId="0" borderId="24" xfId="0" applyNumberFormat="1" applyFont="1" applyFill="1" applyBorder="1" applyAlignment="1">
      <alignment horizontal="right" vertical="center"/>
    </xf>
    <xf numFmtId="3" fontId="8" fillId="0" borderId="24" xfId="0" applyNumberFormat="1" applyFont="1" applyFill="1" applyBorder="1" applyAlignment="1">
      <alignment horizontal="right" vertical="center"/>
    </xf>
    <xf numFmtId="0" fontId="8" fillId="0" borderId="24" xfId="53" applyFont="1" applyFill="1" applyBorder="1" applyAlignment="1">
      <alignment vertical="center"/>
      <protection/>
    </xf>
    <xf numFmtId="184" fontId="8" fillId="0" borderId="24" xfId="53" applyNumberFormat="1" applyFont="1" applyFill="1" applyBorder="1" applyAlignment="1">
      <alignment horizontal="center" vertical="center"/>
      <protection/>
    </xf>
    <xf numFmtId="0" fontId="8" fillId="0" borderId="24" xfId="53" applyFont="1" applyFill="1" applyBorder="1" applyAlignment="1">
      <alignment horizontal="center" vertical="center"/>
      <protection/>
    </xf>
    <xf numFmtId="4" fontId="38" fillId="0" borderId="24" xfId="53" applyNumberFormat="1" applyFont="1" applyFill="1" applyBorder="1" applyAlignment="1" applyProtection="1">
      <alignment horizontal="right" vertical="center"/>
      <protection/>
    </xf>
    <xf numFmtId="3" fontId="38" fillId="0" borderId="24" xfId="53" applyNumberFormat="1" applyFont="1" applyFill="1" applyBorder="1" applyAlignment="1" applyProtection="1">
      <alignment horizontal="right" vertical="center"/>
      <protection/>
    </xf>
    <xf numFmtId="3" fontId="8" fillId="0" borderId="24" xfId="53" applyNumberFormat="1" applyFont="1" applyFill="1" applyBorder="1" applyAlignment="1" applyProtection="1">
      <alignment horizontal="right" vertical="center"/>
      <protection/>
    </xf>
    <xf numFmtId="2" fontId="8" fillId="0" borderId="24" xfId="53" applyNumberFormat="1" applyFont="1" applyFill="1" applyBorder="1" applyAlignment="1" applyProtection="1">
      <alignment horizontal="right" vertical="center"/>
      <protection/>
    </xf>
    <xf numFmtId="4" fontId="8" fillId="0" borderId="24" xfId="53" applyNumberFormat="1" applyFont="1" applyFill="1" applyBorder="1" applyAlignment="1" applyProtection="1">
      <alignment horizontal="right" vertical="center"/>
      <protection/>
    </xf>
    <xf numFmtId="0" fontId="8" fillId="0" borderId="23" xfId="0" applyFont="1" applyFill="1" applyBorder="1" applyAlignment="1">
      <alignment vertical="center"/>
    </xf>
    <xf numFmtId="0" fontId="8" fillId="0" borderId="23" xfId="53" applyFont="1" applyFill="1" applyBorder="1" applyAlignment="1">
      <alignment vertical="center"/>
      <protection/>
    </xf>
    <xf numFmtId="0" fontId="8" fillId="0" borderId="23" xfId="0" applyFont="1" applyFill="1" applyBorder="1" applyAlignment="1">
      <alignment vertical="center"/>
    </xf>
    <xf numFmtId="2" fontId="8" fillId="0" borderId="25" xfId="53" applyNumberFormat="1" applyFont="1" applyFill="1" applyBorder="1" applyAlignment="1" applyProtection="1">
      <alignment horizontal="right" vertical="center"/>
      <protection/>
    </xf>
    <xf numFmtId="0" fontId="8" fillId="0" borderId="13" xfId="0" applyFont="1" applyFill="1" applyBorder="1" applyAlignment="1" applyProtection="1">
      <alignment vertical="center"/>
      <protection locked="0"/>
    </xf>
    <xf numFmtId="2" fontId="8" fillId="0" borderId="45" xfId="53" applyNumberFormat="1" applyFont="1" applyFill="1" applyBorder="1" applyAlignment="1" applyProtection="1">
      <alignment horizontal="right" vertical="center"/>
      <protection/>
    </xf>
    <xf numFmtId="184" fontId="8" fillId="0" borderId="10" xfId="0" applyNumberFormat="1" applyFont="1" applyFill="1" applyBorder="1" applyAlignment="1">
      <alignment horizontal="center" vertical="center"/>
    </xf>
    <xf numFmtId="0" fontId="8" fillId="0" borderId="10" xfId="0" applyFont="1" applyFill="1" applyBorder="1" applyAlignment="1">
      <alignment vertical="center"/>
    </xf>
    <xf numFmtId="0" fontId="8" fillId="0" borderId="10" xfId="0" applyFont="1" applyFill="1" applyBorder="1" applyAlignment="1">
      <alignment horizontal="center" vertical="center"/>
    </xf>
    <xf numFmtId="3" fontId="8" fillId="0" borderId="10" xfId="43" applyNumberFormat="1" applyFont="1" applyFill="1" applyBorder="1" applyAlignment="1" applyProtection="1">
      <alignment horizontal="right" vertical="center"/>
      <protection/>
    </xf>
    <xf numFmtId="2" fontId="8" fillId="0" borderId="10" xfId="43" applyNumberFormat="1" applyFont="1" applyFill="1" applyBorder="1" applyAlignment="1" applyProtection="1">
      <alignment horizontal="right" vertical="center"/>
      <protection/>
    </xf>
    <xf numFmtId="4" fontId="8" fillId="0" borderId="10" xfId="43" applyNumberFormat="1" applyFont="1" applyFill="1" applyBorder="1" applyAlignment="1" applyProtection="1">
      <alignment horizontal="right" vertical="center"/>
      <protection locked="0"/>
    </xf>
    <xf numFmtId="3" fontId="8" fillId="0" borderId="10" xfId="43" applyNumberFormat="1" applyFont="1" applyFill="1" applyBorder="1" applyAlignment="1" applyProtection="1">
      <alignment horizontal="right" vertical="center"/>
      <protection locked="0"/>
    </xf>
    <xf numFmtId="2" fontId="8" fillId="0" borderId="49" xfId="43" applyNumberFormat="1" applyFont="1" applyFill="1" applyBorder="1" applyAlignment="1" applyProtection="1">
      <alignment horizontal="right" vertical="center"/>
      <protection/>
    </xf>
    <xf numFmtId="0" fontId="8" fillId="0" borderId="11" xfId="0" applyNumberFormat="1" applyFont="1" applyFill="1" applyBorder="1" applyAlignment="1">
      <alignment horizontal="center" vertical="center"/>
    </xf>
    <xf numFmtId="0" fontId="8" fillId="0" borderId="11" xfId="0" applyNumberFormat="1" applyFont="1" applyFill="1" applyBorder="1" applyAlignment="1">
      <alignment horizontal="left" vertical="center"/>
    </xf>
    <xf numFmtId="0" fontId="8" fillId="0" borderId="11" xfId="0" applyNumberFormat="1" applyFont="1" applyFill="1" applyBorder="1" applyAlignment="1">
      <alignment horizontal="center" vertical="center" shrinkToFit="1"/>
    </xf>
    <xf numFmtId="0" fontId="8" fillId="0" borderId="11" xfId="0" applyNumberFormat="1" applyFont="1" applyFill="1" applyBorder="1" applyAlignment="1">
      <alignment horizontal="left" vertical="center" shrinkToFit="1"/>
    </xf>
    <xf numFmtId="0" fontId="8" fillId="0" borderId="11" xfId="0" applyNumberFormat="1" applyFont="1" applyFill="1" applyBorder="1" applyAlignment="1">
      <alignment horizontal="center" vertical="center"/>
    </xf>
    <xf numFmtId="0" fontId="9" fillId="0" borderId="12" xfId="0" applyNumberFormat="1" applyFont="1" applyFill="1" applyBorder="1" applyAlignment="1">
      <alignment horizontal="right" vertical="center"/>
    </xf>
    <xf numFmtId="0" fontId="9" fillId="0" borderId="12" xfId="0" applyNumberFormat="1" applyFont="1" applyFill="1" applyBorder="1" applyAlignment="1" applyProtection="1">
      <alignment horizontal="right" vertical="center"/>
      <protection locked="0"/>
    </xf>
    <xf numFmtId="0" fontId="9" fillId="0" borderId="12" xfId="0" applyNumberFormat="1" applyFont="1" applyFill="1" applyBorder="1" applyAlignment="1" applyProtection="1">
      <alignment horizontal="right" vertical="center"/>
      <protection locked="0"/>
    </xf>
    <xf numFmtId="0" fontId="9" fillId="0" borderId="12" xfId="0" applyNumberFormat="1" applyFont="1" applyFill="1" applyBorder="1" applyAlignment="1">
      <alignment horizontal="right" vertical="center"/>
    </xf>
    <xf numFmtId="0" fontId="8" fillId="0" borderId="43" xfId="0" applyNumberFormat="1" applyFont="1" applyFill="1" applyBorder="1" applyAlignment="1">
      <alignment horizontal="left" vertical="center"/>
    </xf>
    <xf numFmtId="0" fontId="8" fillId="0" borderId="50" xfId="0" applyNumberFormat="1" applyFont="1" applyFill="1" applyBorder="1" applyAlignment="1" applyProtection="1">
      <alignment horizontal="left" vertical="center"/>
      <protection locked="0"/>
    </xf>
    <xf numFmtId="0" fontId="8" fillId="0" borderId="10" xfId="0" applyNumberFormat="1" applyFont="1" applyFill="1" applyBorder="1" applyAlignment="1" applyProtection="1">
      <alignment horizontal="center" vertical="center"/>
      <protection locked="0"/>
    </xf>
    <xf numFmtId="0" fontId="8" fillId="0" borderId="10" xfId="0" applyNumberFormat="1" applyFont="1" applyFill="1" applyBorder="1" applyAlignment="1" applyProtection="1">
      <alignment horizontal="left" vertical="center"/>
      <protection locked="0"/>
    </xf>
    <xf numFmtId="184" fontId="8" fillId="0" borderId="51" xfId="0" applyNumberFormat="1" applyFont="1" applyFill="1" applyBorder="1" applyAlignment="1">
      <alignment horizontal="center" vertical="center"/>
    </xf>
    <xf numFmtId="184" fontId="11" fillId="0" borderId="10" xfId="0" applyNumberFormat="1" applyFont="1" applyBorder="1" applyAlignment="1">
      <alignment horizontal="center" vertical="center"/>
    </xf>
    <xf numFmtId="184" fontId="11" fillId="0" borderId="11" xfId="0" applyNumberFormat="1" applyFont="1" applyBorder="1" applyAlignment="1">
      <alignment horizontal="center" vertical="center"/>
    </xf>
    <xf numFmtId="0" fontId="8" fillId="0" borderId="11" xfId="0" applyFont="1" applyFill="1" applyBorder="1" applyAlignment="1">
      <alignment horizontal="left" vertical="center"/>
    </xf>
    <xf numFmtId="0" fontId="8" fillId="0" borderId="11" xfId="0" applyFont="1" applyFill="1" applyBorder="1" applyAlignment="1" applyProtection="1">
      <alignment horizontal="left" vertical="center"/>
      <protection locked="0"/>
    </xf>
    <xf numFmtId="3" fontId="8" fillId="0" borderId="11" xfId="40" applyNumberFormat="1" applyFont="1" applyFill="1" applyBorder="1" applyAlignment="1" applyProtection="1">
      <alignment horizontal="right" vertical="center"/>
      <protection/>
    </xf>
    <xf numFmtId="0" fontId="8" fillId="0" borderId="11" xfId="0" applyFont="1" applyFill="1" applyBorder="1" applyAlignment="1">
      <alignment horizontal="left" vertical="center"/>
    </xf>
    <xf numFmtId="0" fontId="8" fillId="0" borderId="11" xfId="0" applyFont="1" applyFill="1" applyBorder="1" applyAlignment="1">
      <alignment vertical="center"/>
    </xf>
    <xf numFmtId="4" fontId="8" fillId="0" borderId="11" xfId="0" applyNumberFormat="1" applyFont="1" applyFill="1" applyBorder="1" applyAlignment="1" applyProtection="1">
      <alignment horizontal="right" vertical="center"/>
      <protection locked="0"/>
    </xf>
    <xf numFmtId="3" fontId="8" fillId="0" borderId="11" xfId="0" applyNumberFormat="1" applyFont="1" applyFill="1" applyBorder="1" applyAlignment="1" applyProtection="1">
      <alignment horizontal="right" vertical="center"/>
      <protection locked="0"/>
    </xf>
    <xf numFmtId="2" fontId="8" fillId="0" borderId="11" xfId="0" applyNumberFormat="1" applyFont="1" applyFill="1" applyBorder="1" applyAlignment="1" applyProtection="1">
      <alignment horizontal="right" vertical="center"/>
      <protection locked="0"/>
    </xf>
    <xf numFmtId="0" fontId="8" fillId="0" borderId="11" xfId="53" applyFont="1" applyFill="1" applyBorder="1" applyAlignment="1">
      <alignment horizontal="left" vertical="center"/>
      <protection/>
    </xf>
    <xf numFmtId="184" fontId="8" fillId="0" borderId="11" xfId="54" applyNumberFormat="1" applyFont="1" applyFill="1" applyBorder="1" applyAlignment="1">
      <alignment horizontal="center" vertical="center"/>
      <protection/>
    </xf>
    <xf numFmtId="0" fontId="8" fillId="0" borderId="11" xfId="54" applyFont="1" applyFill="1" applyBorder="1" applyAlignment="1">
      <alignment horizontal="center" vertical="center"/>
      <protection/>
    </xf>
    <xf numFmtId="0" fontId="8" fillId="0" borderId="43" xfId="0" applyFont="1" applyFill="1" applyBorder="1" applyAlignment="1" applyProtection="1">
      <alignment horizontal="left" vertical="center"/>
      <protection locked="0"/>
    </xf>
    <xf numFmtId="0" fontId="8" fillId="0" borderId="43" xfId="0" applyFont="1" applyFill="1" applyBorder="1" applyAlignment="1">
      <alignment horizontal="left" vertical="center"/>
    </xf>
    <xf numFmtId="0" fontId="8" fillId="0" borderId="43" xfId="0" applyFont="1" applyFill="1" applyBorder="1" applyAlignment="1">
      <alignment horizontal="left" vertical="center"/>
    </xf>
    <xf numFmtId="212" fontId="8" fillId="0" borderId="43" xfId="0" applyNumberFormat="1" applyFont="1" applyFill="1" applyBorder="1" applyAlignment="1">
      <alignment horizontal="left" vertical="center"/>
    </xf>
    <xf numFmtId="0" fontId="8" fillId="0" borderId="43" xfId="53" applyFont="1" applyFill="1" applyBorder="1" applyAlignment="1">
      <alignment horizontal="left" vertical="center"/>
      <protection/>
    </xf>
    <xf numFmtId="0" fontId="8" fillId="0" borderId="43" xfId="54" applyFont="1" applyFill="1" applyBorder="1" applyAlignment="1">
      <alignment horizontal="left" vertical="center"/>
      <protection/>
    </xf>
    <xf numFmtId="0" fontId="8" fillId="0" borderId="46" xfId="53" applyFont="1" applyFill="1" applyBorder="1" applyAlignment="1">
      <alignment horizontal="left" vertical="center"/>
      <protection/>
    </xf>
    <xf numFmtId="184" fontId="8" fillId="0" borderId="47" xfId="53" applyNumberFormat="1" applyFont="1" applyFill="1" applyBorder="1" applyAlignment="1">
      <alignment horizontal="center" vertical="center"/>
      <protection/>
    </xf>
    <xf numFmtId="0" fontId="8" fillId="0" borderId="47" xfId="53" applyFont="1" applyFill="1" applyBorder="1" applyAlignment="1">
      <alignment vertical="center"/>
      <protection/>
    </xf>
    <xf numFmtId="0" fontId="8" fillId="0" borderId="47" xfId="53" applyFont="1" applyFill="1" applyBorder="1" applyAlignment="1">
      <alignment horizontal="center" vertical="center"/>
      <protection/>
    </xf>
    <xf numFmtId="4" fontId="8" fillId="0" borderId="47" xfId="53" applyNumberFormat="1" applyFont="1" applyFill="1" applyBorder="1" applyAlignment="1" applyProtection="1">
      <alignment horizontal="right" vertical="center"/>
      <protection/>
    </xf>
    <xf numFmtId="3" fontId="8" fillId="0" borderId="47" xfId="53" applyNumberFormat="1" applyFont="1" applyFill="1" applyBorder="1" applyAlignment="1" applyProtection="1">
      <alignment horizontal="right" vertical="center"/>
      <protection/>
    </xf>
    <xf numFmtId="2" fontId="8" fillId="0" borderId="47" xfId="53" applyNumberFormat="1" applyFont="1" applyFill="1" applyBorder="1" applyAlignment="1" applyProtection="1">
      <alignment horizontal="right" vertical="center"/>
      <protection/>
    </xf>
    <xf numFmtId="2" fontId="8" fillId="0" borderId="48" xfId="53" applyNumberFormat="1" applyFont="1" applyFill="1" applyBorder="1" applyAlignment="1" applyProtection="1">
      <alignment horizontal="right" vertical="center"/>
      <protection/>
    </xf>
    <xf numFmtId="0" fontId="9" fillId="0" borderId="11" xfId="0" applyFont="1" applyFill="1" applyBorder="1" applyAlignment="1" applyProtection="1">
      <alignment horizontal="left" vertical="center"/>
      <protection locked="0"/>
    </xf>
    <xf numFmtId="213" fontId="9" fillId="0" borderId="12" xfId="0" applyNumberFormat="1" applyFont="1" applyFill="1" applyBorder="1" applyAlignment="1">
      <alignment horizontal="right" vertical="center"/>
    </xf>
    <xf numFmtId="0" fontId="31" fillId="0" borderId="0" xfId="0" applyFont="1" applyFill="1" applyBorder="1" applyAlignment="1" applyProtection="1">
      <alignment vertical="center"/>
      <protection locked="0"/>
    </xf>
    <xf numFmtId="0" fontId="51" fillId="0" borderId="0" xfId="0" applyFont="1" applyBorder="1" applyAlignment="1">
      <alignment horizontal="left" vertical="center"/>
    </xf>
    <xf numFmtId="0" fontId="51" fillId="0" borderId="0" xfId="0" applyFont="1" applyBorder="1" applyAlignment="1">
      <alignment vertical="center"/>
    </xf>
    <xf numFmtId="0" fontId="8" fillId="0" borderId="17" xfId="0" applyFont="1" applyFill="1" applyBorder="1" applyAlignment="1" applyProtection="1">
      <alignment horizontal="left" vertical="center"/>
      <protection locked="0"/>
    </xf>
    <xf numFmtId="2" fontId="8" fillId="0" borderId="11" xfId="0" applyNumberFormat="1" applyFont="1" applyFill="1" applyBorder="1" applyAlignment="1">
      <alignment horizontal="right" vertical="center"/>
    </xf>
    <xf numFmtId="0" fontId="8" fillId="0" borderId="50" xfId="0" applyFont="1" applyFill="1" applyBorder="1" applyAlignment="1">
      <alignment horizontal="left" vertical="center"/>
    </xf>
    <xf numFmtId="212" fontId="8" fillId="0" borderId="52" xfId="0" applyNumberFormat="1" applyFont="1" applyFill="1" applyBorder="1" applyAlignment="1">
      <alignment horizontal="left" vertical="center"/>
    </xf>
    <xf numFmtId="0" fontId="8" fillId="0" borderId="51" xfId="0" applyFont="1" applyFill="1" applyBorder="1" applyAlignment="1">
      <alignment vertical="center"/>
    </xf>
    <xf numFmtId="0" fontId="8" fillId="0" borderId="51" xfId="0" applyFont="1" applyFill="1" applyBorder="1" applyAlignment="1">
      <alignment horizontal="center" vertical="center"/>
    </xf>
    <xf numFmtId="4" fontId="8" fillId="0" borderId="51" xfId="43" applyNumberFormat="1" applyFont="1" applyFill="1" applyBorder="1" applyAlignment="1" applyProtection="1">
      <alignment horizontal="right" vertical="center"/>
      <protection locked="0"/>
    </xf>
    <xf numFmtId="3" fontId="8" fillId="0" borderId="51" xfId="43" applyNumberFormat="1" applyFont="1" applyFill="1" applyBorder="1" applyAlignment="1" applyProtection="1">
      <alignment horizontal="right" vertical="center"/>
      <protection locked="0"/>
    </xf>
    <xf numFmtId="3" fontId="8" fillId="0" borderId="51" xfId="43" applyNumberFormat="1" applyFont="1" applyFill="1" applyBorder="1" applyAlignment="1" applyProtection="1">
      <alignment horizontal="right" vertical="center"/>
      <protection/>
    </xf>
    <xf numFmtId="2" fontId="8" fillId="0" borderId="51" xfId="43" applyNumberFormat="1" applyFont="1" applyFill="1" applyBorder="1" applyAlignment="1" applyProtection="1">
      <alignment horizontal="right" vertical="center"/>
      <protection/>
    </xf>
    <xf numFmtId="2" fontId="8" fillId="0" borderId="53" xfId="43" applyNumberFormat="1" applyFont="1" applyFill="1" applyBorder="1" applyAlignment="1" applyProtection="1">
      <alignment horizontal="right" vertical="center"/>
      <protection/>
    </xf>
    <xf numFmtId="3" fontId="8" fillId="0" borderId="24" xfId="44" applyNumberFormat="1" applyFont="1" applyFill="1" applyBorder="1" applyAlignment="1" applyProtection="1">
      <alignment horizontal="right" vertical="center"/>
      <protection/>
    </xf>
    <xf numFmtId="2" fontId="8" fillId="0" borderId="24" xfId="44" applyNumberFormat="1" applyFont="1" applyFill="1" applyBorder="1" applyAlignment="1" applyProtection="1">
      <alignment horizontal="right" vertical="center"/>
      <protection/>
    </xf>
    <xf numFmtId="0" fontId="8" fillId="0" borderId="24" xfId="0" applyFont="1" applyFill="1" applyBorder="1" applyAlignment="1" applyProtection="1">
      <alignment vertical="center"/>
      <protection locked="0"/>
    </xf>
    <xf numFmtId="0" fontId="8" fillId="0" borderId="24" xfId="0" applyFont="1" applyFill="1" applyBorder="1" applyAlignment="1" applyProtection="1">
      <alignment horizontal="center" vertical="center"/>
      <protection locked="0"/>
    </xf>
    <xf numFmtId="184" fontId="8" fillId="0" borderId="24" xfId="54" applyNumberFormat="1" applyFont="1" applyFill="1" applyBorder="1" applyAlignment="1">
      <alignment horizontal="center" vertical="center"/>
      <protection/>
    </xf>
    <xf numFmtId="0" fontId="8" fillId="0" borderId="24" xfId="54" applyFont="1" applyFill="1" applyBorder="1" applyAlignment="1">
      <alignment horizontal="center" vertical="center"/>
      <protection/>
    </xf>
    <xf numFmtId="0" fontId="9" fillId="0" borderId="12" xfId="0" applyFont="1" applyFill="1" applyBorder="1" applyAlignment="1" applyProtection="1">
      <alignment horizontal="left" vertical="center"/>
      <protection locked="0"/>
    </xf>
    <xf numFmtId="0" fontId="9" fillId="0" borderId="12" xfId="0" applyFont="1" applyFill="1" applyBorder="1" applyAlignment="1">
      <alignment horizontal="left" vertical="center"/>
    </xf>
    <xf numFmtId="0" fontId="56" fillId="0" borderId="11" xfId="0" applyFont="1" applyFill="1" applyBorder="1" applyAlignment="1" applyProtection="1">
      <alignment horizontal="left" vertical="center"/>
      <protection locked="0"/>
    </xf>
    <xf numFmtId="0" fontId="56" fillId="0" borderId="11" xfId="0" applyFont="1" applyFill="1" applyBorder="1" applyAlignment="1">
      <alignment horizontal="left" vertical="center"/>
    </xf>
    <xf numFmtId="0" fontId="56" fillId="0" borderId="11" xfId="0" applyFont="1" applyFill="1" applyBorder="1" applyAlignment="1">
      <alignment horizontal="left"/>
    </xf>
    <xf numFmtId="0" fontId="56" fillId="0" borderId="11" xfId="0" applyFont="1" applyFill="1" applyBorder="1" applyAlignment="1" applyProtection="1">
      <alignment vertical="center"/>
      <protection locked="0"/>
    </xf>
    <xf numFmtId="0" fontId="56" fillId="0" borderId="11" xfId="0" applyFont="1" applyFill="1" applyBorder="1" applyAlignment="1">
      <alignment vertical="center"/>
    </xf>
    <xf numFmtId="0" fontId="56" fillId="0" borderId="11" xfId="0" applyFont="1" applyBorder="1" applyAlignment="1">
      <alignment/>
    </xf>
    <xf numFmtId="0" fontId="51" fillId="0" borderId="11" xfId="0" applyFont="1" applyBorder="1" applyAlignment="1">
      <alignment horizontal="left" vertical="center"/>
    </xf>
    <xf numFmtId="0" fontId="51" fillId="0" borderId="11" xfId="0" applyFont="1" applyBorder="1" applyAlignment="1">
      <alignment vertical="center"/>
    </xf>
    <xf numFmtId="0" fontId="8" fillId="0" borderId="23" xfId="54" applyFont="1" applyFill="1" applyBorder="1" applyAlignment="1">
      <alignment horizontal="left" vertical="center"/>
      <protection/>
    </xf>
    <xf numFmtId="0" fontId="8" fillId="0" borderId="23" xfId="53" applyFont="1" applyFill="1" applyBorder="1" applyAlignment="1">
      <alignment horizontal="left" vertical="center"/>
      <protection/>
    </xf>
    <xf numFmtId="2" fontId="8" fillId="0" borderId="25" xfId="44" applyNumberFormat="1" applyFont="1" applyFill="1" applyBorder="1" applyAlignment="1" applyProtection="1">
      <alignment horizontal="right" vertical="center"/>
      <protection/>
    </xf>
    <xf numFmtId="4" fontId="13" fillId="0" borderId="10" xfId="0" applyNumberFormat="1" applyFont="1" applyBorder="1" applyAlignment="1">
      <alignment horizontal="right"/>
    </xf>
    <xf numFmtId="3" fontId="13" fillId="0" borderId="10" xfId="0" applyNumberFormat="1" applyFont="1" applyBorder="1" applyAlignment="1">
      <alignment horizontal="right"/>
    </xf>
    <xf numFmtId="4" fontId="13" fillId="0" borderId="11" xfId="0" applyNumberFormat="1" applyFont="1" applyBorder="1" applyAlignment="1">
      <alignment horizontal="right"/>
    </xf>
    <xf numFmtId="3" fontId="13" fillId="0" borderId="11" xfId="0" applyNumberFormat="1" applyFont="1" applyBorder="1" applyAlignment="1">
      <alignment horizontal="right"/>
    </xf>
    <xf numFmtId="4" fontId="13" fillId="0" borderId="0" xfId="0" applyNumberFormat="1" applyFont="1" applyAlignment="1">
      <alignment horizontal="right"/>
    </xf>
    <xf numFmtId="3" fontId="13" fillId="0" borderId="0" xfId="0" applyNumberFormat="1" applyFont="1" applyAlignment="1">
      <alignment horizontal="right"/>
    </xf>
    <xf numFmtId="184" fontId="8" fillId="0" borderId="11" xfId="0" applyNumberFormat="1" applyFont="1" applyFill="1" applyBorder="1" applyAlignment="1" applyProtection="1">
      <alignment horizontal="left" vertical="center"/>
      <protection locked="0"/>
    </xf>
    <xf numFmtId="49" fontId="8" fillId="0" borderId="11" xfId="0" applyNumberFormat="1" applyFont="1" applyFill="1" applyBorder="1" applyAlignment="1" applyProtection="1">
      <alignment horizontal="left" vertical="center"/>
      <protection locked="0"/>
    </xf>
    <xf numFmtId="184" fontId="8" fillId="0" borderId="11" xfId="0" applyNumberFormat="1" applyFont="1" applyFill="1" applyBorder="1" applyAlignment="1">
      <alignment horizontal="left" vertical="center"/>
    </xf>
    <xf numFmtId="184" fontId="8" fillId="0" borderId="11" xfId="0" applyNumberFormat="1" applyFont="1" applyFill="1" applyBorder="1" applyAlignment="1">
      <alignment horizontal="left" vertical="center"/>
    </xf>
    <xf numFmtId="0" fontId="8" fillId="0" borderId="11" xfId="0" applyNumberFormat="1" applyFont="1" applyFill="1" applyBorder="1" applyAlignment="1">
      <alignment horizontal="center" vertical="center"/>
    </xf>
    <xf numFmtId="14" fontId="8" fillId="0" borderId="11" xfId="0" applyNumberFormat="1" applyFont="1" applyFill="1" applyBorder="1" applyAlignment="1">
      <alignment horizontal="left" vertical="center"/>
    </xf>
    <xf numFmtId="184" fontId="8" fillId="0" borderId="11" xfId="54" applyNumberFormat="1" applyFont="1" applyFill="1" applyBorder="1" applyAlignment="1">
      <alignment horizontal="left" vertical="center"/>
      <protection/>
    </xf>
    <xf numFmtId="184" fontId="8" fillId="0" borderId="11" xfId="55" applyNumberFormat="1" applyFont="1" applyFill="1" applyBorder="1" applyAlignment="1" applyProtection="1">
      <alignment horizontal="left" vertical="center"/>
      <protection locked="0"/>
    </xf>
    <xf numFmtId="184" fontId="8" fillId="0" borderId="11" xfId="0" applyNumberFormat="1" applyFont="1" applyFill="1" applyBorder="1" applyAlignment="1">
      <alignment horizontal="left" vertical="center" shrinkToFit="1"/>
    </xf>
    <xf numFmtId="184" fontId="8" fillId="0" borderId="11" xfId="53" applyNumberFormat="1" applyFont="1" applyFill="1" applyBorder="1" applyAlignment="1">
      <alignment horizontal="left" vertical="center"/>
      <protection/>
    </xf>
    <xf numFmtId="0" fontId="8" fillId="0" borderId="17" xfId="0" applyNumberFormat="1" applyFont="1" applyFill="1" applyBorder="1" applyAlignment="1" applyProtection="1">
      <alignment horizontal="left" vertical="center"/>
      <protection locked="0"/>
    </xf>
    <xf numFmtId="184" fontId="8" fillId="0" borderId="13" xfId="0" applyNumberFormat="1" applyFont="1" applyFill="1" applyBorder="1" applyAlignment="1" applyProtection="1">
      <alignment horizontal="left" vertical="center"/>
      <protection locked="0"/>
    </xf>
    <xf numFmtId="49" fontId="8" fillId="0" borderId="13" xfId="0" applyNumberFormat="1" applyFont="1" applyFill="1" applyBorder="1" applyAlignment="1" applyProtection="1">
      <alignment horizontal="left" vertical="center"/>
      <protection locked="0"/>
    </xf>
    <xf numFmtId="0" fontId="8" fillId="0" borderId="43" xfId="0" applyNumberFormat="1" applyFont="1" applyFill="1" applyBorder="1" applyAlignment="1">
      <alignment horizontal="left" vertical="center" shrinkToFit="1"/>
    </xf>
    <xf numFmtId="184" fontId="8" fillId="0" borderId="47" xfId="0" applyNumberFormat="1" applyFont="1" applyFill="1" applyBorder="1" applyAlignment="1" applyProtection="1">
      <alignment horizontal="left" vertical="center"/>
      <protection locked="0"/>
    </xf>
    <xf numFmtId="0" fontId="8" fillId="0" borderId="47" xfId="0" applyNumberFormat="1" applyFont="1" applyFill="1" applyBorder="1" applyAlignment="1" applyProtection="1">
      <alignment horizontal="left" vertical="center"/>
      <protection locked="0"/>
    </xf>
    <xf numFmtId="192" fontId="29" fillId="0" borderId="34" xfId="0" applyNumberFormat="1" applyFont="1" applyFill="1" applyBorder="1" applyAlignment="1" applyProtection="1">
      <alignment horizontal="right" vertical="center"/>
      <protection/>
    </xf>
    <xf numFmtId="0" fontId="54" fillId="0" borderId="0" xfId="0" applyFont="1" applyBorder="1" applyAlignment="1">
      <alignment horizontal="center"/>
    </xf>
    <xf numFmtId="3" fontId="44" fillId="0" borderId="54" xfId="0" applyNumberFormat="1" applyFont="1" applyFill="1" applyBorder="1" applyAlignment="1">
      <alignment horizontal="center"/>
    </xf>
    <xf numFmtId="3" fontId="44" fillId="0" borderId="12" xfId="0" applyNumberFormat="1" applyFont="1" applyFill="1" applyBorder="1" applyAlignment="1">
      <alignment horizontal="center"/>
    </xf>
    <xf numFmtId="0" fontId="9" fillId="0" borderId="11" xfId="0" applyFont="1" applyFill="1" applyBorder="1" applyAlignment="1" applyProtection="1">
      <alignment horizontal="right" vertical="center"/>
      <protection locked="0"/>
    </xf>
    <xf numFmtId="3" fontId="10" fillId="0" borderId="11" xfId="0" applyNumberFormat="1" applyFont="1" applyBorder="1" applyAlignment="1">
      <alignment vertical="center"/>
    </xf>
    <xf numFmtId="192" fontId="29" fillId="0" borderId="11" xfId="0" applyNumberFormat="1" applyFont="1" applyBorder="1" applyAlignment="1">
      <alignment horizontal="right" vertical="center"/>
    </xf>
    <xf numFmtId="184" fontId="8" fillId="0" borderId="10" xfId="0" applyNumberFormat="1" applyFont="1" applyFill="1" applyBorder="1" applyAlignment="1" applyProtection="1">
      <alignment horizontal="left" vertical="center"/>
      <protection locked="0"/>
    </xf>
    <xf numFmtId="2" fontId="8" fillId="0" borderId="49" xfId="42" applyNumberFormat="1" applyFont="1" applyFill="1" applyBorder="1" applyAlignment="1" applyProtection="1">
      <alignment horizontal="right" vertical="center"/>
      <protection/>
    </xf>
    <xf numFmtId="0" fontId="8" fillId="0" borderId="52" xfId="0" applyNumberFormat="1" applyFont="1" applyFill="1" applyBorder="1" applyAlignment="1">
      <alignment horizontal="left" vertical="center"/>
    </xf>
    <xf numFmtId="184" fontId="8" fillId="0" borderId="51" xfId="0" applyNumberFormat="1" applyFont="1" applyFill="1" applyBorder="1" applyAlignment="1">
      <alignment horizontal="left" vertical="center"/>
    </xf>
    <xf numFmtId="0" fontId="8" fillId="0" borderId="51" xfId="0" applyNumberFormat="1" applyFont="1" applyFill="1" applyBorder="1" applyAlignment="1">
      <alignment horizontal="left" vertical="center"/>
    </xf>
    <xf numFmtId="0" fontId="8" fillId="0" borderId="51" xfId="0" applyNumberFormat="1" applyFont="1" applyFill="1" applyBorder="1" applyAlignment="1">
      <alignment horizontal="center" vertical="center"/>
    </xf>
    <xf numFmtId="4" fontId="38" fillId="0" borderId="51" xfId="0" applyNumberFormat="1" applyFont="1" applyFill="1" applyBorder="1" applyAlignment="1">
      <alignment horizontal="right" vertical="center"/>
    </xf>
    <xf numFmtId="3" fontId="38" fillId="0" borderId="51" xfId="0" applyNumberFormat="1" applyFont="1" applyFill="1" applyBorder="1" applyAlignment="1">
      <alignment horizontal="right" vertical="center"/>
    </xf>
    <xf numFmtId="2" fontId="8" fillId="0" borderId="53" xfId="0" applyNumberFormat="1" applyFont="1" applyFill="1" applyBorder="1" applyAlignment="1">
      <alignment horizontal="right" vertical="center"/>
    </xf>
    <xf numFmtId="0" fontId="41" fillId="33" borderId="55" xfId="0" applyFont="1" applyFill="1" applyBorder="1" applyAlignment="1" applyProtection="1">
      <alignment horizontal="center" vertical="center"/>
      <protection/>
    </xf>
    <xf numFmtId="0" fontId="40" fillId="0" borderId="56" xfId="0" applyFont="1" applyBorder="1" applyAlignment="1">
      <alignment horizontal="center"/>
    </xf>
    <xf numFmtId="0" fontId="40" fillId="0" borderId="57" xfId="0" applyFont="1" applyBorder="1" applyAlignment="1">
      <alignment horizontal="center"/>
    </xf>
    <xf numFmtId="181" fontId="43" fillId="0" borderId="21" xfId="0" applyNumberFormat="1" applyFont="1" applyFill="1" applyBorder="1" applyAlignment="1" applyProtection="1">
      <alignment horizontal="center" wrapText="1"/>
      <protection/>
    </xf>
    <xf numFmtId="0" fontId="43" fillId="0" borderId="21" xfId="0" applyFont="1" applyBorder="1" applyAlignment="1">
      <alignment horizontal="center"/>
    </xf>
    <xf numFmtId="0" fontId="43" fillId="0" borderId="22" xfId="0" applyFont="1" applyBorder="1" applyAlignment="1">
      <alignment horizontal="center"/>
    </xf>
    <xf numFmtId="0" fontId="43" fillId="0" borderId="21" xfId="0" applyNumberFormat="1" applyFont="1" applyFill="1" applyBorder="1" applyAlignment="1" applyProtection="1">
      <alignment horizontal="center" wrapText="1"/>
      <protection/>
    </xf>
    <xf numFmtId="0" fontId="43" fillId="0" borderId="27" xfId="0" applyFont="1" applyBorder="1" applyAlignment="1">
      <alignment horizontal="center"/>
    </xf>
    <xf numFmtId="43" fontId="43" fillId="0" borderId="20" xfId="40" applyFont="1" applyFill="1" applyBorder="1" applyAlignment="1" applyProtection="1">
      <alignment horizontal="center" wrapText="1"/>
      <protection/>
    </xf>
    <xf numFmtId="0" fontId="43" fillId="0" borderId="26" xfId="0" applyFont="1" applyBorder="1" applyAlignment="1">
      <alignment horizontal="center"/>
    </xf>
    <xf numFmtId="0" fontId="43" fillId="0" borderId="21" xfId="0" applyFont="1" applyFill="1" applyBorder="1" applyAlignment="1" applyProtection="1">
      <alignment horizontal="center" wrapText="1"/>
      <protection/>
    </xf>
    <xf numFmtId="4" fontId="43" fillId="0" borderId="21" xfId="0" applyNumberFormat="1" applyFont="1" applyFill="1" applyBorder="1" applyAlignment="1" applyProtection="1">
      <alignment horizontal="center" wrapText="1"/>
      <protection/>
    </xf>
    <xf numFmtId="184" fontId="43" fillId="0" borderId="21" xfId="0" applyNumberFormat="1" applyFont="1" applyFill="1" applyBorder="1" applyAlignment="1" applyProtection="1">
      <alignment horizontal="center" wrapText="1"/>
      <protection/>
    </xf>
    <xf numFmtId="0" fontId="45" fillId="0" borderId="11" xfId="0" applyFont="1" applyFill="1" applyBorder="1" applyAlignment="1" applyProtection="1">
      <alignment horizontal="left" vertical="center" wrapText="1"/>
      <protection/>
    </xf>
    <xf numFmtId="0" fontId="0" fillId="0" borderId="11" xfId="0" applyBorder="1" applyAlignment="1">
      <alignment horizontal="left" vertical="center" wrapText="1"/>
    </xf>
    <xf numFmtId="0" fontId="0" fillId="0" borderId="11" xfId="0" applyBorder="1" applyAlignment="1">
      <alignment vertical="center" wrapText="1"/>
    </xf>
    <xf numFmtId="0" fontId="21" fillId="33" borderId="10" xfId="0" applyFont="1" applyFill="1" applyBorder="1" applyAlignment="1">
      <alignment horizontal="center" vertical="center"/>
    </xf>
    <xf numFmtId="0" fontId="12" fillId="0" borderId="10" xfId="0" applyFont="1" applyBorder="1" applyAlignment="1">
      <alignment horizontal="center"/>
    </xf>
    <xf numFmtId="0" fontId="43" fillId="0" borderId="0" xfId="0" applyNumberFormat="1" applyFont="1" applyFill="1" applyBorder="1" applyAlignment="1" applyProtection="1">
      <alignment horizontal="center" wrapText="1"/>
      <protection/>
    </xf>
    <xf numFmtId="0" fontId="43" fillId="0" borderId="38" xfId="0" applyNumberFormat="1" applyFont="1" applyFill="1" applyBorder="1" applyAlignment="1" applyProtection="1">
      <alignment horizontal="center" wrapText="1"/>
      <protection/>
    </xf>
    <xf numFmtId="0" fontId="41" fillId="33" borderId="0" xfId="0" applyFont="1" applyFill="1" applyBorder="1" applyAlignment="1" applyProtection="1">
      <alignment horizontal="center" vertical="center" wrapText="1"/>
      <protection/>
    </xf>
    <xf numFmtId="0" fontId="0" fillId="0" borderId="0" xfId="0" applyAlignment="1">
      <alignment horizontal="center" wrapText="1"/>
    </xf>
    <xf numFmtId="0" fontId="43" fillId="0" borderId="41" xfId="0" applyNumberFormat="1" applyFont="1" applyFill="1" applyBorder="1" applyAlignment="1">
      <alignment horizontal="center" wrapText="1"/>
    </xf>
    <xf numFmtId="0" fontId="43" fillId="0" borderId="58" xfId="0" applyNumberFormat="1" applyFont="1" applyFill="1" applyBorder="1" applyAlignment="1">
      <alignment horizontal="center" wrapText="1"/>
    </xf>
    <xf numFmtId="184" fontId="43" fillId="0" borderId="0" xfId="0" applyNumberFormat="1" applyFont="1" applyFill="1" applyBorder="1" applyAlignment="1">
      <alignment horizontal="center" wrapText="1"/>
    </xf>
    <xf numFmtId="184" fontId="43" fillId="0" borderId="38" xfId="0" applyNumberFormat="1" applyFont="1" applyFill="1" applyBorder="1" applyAlignment="1">
      <alignment horizontal="center" wrapText="1"/>
    </xf>
    <xf numFmtId="0" fontId="43" fillId="0" borderId="0" xfId="0" applyNumberFormat="1" applyFont="1" applyFill="1" applyBorder="1" applyAlignment="1">
      <alignment horizontal="center" wrapText="1"/>
    </xf>
    <xf numFmtId="0" fontId="43" fillId="0" borderId="38" xfId="0" applyNumberFormat="1" applyFont="1" applyFill="1" applyBorder="1" applyAlignment="1">
      <alignment horizontal="center" wrapText="1"/>
    </xf>
    <xf numFmtId="192" fontId="43" fillId="0" borderId="59" xfId="0" applyNumberFormat="1" applyFont="1" applyFill="1" applyBorder="1" applyAlignment="1" applyProtection="1">
      <alignment horizontal="center" wrapText="1"/>
      <protection/>
    </xf>
    <xf numFmtId="192" fontId="43" fillId="0" borderId="60" xfId="0" applyNumberFormat="1" applyFont="1" applyFill="1" applyBorder="1" applyAlignment="1" applyProtection="1">
      <alignment horizontal="center" wrapText="1"/>
      <protection/>
    </xf>
    <xf numFmtId="0" fontId="43" fillId="0" borderId="39" xfId="0" applyFont="1" applyBorder="1" applyAlignment="1">
      <alignment horizontal="center"/>
    </xf>
    <xf numFmtId="0" fontId="43" fillId="0" borderId="61" xfId="0" applyFont="1" applyBorder="1" applyAlignment="1">
      <alignment horizontal="center"/>
    </xf>
    <xf numFmtId="184" fontId="43" fillId="0" borderId="39" xfId="0" applyNumberFormat="1" applyFont="1" applyBorder="1" applyAlignment="1">
      <alignment horizontal="center"/>
    </xf>
    <xf numFmtId="0" fontId="43" fillId="0" borderId="39" xfId="0" applyFont="1" applyBorder="1" applyAlignment="1">
      <alignment horizontal="center" wrapText="1"/>
    </xf>
    <xf numFmtId="2" fontId="43" fillId="0" borderId="21" xfId="0" applyNumberFormat="1" applyFont="1" applyFill="1" applyBorder="1" applyAlignment="1" applyProtection="1">
      <alignment horizontal="center" wrapText="1"/>
      <protection/>
    </xf>
    <xf numFmtId="2" fontId="43" fillId="0" borderId="62" xfId="0" applyNumberFormat="1" applyFont="1" applyFill="1" applyBorder="1" applyAlignment="1" applyProtection="1">
      <alignment horizontal="center" wrapText="1"/>
      <protection/>
    </xf>
    <xf numFmtId="0" fontId="41" fillId="33" borderId="38" xfId="0" applyFont="1" applyFill="1" applyBorder="1" applyAlignment="1" applyProtection="1">
      <alignment horizontal="center" vertical="center" wrapText="1"/>
      <protection/>
    </xf>
    <xf numFmtId="0" fontId="0" fillId="0" borderId="38" xfId="0" applyBorder="1" applyAlignment="1">
      <alignment horizontal="center" wrapText="1"/>
    </xf>
  </cellXfs>
  <cellStyles count="55">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 2 2 2" xfId="54"/>
    <cellStyle name="Normal_Sayfa1" xfId="55"/>
    <cellStyle name="Not" xfId="56"/>
    <cellStyle name="Nötr" xfId="57"/>
    <cellStyle name="Currency" xfId="58"/>
    <cellStyle name="Currency [0]" xfId="59"/>
    <cellStyle name="Toplam" xfId="60"/>
    <cellStyle name="Uyarı Metni" xfId="61"/>
    <cellStyle name="Vurgu1" xfId="62"/>
    <cellStyle name="Vurgu2" xfId="63"/>
    <cellStyle name="Vurgu3" xfId="64"/>
    <cellStyle name="Vurgu4" xfId="65"/>
    <cellStyle name="Vurgu5" xfId="66"/>
    <cellStyle name="Vurgu6" xfId="67"/>
    <cellStyle name="Percen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14</xdr:col>
      <xdr:colOff>0</xdr:colOff>
      <xdr:row>0</xdr:row>
      <xdr:rowOff>590550</xdr:rowOff>
    </xdr:to>
    <xdr:sp>
      <xdr:nvSpPr>
        <xdr:cNvPr id="1" name="Text Box 1"/>
        <xdr:cNvSpPr txBox="1">
          <a:spLocks noChangeArrowheads="1"/>
        </xdr:cNvSpPr>
      </xdr:nvSpPr>
      <xdr:spPr>
        <a:xfrm>
          <a:off x="28575" y="66675"/>
          <a:ext cx="12201525" cy="523875"/>
        </a:xfrm>
        <a:prstGeom prst="rect">
          <a:avLst/>
        </a:prstGeom>
        <a:solidFill>
          <a:srgbClr val="FFCC99"/>
        </a:solidFill>
        <a:ln w="38100" cmpd="dbl">
          <a:noFill/>
        </a:ln>
      </xdr:spPr>
      <xdr:txBody>
        <a:bodyPr vertOverflow="clip" wrap="square" lIns="73152" tIns="73152" rIns="73152" bIns="73152"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2000" b="0" i="0" u="none" baseline="0">
              <a:solidFill>
                <a:srgbClr val="DD0806"/>
              </a:solidFill>
              <a:latin typeface="AcidSans-Regular"/>
              <a:ea typeface="AcidSans-Regular"/>
              <a:cs typeface="AcidSans-Regular"/>
            </a:rPr>
            <a:t>WEEKLY BOX OFFICE &amp; ADMISSION REPORT</a:t>
          </a:r>
        </a:p>
      </xdr:txBody>
    </xdr:sp>
    <xdr:clientData/>
  </xdr:twoCellAnchor>
  <xdr:twoCellAnchor>
    <xdr:from>
      <xdr:col>2</xdr:col>
      <xdr:colOff>180975</xdr:colOff>
      <xdr:row>0</xdr:row>
      <xdr:rowOff>600075</xdr:rowOff>
    </xdr:from>
    <xdr:to>
      <xdr:col>14</xdr:col>
      <xdr:colOff>0</xdr:colOff>
      <xdr:row>0</xdr:row>
      <xdr:rowOff>904875</xdr:rowOff>
    </xdr:to>
    <xdr:sp fLocksText="0">
      <xdr:nvSpPr>
        <xdr:cNvPr id="2" name="Text Box 2"/>
        <xdr:cNvSpPr txBox="1">
          <a:spLocks noChangeArrowheads="1"/>
        </xdr:cNvSpPr>
      </xdr:nvSpPr>
      <xdr:spPr>
        <a:xfrm>
          <a:off x="4371975" y="600075"/>
          <a:ext cx="7858125" cy="304800"/>
        </a:xfrm>
        <a:prstGeom prst="rect">
          <a:avLst/>
        </a:prstGeom>
        <a:solidFill>
          <a:srgbClr val="FFCC99"/>
        </a:solidFill>
        <a:ln w="9525" cmpd="sng">
          <a:noFill/>
        </a:ln>
      </xdr:spPr>
      <xdr:txBody>
        <a:bodyPr vertOverflow="clip" wrap="square" lIns="0" tIns="27432" rIns="36576" bIns="0"/>
        <a:p>
          <a:pPr algn="r">
            <a:defRPr/>
          </a:pPr>
          <a:r>
            <a:rPr lang="en-US" cap="none" sz="2000" b="0" i="0" u="none" baseline="0">
              <a:solidFill>
                <a:srgbClr val="000000"/>
              </a:solidFill>
            </a:rPr>
            <a:t>week: 51 / 17-23 December 2010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9</xdr:col>
      <xdr:colOff>0</xdr:colOff>
      <xdr:row>0</xdr:row>
      <xdr:rowOff>581025</xdr:rowOff>
    </xdr:to>
    <xdr:sp>
      <xdr:nvSpPr>
        <xdr:cNvPr id="1" name="Text Box 1"/>
        <xdr:cNvSpPr txBox="1">
          <a:spLocks noChangeArrowheads="1"/>
        </xdr:cNvSpPr>
      </xdr:nvSpPr>
      <xdr:spPr>
        <a:xfrm>
          <a:off x="38100" y="66675"/>
          <a:ext cx="9001125" cy="514350"/>
        </a:xfrm>
        <a:prstGeom prst="rect">
          <a:avLst/>
        </a:prstGeom>
        <a:solidFill>
          <a:srgbClr val="FFCC99"/>
        </a:solidFill>
        <a:ln w="38100" cmpd="dbl">
          <a:noFill/>
        </a:ln>
      </xdr:spPr>
      <xdr:txBody>
        <a:bodyPr vertOverflow="clip" wrap="square" lIns="73152" tIns="73152" rIns="73152" bIns="73152" anchor="ctr"/>
        <a:p>
          <a:pPr algn="l">
            <a:defRPr/>
          </a:pPr>
          <a:r>
            <a:rPr lang="en-US" cap="none" sz="2000" b="1" i="0" u="none" baseline="0">
              <a:solidFill>
                <a:srgbClr val="000000"/>
              </a:solidFill>
              <a:latin typeface="AcidSansRegular"/>
              <a:ea typeface="AcidSansRegular"/>
              <a:cs typeface="AcidSansRegular"/>
            </a:rPr>
            <a:t>TÜRK</a:t>
          </a:r>
          <a:r>
            <a:rPr lang="en-US" cap="none" sz="2000" b="1" i="0" u="none" baseline="0">
              <a:solidFill>
                <a:srgbClr val="000000"/>
              </a:solidFill>
              <a:latin typeface="Arial"/>
              <a:ea typeface="Arial"/>
              <a:cs typeface="Arial"/>
            </a:rPr>
            <a:t>İ</a:t>
          </a:r>
          <a:r>
            <a:rPr lang="en-US" cap="none" sz="20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1600" b="0" i="0" u="none" baseline="0">
              <a:solidFill>
                <a:srgbClr val="DD0806"/>
              </a:solidFill>
              <a:latin typeface="AcidSans-Regular"/>
              <a:ea typeface="AcidSans-Regular"/>
              <a:cs typeface="AcidSans-Regular"/>
            </a:rPr>
            <a:t>BOX OFFICE &amp; ADMISSION REPORT</a:t>
          </a:r>
        </a:p>
      </xdr:txBody>
    </xdr:sp>
    <xdr:clientData/>
  </xdr:twoCellAnchor>
  <xdr:twoCellAnchor>
    <xdr:from>
      <xdr:col>1</xdr:col>
      <xdr:colOff>1514475</xdr:colOff>
      <xdr:row>0</xdr:row>
      <xdr:rowOff>600075</xdr:rowOff>
    </xdr:from>
    <xdr:to>
      <xdr:col>9</xdr:col>
      <xdr:colOff>0</xdr:colOff>
      <xdr:row>0</xdr:row>
      <xdr:rowOff>904875</xdr:rowOff>
    </xdr:to>
    <xdr:sp fLocksText="0">
      <xdr:nvSpPr>
        <xdr:cNvPr id="2" name="Text Box 2"/>
        <xdr:cNvSpPr txBox="1">
          <a:spLocks noChangeArrowheads="1"/>
        </xdr:cNvSpPr>
      </xdr:nvSpPr>
      <xdr:spPr>
        <a:xfrm>
          <a:off x="1809750" y="600075"/>
          <a:ext cx="7229475" cy="304800"/>
        </a:xfrm>
        <a:prstGeom prst="rect">
          <a:avLst/>
        </a:prstGeom>
        <a:solidFill>
          <a:srgbClr val="FFCC99"/>
        </a:solidFill>
        <a:ln w="9525" cmpd="sng">
          <a:noFill/>
        </a:ln>
      </xdr:spPr>
      <xdr:txBody>
        <a:bodyPr vertOverflow="clip" wrap="square" lIns="0" tIns="27432" rIns="36576" bIns="0"/>
        <a:p>
          <a:pPr algn="r">
            <a:defRPr/>
          </a:pPr>
          <a:r>
            <a:rPr lang="en-US" cap="none" sz="2000" b="0" i="0" u="none" baseline="0">
              <a:solidFill>
                <a:srgbClr val="000000"/>
              </a:solidFill>
              <a:latin typeface="Administer"/>
              <a:ea typeface="Administer"/>
              <a:cs typeface="Administer"/>
            </a:rPr>
            <a:t>annuel, all weeks </a:t>
          </a:r>
          <a:r>
            <a:rPr lang="en-US" cap="none" sz="1600" b="0" i="0" u="none" baseline="0">
              <a:solidFill>
                <a:srgbClr val="000000"/>
              </a:solidFill>
              <a:latin typeface="Administer"/>
              <a:ea typeface="Administer"/>
              <a:cs typeface="Administer"/>
            </a:rPr>
            <a:t>/</a:t>
          </a:r>
          <a:r>
            <a:rPr lang="en-US" cap="none" sz="2000" b="0" i="0" u="none" baseline="0">
              <a:solidFill>
                <a:srgbClr val="000000"/>
              </a:solidFill>
              <a:latin typeface="Administer"/>
              <a:ea typeface="Administer"/>
              <a:cs typeface="Administer"/>
            </a:rPr>
            <a:t> 01 January - 23 December 2010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14</xdr:col>
      <xdr:colOff>0</xdr:colOff>
      <xdr:row>0</xdr:row>
      <xdr:rowOff>581025</xdr:rowOff>
    </xdr:to>
    <xdr:sp>
      <xdr:nvSpPr>
        <xdr:cNvPr id="1" name="Text Box 1"/>
        <xdr:cNvSpPr txBox="1">
          <a:spLocks noChangeArrowheads="1"/>
        </xdr:cNvSpPr>
      </xdr:nvSpPr>
      <xdr:spPr>
        <a:xfrm>
          <a:off x="38100" y="66675"/>
          <a:ext cx="10772775" cy="514350"/>
        </a:xfrm>
        <a:prstGeom prst="rect">
          <a:avLst/>
        </a:prstGeom>
        <a:solidFill>
          <a:srgbClr val="FFCC99"/>
        </a:solidFill>
        <a:ln w="38100" cmpd="dbl">
          <a:noFill/>
        </a:ln>
      </xdr:spPr>
      <xdr:txBody>
        <a:bodyPr vertOverflow="clip" wrap="square" lIns="73152" tIns="73152" rIns="73152" bIns="73152"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2000" b="0" i="0" u="none" baseline="0">
              <a:solidFill>
                <a:srgbClr val="DD0806"/>
              </a:solidFill>
              <a:latin typeface="AcidSans-Regular"/>
              <a:ea typeface="AcidSans-Regular"/>
              <a:cs typeface="AcidSans-Regular"/>
            </a:rPr>
            <a:t>BOX OFFICE &amp; ADMISSION REPORT</a:t>
          </a:r>
        </a:p>
      </xdr:txBody>
    </xdr:sp>
    <xdr:clientData/>
  </xdr:twoCellAnchor>
  <xdr:twoCellAnchor>
    <xdr:from>
      <xdr:col>1</xdr:col>
      <xdr:colOff>1514475</xdr:colOff>
      <xdr:row>0</xdr:row>
      <xdr:rowOff>600075</xdr:rowOff>
    </xdr:from>
    <xdr:to>
      <xdr:col>14</xdr:col>
      <xdr:colOff>0</xdr:colOff>
      <xdr:row>0</xdr:row>
      <xdr:rowOff>904875</xdr:rowOff>
    </xdr:to>
    <xdr:sp fLocksText="0">
      <xdr:nvSpPr>
        <xdr:cNvPr id="2" name="Text Box 2"/>
        <xdr:cNvSpPr txBox="1">
          <a:spLocks noChangeArrowheads="1"/>
        </xdr:cNvSpPr>
      </xdr:nvSpPr>
      <xdr:spPr>
        <a:xfrm>
          <a:off x="1762125" y="600075"/>
          <a:ext cx="9048750" cy="304800"/>
        </a:xfrm>
        <a:prstGeom prst="rect">
          <a:avLst/>
        </a:prstGeom>
        <a:solidFill>
          <a:srgbClr val="FFCC99"/>
        </a:solidFill>
        <a:ln w="9525" cmpd="sng">
          <a:noFill/>
        </a:ln>
      </xdr:spPr>
      <xdr:txBody>
        <a:bodyPr vertOverflow="clip" wrap="square" lIns="0" tIns="27432" rIns="36576" bIns="0"/>
        <a:p>
          <a:pPr algn="r">
            <a:defRPr/>
          </a:pPr>
          <a:r>
            <a:rPr lang="en-US" cap="none" sz="2000" b="0" i="0" u="none" baseline="0">
              <a:solidFill>
                <a:srgbClr val="000000"/>
              </a:solidFill>
              <a:latin typeface="Administer"/>
              <a:ea typeface="Administer"/>
              <a:cs typeface="Administer"/>
            </a:rPr>
            <a:t>ex years releases, annuel, all weeks </a:t>
          </a:r>
          <a:r>
            <a:rPr lang="en-US" cap="none" sz="1600" b="0" i="0" u="none" baseline="0">
              <a:solidFill>
                <a:srgbClr val="000000"/>
              </a:solidFill>
              <a:latin typeface="Administer"/>
              <a:ea typeface="Administer"/>
              <a:cs typeface="Administer"/>
            </a:rPr>
            <a:t>/</a:t>
          </a:r>
          <a:r>
            <a:rPr lang="en-US" cap="none" sz="2000" b="0" i="0" u="none" baseline="0">
              <a:solidFill>
                <a:srgbClr val="000000"/>
              </a:solidFill>
              <a:latin typeface="Administer"/>
              <a:ea typeface="Administer"/>
              <a:cs typeface="Administer"/>
            </a:rPr>
            <a:t> 01 January - 23 December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IV105"/>
  <sheetViews>
    <sheetView showGridLines="0" tabSelected="1" zoomScalePageLayoutView="0" workbookViewId="0" topLeftCell="A1">
      <selection activeCell="A12" sqref="A12:IV12"/>
    </sheetView>
  </sheetViews>
  <sheetFormatPr defaultColWidth="9.140625" defaultRowHeight="12.75"/>
  <cols>
    <col min="1" max="1" width="3.140625" style="93" bestFit="1" customWidth="1"/>
    <col min="2" max="2" width="59.7109375" style="56" bestFit="1" customWidth="1"/>
    <col min="3" max="3" width="8.7109375" style="57" bestFit="1" customWidth="1"/>
    <col min="4" max="4" width="22.00390625" style="58" bestFit="1" customWidth="1"/>
    <col min="5" max="5" width="7.28125" style="36" customWidth="1"/>
    <col min="6" max="6" width="7.57421875" style="36" customWidth="1"/>
    <col min="7" max="7" width="8.7109375" style="36" customWidth="1"/>
    <col min="8" max="8" width="13.57421875" style="53" bestFit="1" customWidth="1"/>
    <col min="9" max="9" width="8.57421875" style="54" bestFit="1" customWidth="1"/>
    <col min="10" max="10" width="7.28125" style="39" customWidth="1"/>
    <col min="11" max="11" width="7.00390625" style="40" customWidth="1"/>
    <col min="12" max="12" width="13.28125" style="55" bestFit="1" customWidth="1"/>
    <col min="13" max="13" width="9.421875" style="42" bestFit="1" customWidth="1"/>
    <col min="14" max="14" width="7.140625" style="71" customWidth="1"/>
    <col min="15" max="15" width="2.421875" style="76" customWidth="1"/>
    <col min="16" max="16" width="9.140625" style="76" customWidth="1"/>
    <col min="17" max="16384" width="9.140625" style="3" customWidth="1"/>
  </cols>
  <sheetData>
    <row r="1" spans="1:16" s="1" customFormat="1" ht="72" customHeight="1">
      <c r="A1" s="92"/>
      <c r="B1" s="59"/>
      <c r="C1" s="60"/>
      <c r="D1" s="61"/>
      <c r="E1" s="62"/>
      <c r="F1" s="62"/>
      <c r="G1" s="62"/>
      <c r="H1" s="63"/>
      <c r="I1" s="64"/>
      <c r="J1" s="65"/>
      <c r="K1" s="66"/>
      <c r="L1" s="67"/>
      <c r="M1" s="68"/>
      <c r="N1" s="69"/>
      <c r="O1" s="73"/>
      <c r="P1" s="73"/>
    </row>
    <row r="2" spans="1:16" s="5" customFormat="1" ht="22.5" customHeight="1" thickBot="1">
      <c r="A2" s="634" t="s">
        <v>53</v>
      </c>
      <c r="B2" s="635"/>
      <c r="C2" s="635"/>
      <c r="D2" s="635"/>
      <c r="E2" s="635"/>
      <c r="F2" s="635"/>
      <c r="G2" s="635"/>
      <c r="H2" s="635"/>
      <c r="I2" s="635"/>
      <c r="J2" s="635"/>
      <c r="K2" s="635"/>
      <c r="L2" s="635"/>
      <c r="M2" s="635"/>
      <c r="N2" s="636"/>
      <c r="O2" s="74"/>
      <c r="P2" s="74"/>
    </row>
    <row r="3" spans="1:16" s="249" customFormat="1" ht="12.75">
      <c r="A3" s="247"/>
      <c r="B3" s="642" t="s">
        <v>168</v>
      </c>
      <c r="C3" s="646" t="s">
        <v>126</v>
      </c>
      <c r="D3" s="644" t="s">
        <v>246</v>
      </c>
      <c r="E3" s="640" t="s">
        <v>127</v>
      </c>
      <c r="F3" s="640" t="s">
        <v>134</v>
      </c>
      <c r="G3" s="640" t="s">
        <v>245</v>
      </c>
      <c r="H3" s="645" t="s">
        <v>128</v>
      </c>
      <c r="I3" s="645"/>
      <c r="J3" s="645"/>
      <c r="K3" s="645"/>
      <c r="L3" s="637" t="s">
        <v>129</v>
      </c>
      <c r="M3" s="638"/>
      <c r="N3" s="639"/>
      <c r="O3" s="248"/>
      <c r="P3" s="248"/>
    </row>
    <row r="4" spans="1:16" s="249" customFormat="1" ht="39" thickBot="1">
      <c r="A4" s="250"/>
      <c r="B4" s="643"/>
      <c r="C4" s="641"/>
      <c r="D4" s="641"/>
      <c r="E4" s="641"/>
      <c r="F4" s="641"/>
      <c r="G4" s="641"/>
      <c r="H4" s="251" t="s">
        <v>130</v>
      </c>
      <c r="I4" s="252" t="s">
        <v>131</v>
      </c>
      <c r="J4" s="252" t="s">
        <v>120</v>
      </c>
      <c r="K4" s="253" t="s">
        <v>132</v>
      </c>
      <c r="L4" s="251" t="s">
        <v>130</v>
      </c>
      <c r="M4" s="252" t="s">
        <v>131</v>
      </c>
      <c r="N4" s="254" t="s">
        <v>133</v>
      </c>
      <c r="O4" s="248"/>
      <c r="P4" s="248"/>
    </row>
    <row r="5" spans="1:16" s="2" customFormat="1" ht="15">
      <c r="A5" s="255">
        <v>1</v>
      </c>
      <c r="B5" s="566" t="s">
        <v>468</v>
      </c>
      <c r="C5" s="414">
        <v>40515</v>
      </c>
      <c r="D5" s="510" t="s">
        <v>325</v>
      </c>
      <c r="E5" s="415">
        <v>337</v>
      </c>
      <c r="F5" s="415">
        <v>467</v>
      </c>
      <c r="G5" s="415">
        <v>3</v>
      </c>
      <c r="H5" s="418">
        <v>3373877</v>
      </c>
      <c r="I5" s="419">
        <v>359904</v>
      </c>
      <c r="J5" s="416">
        <f>I5/F5</f>
        <v>770.6723768736616</v>
      </c>
      <c r="K5" s="417">
        <f>H5/I5</f>
        <v>9.374380390326309</v>
      </c>
      <c r="L5" s="418">
        <v>14897976</v>
      </c>
      <c r="M5" s="419">
        <v>1574312</v>
      </c>
      <c r="N5" s="420">
        <f>+L5/M5</f>
        <v>9.463166132253328</v>
      </c>
      <c r="O5" s="108">
        <v>1</v>
      </c>
      <c r="P5" s="561"/>
    </row>
    <row r="6" spans="1:16" s="2" customFormat="1" ht="15">
      <c r="A6" s="255">
        <v>2</v>
      </c>
      <c r="B6" s="421" t="s">
        <v>469</v>
      </c>
      <c r="C6" s="368">
        <v>40522</v>
      </c>
      <c r="D6" s="459" t="s">
        <v>339</v>
      </c>
      <c r="E6" s="377">
        <v>110</v>
      </c>
      <c r="F6" s="377">
        <v>110</v>
      </c>
      <c r="G6" s="377">
        <v>2</v>
      </c>
      <c r="H6" s="382">
        <v>1253623</v>
      </c>
      <c r="I6" s="383">
        <v>119198</v>
      </c>
      <c r="J6" s="380">
        <f>+I6/F6</f>
        <v>1083.6181818181817</v>
      </c>
      <c r="K6" s="381">
        <f>+H6/I6</f>
        <v>10.517147938723804</v>
      </c>
      <c r="L6" s="382">
        <v>3073257</v>
      </c>
      <c r="M6" s="383">
        <v>287665</v>
      </c>
      <c r="N6" s="422">
        <f>+L6/M6</f>
        <v>10.683458189213146</v>
      </c>
      <c r="O6" s="108"/>
      <c r="P6" s="561"/>
    </row>
    <row r="7" spans="1:16" s="2" customFormat="1" ht="15">
      <c r="A7" s="256">
        <v>3</v>
      </c>
      <c r="B7" s="569" t="s">
        <v>470</v>
      </c>
      <c r="C7" s="533">
        <v>40522</v>
      </c>
      <c r="D7" s="570" t="s">
        <v>326</v>
      </c>
      <c r="E7" s="571">
        <v>127</v>
      </c>
      <c r="F7" s="571">
        <v>158</v>
      </c>
      <c r="G7" s="571">
        <v>2</v>
      </c>
      <c r="H7" s="572">
        <v>809166.5</v>
      </c>
      <c r="I7" s="573">
        <v>73795</v>
      </c>
      <c r="J7" s="574">
        <f>(I7/F7)</f>
        <v>467.05696202531647</v>
      </c>
      <c r="K7" s="575">
        <f>H7/I7</f>
        <v>10.965058608306796</v>
      </c>
      <c r="L7" s="572">
        <f>1048675+809166.5</f>
        <v>1857841.5</v>
      </c>
      <c r="M7" s="573">
        <f>92481+73795</f>
        <v>166276</v>
      </c>
      <c r="N7" s="576">
        <f>L7/M7</f>
        <v>11.173239072385671</v>
      </c>
      <c r="O7" s="108"/>
      <c r="P7" s="561"/>
    </row>
    <row r="8" spans="1:16" s="2" customFormat="1" ht="15">
      <c r="A8" s="257">
        <v>4</v>
      </c>
      <c r="B8" s="568" t="s">
        <v>459</v>
      </c>
      <c r="C8" s="512">
        <v>40529</v>
      </c>
      <c r="D8" s="513" t="s">
        <v>326</v>
      </c>
      <c r="E8" s="514">
        <v>147</v>
      </c>
      <c r="F8" s="514">
        <v>147</v>
      </c>
      <c r="G8" s="514">
        <v>1</v>
      </c>
      <c r="H8" s="517">
        <v>691567.5</v>
      </c>
      <c r="I8" s="518">
        <v>79327</v>
      </c>
      <c r="J8" s="515">
        <f>(I8/F8)</f>
        <v>539.6394557823129</v>
      </c>
      <c r="K8" s="516">
        <f>H8/I8</f>
        <v>8.717933364428253</v>
      </c>
      <c r="L8" s="517">
        <f>691567.5</f>
        <v>691567.5</v>
      </c>
      <c r="M8" s="518">
        <f>79327</f>
        <v>79327</v>
      </c>
      <c r="N8" s="519">
        <f>L8/M8</f>
        <v>8.717933364428253</v>
      </c>
      <c r="O8" s="108">
        <v>1</v>
      </c>
      <c r="P8" s="561">
        <v>1</v>
      </c>
    </row>
    <row r="9" spans="1:16" s="4" customFormat="1" ht="15">
      <c r="A9" s="255">
        <v>5</v>
      </c>
      <c r="B9" s="421" t="s">
        <v>450</v>
      </c>
      <c r="C9" s="368">
        <v>40487</v>
      </c>
      <c r="D9" s="459" t="s">
        <v>339</v>
      </c>
      <c r="E9" s="377">
        <v>383</v>
      </c>
      <c r="F9" s="377">
        <v>186</v>
      </c>
      <c r="G9" s="377">
        <v>7</v>
      </c>
      <c r="H9" s="382">
        <v>501910</v>
      </c>
      <c r="I9" s="383">
        <v>58600</v>
      </c>
      <c r="J9" s="380">
        <f>+I9/F9</f>
        <v>315.0537634408602</v>
      </c>
      <c r="K9" s="381">
        <f>+H9/I9</f>
        <v>8.565017064846417</v>
      </c>
      <c r="L9" s="382">
        <v>31243829</v>
      </c>
      <c r="M9" s="383">
        <v>3424310</v>
      </c>
      <c r="N9" s="422">
        <f>+L9/M9</f>
        <v>9.124123984101907</v>
      </c>
      <c r="O9" s="108">
        <v>1</v>
      </c>
      <c r="P9" s="561"/>
    </row>
    <row r="10" spans="1:16" s="4" customFormat="1" ht="15">
      <c r="A10" s="255">
        <v>6</v>
      </c>
      <c r="B10" s="547" t="s">
        <v>460</v>
      </c>
      <c r="C10" s="368">
        <v>40529</v>
      </c>
      <c r="D10" s="453" t="s">
        <v>325</v>
      </c>
      <c r="E10" s="369">
        <v>72</v>
      </c>
      <c r="F10" s="369">
        <v>72</v>
      </c>
      <c r="G10" s="369">
        <v>1</v>
      </c>
      <c r="H10" s="374">
        <v>460354</v>
      </c>
      <c r="I10" s="375">
        <v>41857</v>
      </c>
      <c r="J10" s="372">
        <f>I10/F10</f>
        <v>581.3472222222222</v>
      </c>
      <c r="K10" s="373">
        <f>H10/I10</f>
        <v>10.998255966743914</v>
      </c>
      <c r="L10" s="374">
        <v>460354</v>
      </c>
      <c r="M10" s="375">
        <v>41857</v>
      </c>
      <c r="N10" s="423">
        <f>+L10/M10</f>
        <v>10.998255966743914</v>
      </c>
      <c r="O10" s="108"/>
      <c r="P10" s="561">
        <v>1</v>
      </c>
    </row>
    <row r="11" spans="1:16" s="4" customFormat="1" ht="15">
      <c r="A11" s="255">
        <v>7</v>
      </c>
      <c r="B11" s="547" t="s">
        <v>461</v>
      </c>
      <c r="C11" s="368">
        <v>40529</v>
      </c>
      <c r="D11" s="453" t="s">
        <v>449</v>
      </c>
      <c r="E11" s="369">
        <v>134</v>
      </c>
      <c r="F11" s="369">
        <v>154</v>
      </c>
      <c r="G11" s="369">
        <v>1</v>
      </c>
      <c r="H11" s="404">
        <v>244174</v>
      </c>
      <c r="I11" s="538">
        <v>29518</v>
      </c>
      <c r="J11" s="380">
        <f>IF(H11&lt;&gt;0,I11/F11,"")</f>
        <v>191.67532467532467</v>
      </c>
      <c r="K11" s="381">
        <f>IF(H11&lt;&gt;0,H11/I11,"")</f>
        <v>8.272037400907921</v>
      </c>
      <c r="L11" s="404">
        <v>244174</v>
      </c>
      <c r="M11" s="394">
        <v>29518</v>
      </c>
      <c r="N11" s="422">
        <f>IF(L11&lt;&gt;0,L11/M11,"")</f>
        <v>8.272037400907921</v>
      </c>
      <c r="O11" s="108">
        <v>1</v>
      </c>
      <c r="P11" s="561">
        <v>1</v>
      </c>
    </row>
    <row r="12" spans="1:16" s="4" customFormat="1" ht="15">
      <c r="A12" s="257">
        <v>8</v>
      </c>
      <c r="B12" s="421" t="s">
        <v>462</v>
      </c>
      <c r="C12" s="368">
        <v>40529</v>
      </c>
      <c r="D12" s="476" t="s">
        <v>327</v>
      </c>
      <c r="E12" s="377">
        <v>81</v>
      </c>
      <c r="F12" s="377">
        <v>81</v>
      </c>
      <c r="G12" s="377">
        <v>1</v>
      </c>
      <c r="H12" s="400">
        <v>225881.5</v>
      </c>
      <c r="I12" s="401">
        <v>26556</v>
      </c>
      <c r="J12" s="477">
        <f>I12/F12</f>
        <v>327.85185185185185</v>
      </c>
      <c r="K12" s="478">
        <f>H12/I12</f>
        <v>8.505855550534719</v>
      </c>
      <c r="L12" s="400">
        <v>225881.5</v>
      </c>
      <c r="M12" s="401">
        <v>26556</v>
      </c>
      <c r="N12" s="466">
        <f>+L12/M12</f>
        <v>8.505855550534719</v>
      </c>
      <c r="O12" s="108">
        <v>1</v>
      </c>
      <c r="P12" s="561">
        <v>1</v>
      </c>
    </row>
    <row r="13" spans="1:16" s="4" customFormat="1" ht="15">
      <c r="A13" s="255">
        <v>9</v>
      </c>
      <c r="B13" s="548" t="s">
        <v>456</v>
      </c>
      <c r="C13" s="384">
        <v>40515</v>
      </c>
      <c r="D13" s="454" t="s">
        <v>326</v>
      </c>
      <c r="E13" s="385">
        <v>62</v>
      </c>
      <c r="F13" s="385">
        <v>62</v>
      </c>
      <c r="G13" s="385">
        <v>3</v>
      </c>
      <c r="H13" s="390">
        <v>132731.5</v>
      </c>
      <c r="I13" s="391">
        <v>14525</v>
      </c>
      <c r="J13" s="388">
        <f>(I13/F13)</f>
        <v>234.2741935483871</v>
      </c>
      <c r="K13" s="389">
        <f>H13/I13</f>
        <v>9.138141135972461</v>
      </c>
      <c r="L13" s="390">
        <f>353151+191248+132731.5</f>
        <v>677130.5</v>
      </c>
      <c r="M13" s="391">
        <f>34650+19352+14525</f>
        <v>68527</v>
      </c>
      <c r="N13" s="424">
        <f>L13/M13</f>
        <v>9.881222000087556</v>
      </c>
      <c r="O13" s="108"/>
      <c r="P13" s="561"/>
    </row>
    <row r="14" spans="1:16" s="4" customFormat="1" ht="15">
      <c r="A14" s="255">
        <v>10</v>
      </c>
      <c r="B14" s="547" t="s">
        <v>451</v>
      </c>
      <c r="C14" s="368">
        <v>40499</v>
      </c>
      <c r="D14" s="453" t="s">
        <v>325</v>
      </c>
      <c r="E14" s="369">
        <v>216</v>
      </c>
      <c r="F14" s="369">
        <v>84</v>
      </c>
      <c r="G14" s="369">
        <v>5</v>
      </c>
      <c r="H14" s="374">
        <v>110879</v>
      </c>
      <c r="I14" s="375">
        <v>15559</v>
      </c>
      <c r="J14" s="372">
        <f>I14/F14</f>
        <v>185.22619047619048</v>
      </c>
      <c r="K14" s="373">
        <f>H14/I14</f>
        <v>7.126357735072948</v>
      </c>
      <c r="L14" s="374">
        <v>7446891</v>
      </c>
      <c r="M14" s="375">
        <v>779398</v>
      </c>
      <c r="N14" s="423">
        <f>+L14/M14</f>
        <v>9.554670399462148</v>
      </c>
      <c r="O14" s="108"/>
      <c r="P14" s="561"/>
    </row>
    <row r="15" spans="1:16" s="4" customFormat="1" ht="15">
      <c r="A15" s="255">
        <v>11</v>
      </c>
      <c r="B15" s="549" t="s">
        <v>471</v>
      </c>
      <c r="C15" s="384">
        <v>40515</v>
      </c>
      <c r="D15" s="452" t="s">
        <v>324</v>
      </c>
      <c r="E15" s="385">
        <v>122</v>
      </c>
      <c r="F15" s="385">
        <v>87</v>
      </c>
      <c r="G15" s="385">
        <v>3</v>
      </c>
      <c r="H15" s="396">
        <v>75847</v>
      </c>
      <c r="I15" s="394">
        <v>9934</v>
      </c>
      <c r="J15" s="394">
        <f>I15/F15</f>
        <v>114.183908045977</v>
      </c>
      <c r="K15" s="395">
        <f>+H15/I15</f>
        <v>7.635091604590296</v>
      </c>
      <c r="L15" s="396">
        <v>593143</v>
      </c>
      <c r="M15" s="397">
        <v>69420</v>
      </c>
      <c r="N15" s="425">
        <f>+L15/M15</f>
        <v>8.54426678190723</v>
      </c>
      <c r="O15" s="108">
        <v>1</v>
      </c>
      <c r="P15" s="561"/>
    </row>
    <row r="16" spans="1:16" s="4" customFormat="1" ht="15">
      <c r="A16" s="257">
        <v>12</v>
      </c>
      <c r="B16" s="548" t="s">
        <v>463</v>
      </c>
      <c r="C16" s="384">
        <v>40529</v>
      </c>
      <c r="D16" s="454" t="s">
        <v>326</v>
      </c>
      <c r="E16" s="385">
        <v>27</v>
      </c>
      <c r="F16" s="385">
        <v>27</v>
      </c>
      <c r="G16" s="385">
        <v>1</v>
      </c>
      <c r="H16" s="390">
        <v>68045</v>
      </c>
      <c r="I16" s="391">
        <v>5442</v>
      </c>
      <c r="J16" s="388">
        <f>(I16/F16)</f>
        <v>201.55555555555554</v>
      </c>
      <c r="K16" s="389">
        <f aca="true" t="shared" si="0" ref="K16:K21">H16/I16</f>
        <v>12.503675119441382</v>
      </c>
      <c r="L16" s="390">
        <f>68045</f>
        <v>68045</v>
      </c>
      <c r="M16" s="391">
        <f>5442</f>
        <v>5442</v>
      </c>
      <c r="N16" s="424">
        <f>L16/M16</f>
        <v>12.503675119441382</v>
      </c>
      <c r="O16" s="108"/>
      <c r="P16" s="561">
        <v>1</v>
      </c>
    </row>
    <row r="17" spans="1:16" s="4" customFormat="1" ht="15">
      <c r="A17" s="255">
        <v>13</v>
      </c>
      <c r="B17" s="547" t="s">
        <v>17</v>
      </c>
      <c r="C17" s="368">
        <v>40494</v>
      </c>
      <c r="D17" s="453" t="s">
        <v>325</v>
      </c>
      <c r="E17" s="369">
        <v>144</v>
      </c>
      <c r="F17" s="369">
        <v>39</v>
      </c>
      <c r="G17" s="369">
        <v>6</v>
      </c>
      <c r="H17" s="374">
        <v>47625</v>
      </c>
      <c r="I17" s="375">
        <v>6718</v>
      </c>
      <c r="J17" s="372">
        <f>I17/F17</f>
        <v>172.25641025641025</v>
      </c>
      <c r="K17" s="373">
        <f t="shared" si="0"/>
        <v>7.089163441500447</v>
      </c>
      <c r="L17" s="374">
        <v>6027765</v>
      </c>
      <c r="M17" s="375">
        <v>517439</v>
      </c>
      <c r="N17" s="423">
        <f>+L17/M17</f>
        <v>11.649228218205431</v>
      </c>
      <c r="O17" s="108"/>
      <c r="P17" s="561"/>
    </row>
    <row r="18" spans="1:16" s="4" customFormat="1" ht="15">
      <c r="A18" s="255">
        <v>14</v>
      </c>
      <c r="B18" s="548" t="s">
        <v>3</v>
      </c>
      <c r="C18" s="384">
        <v>40508</v>
      </c>
      <c r="D18" s="454" t="s">
        <v>326</v>
      </c>
      <c r="E18" s="385">
        <v>34</v>
      </c>
      <c r="F18" s="385">
        <v>32</v>
      </c>
      <c r="G18" s="385">
        <v>4</v>
      </c>
      <c r="H18" s="390">
        <v>25637</v>
      </c>
      <c r="I18" s="391">
        <v>3877</v>
      </c>
      <c r="J18" s="388">
        <f>(I18/F18)</f>
        <v>121.15625</v>
      </c>
      <c r="K18" s="389">
        <f t="shared" si="0"/>
        <v>6.612587051844209</v>
      </c>
      <c r="L18" s="390">
        <f>122173+87330+23120+25637</f>
        <v>258260</v>
      </c>
      <c r="M18" s="391">
        <f>10588+8153+2702+3877</f>
        <v>25320</v>
      </c>
      <c r="N18" s="424">
        <f>L18/M18</f>
        <v>10.199842022116904</v>
      </c>
      <c r="O18" s="108"/>
      <c r="P18" s="561"/>
    </row>
    <row r="19" spans="1:16" s="4" customFormat="1" ht="15">
      <c r="A19" s="255">
        <v>15</v>
      </c>
      <c r="B19" s="547" t="s">
        <v>2</v>
      </c>
      <c r="C19" s="368">
        <v>40508</v>
      </c>
      <c r="D19" s="453" t="s">
        <v>325</v>
      </c>
      <c r="E19" s="369">
        <v>72</v>
      </c>
      <c r="F19" s="369">
        <v>13</v>
      </c>
      <c r="G19" s="369">
        <v>4</v>
      </c>
      <c r="H19" s="374">
        <v>24110</v>
      </c>
      <c r="I19" s="375">
        <v>2131</v>
      </c>
      <c r="J19" s="372">
        <f>I19/F19</f>
        <v>163.92307692307693</v>
      </c>
      <c r="K19" s="373">
        <f t="shared" si="0"/>
        <v>11.313937118723604</v>
      </c>
      <c r="L19" s="374">
        <v>1184382</v>
      </c>
      <c r="M19" s="375">
        <v>101908</v>
      </c>
      <c r="N19" s="423">
        <f>+L19/M19</f>
        <v>11.622070887467126</v>
      </c>
      <c r="O19" s="108"/>
      <c r="P19" s="561"/>
    </row>
    <row r="20" spans="1:16" s="4" customFormat="1" ht="15">
      <c r="A20" s="257">
        <v>16</v>
      </c>
      <c r="B20" s="421" t="s">
        <v>453</v>
      </c>
      <c r="C20" s="368">
        <v>40501</v>
      </c>
      <c r="D20" s="476" t="s">
        <v>327</v>
      </c>
      <c r="E20" s="377">
        <v>121</v>
      </c>
      <c r="F20" s="377">
        <v>19</v>
      </c>
      <c r="G20" s="377">
        <v>5</v>
      </c>
      <c r="H20" s="400">
        <v>17982</v>
      </c>
      <c r="I20" s="401">
        <v>2406</v>
      </c>
      <c r="J20" s="477">
        <f>I20/F20</f>
        <v>126.63157894736842</v>
      </c>
      <c r="K20" s="478">
        <f t="shared" si="0"/>
        <v>7.473815461346633</v>
      </c>
      <c r="L20" s="400">
        <v>1554379</v>
      </c>
      <c r="M20" s="401">
        <v>153060</v>
      </c>
      <c r="N20" s="466">
        <f>+L20/M20</f>
        <v>10.155357376192343</v>
      </c>
      <c r="O20" s="108">
        <v>1</v>
      </c>
      <c r="P20" s="561"/>
    </row>
    <row r="21" spans="1:16" s="4" customFormat="1" ht="15">
      <c r="A21" s="255">
        <v>17</v>
      </c>
      <c r="B21" s="548" t="s">
        <v>317</v>
      </c>
      <c r="C21" s="384">
        <v>40480</v>
      </c>
      <c r="D21" s="454" t="s">
        <v>326</v>
      </c>
      <c r="E21" s="385">
        <v>100</v>
      </c>
      <c r="F21" s="385">
        <v>37</v>
      </c>
      <c r="G21" s="385">
        <v>8</v>
      </c>
      <c r="H21" s="390">
        <v>16968</v>
      </c>
      <c r="I21" s="391">
        <v>2661</v>
      </c>
      <c r="J21" s="388">
        <f>(I21/F21)</f>
        <v>71.91891891891892</v>
      </c>
      <c r="K21" s="389">
        <f t="shared" si="0"/>
        <v>6.376550169109358</v>
      </c>
      <c r="L21" s="390">
        <f>1221166+429124.5+378100+240009.5+108018.5+26890.5+15319+16968</f>
        <v>2435596</v>
      </c>
      <c r="M21" s="391">
        <f>114702+40612+35598+23284+12543+4168+3055+2661</f>
        <v>236623</v>
      </c>
      <c r="N21" s="424">
        <f>L21/M21</f>
        <v>10.293149862862021</v>
      </c>
      <c r="O21" s="108"/>
      <c r="P21" s="561"/>
    </row>
    <row r="22" spans="1:16" s="4" customFormat="1" ht="15">
      <c r="A22" s="255">
        <v>18</v>
      </c>
      <c r="B22" s="421" t="s">
        <v>464</v>
      </c>
      <c r="C22" s="368">
        <v>40529</v>
      </c>
      <c r="D22" s="459" t="s">
        <v>339</v>
      </c>
      <c r="E22" s="377">
        <v>32</v>
      </c>
      <c r="F22" s="377">
        <v>32</v>
      </c>
      <c r="G22" s="377">
        <v>1</v>
      </c>
      <c r="H22" s="382">
        <v>15552</v>
      </c>
      <c r="I22" s="383">
        <v>1361</v>
      </c>
      <c r="J22" s="380">
        <f>+I22/F22</f>
        <v>42.53125</v>
      </c>
      <c r="K22" s="381">
        <f>+H22/I22</f>
        <v>11.426891991182954</v>
      </c>
      <c r="L22" s="382">
        <v>15552</v>
      </c>
      <c r="M22" s="383">
        <v>1361</v>
      </c>
      <c r="N22" s="422">
        <f>+L22/M22</f>
        <v>11.426891991182954</v>
      </c>
      <c r="O22" s="108">
        <v>1</v>
      </c>
      <c r="P22" s="561">
        <v>1</v>
      </c>
    </row>
    <row r="23" spans="1:16" s="4" customFormat="1" ht="15">
      <c r="A23" s="255">
        <v>19</v>
      </c>
      <c r="B23" s="547" t="s">
        <v>472</v>
      </c>
      <c r="C23" s="368">
        <v>40480</v>
      </c>
      <c r="D23" s="453" t="s">
        <v>449</v>
      </c>
      <c r="E23" s="369">
        <v>71</v>
      </c>
      <c r="F23" s="369">
        <v>14</v>
      </c>
      <c r="G23" s="369">
        <v>8</v>
      </c>
      <c r="H23" s="404">
        <v>11563</v>
      </c>
      <c r="I23" s="538">
        <v>2290</v>
      </c>
      <c r="J23" s="380">
        <f>IF(H23&lt;&gt;0,I23/F23,"")</f>
        <v>163.57142857142858</v>
      </c>
      <c r="K23" s="381">
        <f>IF(H23&lt;&gt;0,H23/I23,"")</f>
        <v>5.049344978165939</v>
      </c>
      <c r="L23" s="404">
        <f>72774.5+23673+5827+3625+7534.5+38620+936+11563</f>
        <v>164553</v>
      </c>
      <c r="M23" s="394">
        <f>8533+3652+916+601+1795+7393+145+2290</f>
        <v>25325</v>
      </c>
      <c r="N23" s="422">
        <f>IF(L23&lt;&gt;0,L23/M23,"")</f>
        <v>6.4976505429417575</v>
      </c>
      <c r="O23" s="108">
        <v>1</v>
      </c>
      <c r="P23" s="561"/>
    </row>
    <row r="24" spans="1:16" s="4" customFormat="1" ht="15">
      <c r="A24" s="257">
        <v>20</v>
      </c>
      <c r="B24" s="549" t="s">
        <v>465</v>
      </c>
      <c r="C24" s="405">
        <v>40529</v>
      </c>
      <c r="D24" s="540" t="s">
        <v>466</v>
      </c>
      <c r="E24" s="406">
        <v>5</v>
      </c>
      <c r="F24" s="406">
        <v>5</v>
      </c>
      <c r="G24" s="406">
        <v>1</v>
      </c>
      <c r="H24" s="409">
        <v>10175</v>
      </c>
      <c r="I24" s="397">
        <v>888</v>
      </c>
      <c r="J24" s="402">
        <f>I24/F24</f>
        <v>177.6</v>
      </c>
      <c r="K24" s="567">
        <f>H24/I24</f>
        <v>11.458333333333334</v>
      </c>
      <c r="L24" s="409">
        <v>10175</v>
      </c>
      <c r="M24" s="397">
        <v>888</v>
      </c>
      <c r="N24" s="511">
        <v>12.096546832749679</v>
      </c>
      <c r="O24" s="562"/>
      <c r="P24" s="561">
        <v>1</v>
      </c>
    </row>
    <row r="25" spans="1:16" s="4" customFormat="1" ht="15">
      <c r="A25" s="255">
        <v>21</v>
      </c>
      <c r="B25" s="548" t="s">
        <v>148</v>
      </c>
      <c r="C25" s="384">
        <v>40494</v>
      </c>
      <c r="D25" s="454" t="s">
        <v>326</v>
      </c>
      <c r="E25" s="385">
        <v>80</v>
      </c>
      <c r="F25" s="385">
        <v>13</v>
      </c>
      <c r="G25" s="385">
        <v>6</v>
      </c>
      <c r="H25" s="390">
        <v>10112.5</v>
      </c>
      <c r="I25" s="391">
        <v>1866</v>
      </c>
      <c r="J25" s="388">
        <f>(I25/F25)</f>
        <v>143.53846153846155</v>
      </c>
      <c r="K25" s="389">
        <f>H25/I25</f>
        <v>5.419346195069668</v>
      </c>
      <c r="L25" s="390">
        <f>400584.5+260220.5+91588.5+26738.5+6598.5+10112.5</f>
        <v>795843</v>
      </c>
      <c r="M25" s="391">
        <f>34427+24318+9929+5066+1310+1866</f>
        <v>76916</v>
      </c>
      <c r="N25" s="424">
        <f>L25/M25</f>
        <v>10.346910915804253</v>
      </c>
      <c r="O25" s="108"/>
      <c r="P25" s="561"/>
    </row>
    <row r="26" spans="1:16" s="4" customFormat="1" ht="15">
      <c r="A26" s="255">
        <v>22</v>
      </c>
      <c r="B26" s="548" t="s">
        <v>467</v>
      </c>
      <c r="C26" s="384">
        <v>40529</v>
      </c>
      <c r="D26" s="454" t="s">
        <v>337</v>
      </c>
      <c r="E26" s="385">
        <v>5</v>
      </c>
      <c r="F26" s="385">
        <v>5</v>
      </c>
      <c r="G26" s="385">
        <v>1</v>
      </c>
      <c r="H26" s="396">
        <v>9892.5</v>
      </c>
      <c r="I26" s="394">
        <v>1037</v>
      </c>
      <c r="J26" s="477">
        <f>I26/F26</f>
        <v>207.4</v>
      </c>
      <c r="K26" s="478">
        <f>H26/I26</f>
        <v>9.539537126325941</v>
      </c>
      <c r="L26" s="396">
        <f>9892.5</f>
        <v>9892.5</v>
      </c>
      <c r="M26" s="394">
        <f>1037</f>
        <v>1037</v>
      </c>
      <c r="N26" s="466">
        <f>+L26/M26</f>
        <v>9.539537126325941</v>
      </c>
      <c r="O26" s="108">
        <v>1</v>
      </c>
      <c r="P26" s="561">
        <v>1</v>
      </c>
    </row>
    <row r="27" spans="1:16" s="4" customFormat="1" ht="15">
      <c r="A27" s="255">
        <v>23</v>
      </c>
      <c r="B27" s="547" t="s">
        <v>403</v>
      </c>
      <c r="C27" s="368">
        <v>40459</v>
      </c>
      <c r="D27" s="453" t="s">
        <v>325</v>
      </c>
      <c r="E27" s="369">
        <v>55</v>
      </c>
      <c r="F27" s="369">
        <v>5</v>
      </c>
      <c r="G27" s="369">
        <v>11</v>
      </c>
      <c r="H27" s="374">
        <v>9851</v>
      </c>
      <c r="I27" s="375">
        <v>1406</v>
      </c>
      <c r="J27" s="372">
        <f>I27/F27</f>
        <v>281.2</v>
      </c>
      <c r="K27" s="373">
        <f>H27/I27</f>
        <v>7.0064011379800855</v>
      </c>
      <c r="L27" s="374">
        <v>2707909</v>
      </c>
      <c r="M27" s="375">
        <v>235462</v>
      </c>
      <c r="N27" s="423">
        <f>+L27/M27</f>
        <v>11.500407709099557</v>
      </c>
      <c r="O27" s="108"/>
      <c r="P27" s="561"/>
    </row>
    <row r="28" spans="1:16" s="4" customFormat="1" ht="15">
      <c r="A28" s="257">
        <v>24</v>
      </c>
      <c r="B28" s="548" t="s">
        <v>454</v>
      </c>
      <c r="C28" s="384">
        <v>40487</v>
      </c>
      <c r="D28" s="454" t="s">
        <v>337</v>
      </c>
      <c r="E28" s="385">
        <v>162</v>
      </c>
      <c r="F28" s="385">
        <v>13</v>
      </c>
      <c r="G28" s="385">
        <v>7</v>
      </c>
      <c r="H28" s="396">
        <v>9062.5</v>
      </c>
      <c r="I28" s="402">
        <v>1474</v>
      </c>
      <c r="J28" s="477">
        <f>I28/F28</f>
        <v>113.38461538461539</v>
      </c>
      <c r="K28" s="478">
        <f>H28/I28</f>
        <v>6.148236092265943</v>
      </c>
      <c r="L28" s="396">
        <f>525983.5+915356-20+520720.5+229861+37809.5+41066.5+9062.5</f>
        <v>2279839.5</v>
      </c>
      <c r="M28" s="402">
        <f>56225+93965-2+58841+28041+5233+5910+1474</f>
        <v>249687</v>
      </c>
      <c r="N28" s="466">
        <f>+L28/M28</f>
        <v>9.130789748765455</v>
      </c>
      <c r="O28" s="108">
        <v>1</v>
      </c>
      <c r="P28" s="561"/>
    </row>
    <row r="29" spans="1:16" s="4" customFormat="1" ht="15">
      <c r="A29" s="255">
        <v>25</v>
      </c>
      <c r="B29" s="547" t="s">
        <v>473</v>
      </c>
      <c r="C29" s="368">
        <v>40242</v>
      </c>
      <c r="D29" s="453" t="s">
        <v>449</v>
      </c>
      <c r="E29" s="369">
        <v>125</v>
      </c>
      <c r="F29" s="369">
        <v>1</v>
      </c>
      <c r="G29" s="369">
        <v>23</v>
      </c>
      <c r="H29" s="404">
        <v>8316</v>
      </c>
      <c r="I29" s="538">
        <v>1663</v>
      </c>
      <c r="J29" s="380">
        <f>IF(H29&lt;&gt;0,I29/F29,"")</f>
        <v>1663</v>
      </c>
      <c r="K29" s="381">
        <f>IF(H29&lt;&gt;0,H29/I29,"")</f>
        <v>5.000601322910403</v>
      </c>
      <c r="L29" s="404">
        <f>3052174.5+368+334+926+8316</f>
        <v>3062118.5</v>
      </c>
      <c r="M29" s="402">
        <f>484917+57+56+140+1663</f>
        <v>486833</v>
      </c>
      <c r="N29" s="422">
        <f>IF(L29&lt;&gt;0,L29/M29,"")</f>
        <v>6.289874556572788</v>
      </c>
      <c r="O29" s="108">
        <v>1</v>
      </c>
      <c r="P29" s="561"/>
    </row>
    <row r="30" spans="1:16" s="4" customFormat="1" ht="15">
      <c r="A30" s="255">
        <v>26</v>
      </c>
      <c r="B30" s="549" t="s">
        <v>18</v>
      </c>
      <c r="C30" s="384">
        <v>40466</v>
      </c>
      <c r="D30" s="452" t="s">
        <v>324</v>
      </c>
      <c r="E30" s="385">
        <v>119</v>
      </c>
      <c r="F30" s="385">
        <v>14</v>
      </c>
      <c r="G30" s="385">
        <v>10</v>
      </c>
      <c r="H30" s="396">
        <v>6496</v>
      </c>
      <c r="I30" s="402">
        <v>1019</v>
      </c>
      <c r="J30" s="394">
        <f>I30/F30</f>
        <v>72.78571428571429</v>
      </c>
      <c r="K30" s="395">
        <f>+H30/I30</f>
        <v>6.374877330716388</v>
      </c>
      <c r="L30" s="396">
        <v>2007717</v>
      </c>
      <c r="M30" s="402">
        <v>173800</v>
      </c>
      <c r="N30" s="425">
        <f>+L30/M30</f>
        <v>11.551881472957422</v>
      </c>
      <c r="O30" s="108"/>
      <c r="P30" s="561"/>
    </row>
    <row r="31" spans="1:16" s="4" customFormat="1" ht="15">
      <c r="A31" s="255">
        <v>27</v>
      </c>
      <c r="B31" s="548" t="s">
        <v>474</v>
      </c>
      <c r="C31" s="384">
        <v>39864</v>
      </c>
      <c r="D31" s="454" t="s">
        <v>326</v>
      </c>
      <c r="E31" s="385">
        <v>4</v>
      </c>
      <c r="F31" s="385">
        <v>3</v>
      </c>
      <c r="G31" s="385">
        <v>14</v>
      </c>
      <c r="H31" s="390">
        <v>6060</v>
      </c>
      <c r="I31" s="391">
        <v>1515</v>
      </c>
      <c r="J31" s="388">
        <f>(I31/F31)</f>
        <v>505</v>
      </c>
      <c r="K31" s="389">
        <f>H31/I31</f>
        <v>4</v>
      </c>
      <c r="L31" s="390">
        <f>6804+2328+2310+826+241+1288+1545+817+40+615+1688+420+95+6060</f>
        <v>25077</v>
      </c>
      <c r="M31" s="391">
        <f>775+357+469+134+39+295+305+158+8+67+387+70+19+1515</f>
        <v>4598</v>
      </c>
      <c r="N31" s="424">
        <f>L31/M31</f>
        <v>5.453892996955198</v>
      </c>
      <c r="O31" s="108">
        <v>1</v>
      </c>
      <c r="P31" s="561"/>
    </row>
    <row r="32" spans="1:16" s="4" customFormat="1" ht="15">
      <c r="A32" s="255">
        <v>28</v>
      </c>
      <c r="B32" s="548" t="s">
        <v>426</v>
      </c>
      <c r="C32" s="384">
        <v>39738</v>
      </c>
      <c r="D32" s="454" t="s">
        <v>326</v>
      </c>
      <c r="E32" s="385">
        <v>67</v>
      </c>
      <c r="F32" s="385">
        <v>2</v>
      </c>
      <c r="G32" s="385">
        <v>41</v>
      </c>
      <c r="H32" s="390">
        <v>4752</v>
      </c>
      <c r="I32" s="391">
        <v>1188</v>
      </c>
      <c r="J32" s="388">
        <f>(I32/F32)</f>
        <v>594</v>
      </c>
      <c r="K32" s="389">
        <f>H32/I32</f>
        <v>4</v>
      </c>
      <c r="L32" s="390">
        <f>575413.5+2968+2376+2737+2376+2376+4752</f>
        <v>592998.5</v>
      </c>
      <c r="M32" s="391">
        <f>83313+742+594+635+594+594+1188</f>
        <v>87660</v>
      </c>
      <c r="N32" s="424">
        <v>6.906647221922149</v>
      </c>
      <c r="O32" s="108"/>
      <c r="P32" s="561"/>
    </row>
    <row r="33" spans="1:16" s="4" customFormat="1" ht="15">
      <c r="A33" s="255">
        <v>29</v>
      </c>
      <c r="B33" s="548" t="s">
        <v>475</v>
      </c>
      <c r="C33" s="384">
        <v>39864</v>
      </c>
      <c r="D33" s="454" t="s">
        <v>326</v>
      </c>
      <c r="E33" s="385">
        <v>55</v>
      </c>
      <c r="F33" s="385">
        <v>2</v>
      </c>
      <c r="G33" s="385">
        <v>36</v>
      </c>
      <c r="H33" s="390">
        <v>4752</v>
      </c>
      <c r="I33" s="391">
        <v>1188</v>
      </c>
      <c r="J33" s="388">
        <f>(I33/F33)</f>
        <v>594</v>
      </c>
      <c r="K33" s="389">
        <f>H33/I33</f>
        <v>4</v>
      </c>
      <c r="L33" s="390">
        <f>190777.5+154065+60826.5+20820+23589+29712+19396.5+16102+12940+11034+3005+981+1140+40+98.25+284+1000+300+220+1211.5+155+156+63+1780+5228+1780+450+952+145+640+2445+2376+2376+2376+4752</f>
        <v>573216.25</v>
      </c>
      <c r="M33" s="391">
        <f>20518+17650+7809+3283+4115+5826+3911+3770+2981+2505+653+199+194+8+18+60+100+75+44+292+22+22+19+445+1307+445+75+238+29+128+383+594+594+594+1188</f>
        <v>80094</v>
      </c>
      <c r="N33" s="424">
        <f>L33/M33</f>
        <v>7.156793892176692</v>
      </c>
      <c r="O33" s="108"/>
      <c r="P33" s="561"/>
    </row>
    <row r="34" spans="1:16" s="4" customFormat="1" ht="15">
      <c r="A34" s="257">
        <v>30</v>
      </c>
      <c r="B34" s="548" t="s">
        <v>172</v>
      </c>
      <c r="C34" s="384">
        <v>39878</v>
      </c>
      <c r="D34" s="454" t="s">
        <v>326</v>
      </c>
      <c r="E34" s="385">
        <v>39</v>
      </c>
      <c r="F34" s="385">
        <v>2</v>
      </c>
      <c r="G34" s="385">
        <v>36</v>
      </c>
      <c r="H34" s="390">
        <v>4752</v>
      </c>
      <c r="I34" s="391">
        <v>1188</v>
      </c>
      <c r="J34" s="388">
        <f>(I34/F34)</f>
        <v>594</v>
      </c>
      <c r="K34" s="389">
        <f>H34/I34</f>
        <v>4</v>
      </c>
      <c r="L34" s="390">
        <f>143992.5+82756.5+42509+41229+27290.5+16668+27602+17675+4710+8504.5+2403+4164+2272+3469+1997+135+299+674+178+30+240+1413+1006+209+393+680+1780+4040+1780+1780+952+745+2376+2376+2376+4752</f>
        <v>455456</v>
      </c>
      <c r="M34" s="391">
        <f>15320+9228+5096+5970+4485+3115+5134+3946+1139+2307+509+879+411+637+472+29+62+165+32+6+48+348+139+43+54+68+445+1010+445+445+238+149+594+594+594+1188</f>
        <v>65344</v>
      </c>
      <c r="N34" s="424">
        <f>L34/M34</f>
        <v>6.970127326150832</v>
      </c>
      <c r="O34" s="108"/>
      <c r="P34" s="561"/>
    </row>
    <row r="35" spans="1:16" s="4" customFormat="1" ht="15">
      <c r="A35" s="255">
        <v>31</v>
      </c>
      <c r="B35" s="547" t="s">
        <v>476</v>
      </c>
      <c r="C35" s="368">
        <v>39647</v>
      </c>
      <c r="D35" s="453" t="s">
        <v>449</v>
      </c>
      <c r="E35" s="369">
        <v>108</v>
      </c>
      <c r="F35" s="369">
        <v>1</v>
      </c>
      <c r="G35" s="369">
        <v>19</v>
      </c>
      <c r="H35" s="404">
        <v>4752</v>
      </c>
      <c r="I35" s="538">
        <v>950</v>
      </c>
      <c r="J35" s="380">
        <f>IF(H35&lt;&gt;0,I35/F35,"")</f>
        <v>950</v>
      </c>
      <c r="K35" s="381">
        <f>IF(H35&lt;&gt;0,H35/I35,"")</f>
        <v>5.002105263157895</v>
      </c>
      <c r="L35" s="404">
        <f>1222515+828853.5+616915.5+465273+341230+269480+214782+33294.5+48263+68276.5+92787.5+52179+2714+1180+1782+3501+6654+713+4752</f>
        <v>4275145.5</v>
      </c>
      <c r="M35" s="394">
        <f>124195+81105+60538+46526+36523+29809+22690+5484+5511+6560+7453+4453+870+236+594+1144+2218+143+950</f>
        <v>437002</v>
      </c>
      <c r="N35" s="422">
        <f>IF(L35&lt;&gt;0,L35/M35,"")</f>
        <v>9.782896874613845</v>
      </c>
      <c r="O35" s="108"/>
      <c r="P35" s="561"/>
    </row>
    <row r="36" spans="1:16" s="4" customFormat="1" ht="15">
      <c r="A36" s="255">
        <v>32</v>
      </c>
      <c r="B36" s="547" t="s">
        <v>369</v>
      </c>
      <c r="C36" s="368">
        <v>39836</v>
      </c>
      <c r="D36" s="453" t="s">
        <v>449</v>
      </c>
      <c r="E36" s="369">
        <v>86</v>
      </c>
      <c r="F36" s="369">
        <v>1</v>
      </c>
      <c r="G36" s="369">
        <v>22</v>
      </c>
      <c r="H36" s="404">
        <v>4752</v>
      </c>
      <c r="I36" s="538">
        <v>950</v>
      </c>
      <c r="J36" s="380">
        <f>IF(H36&lt;&gt;0,I36/F36,"")</f>
        <v>950</v>
      </c>
      <c r="K36" s="381">
        <f>IF(H36&lt;&gt;0,H36/I36,"")</f>
        <v>5.002105263157895</v>
      </c>
      <c r="L36" s="404">
        <f>1451306.5+4752</f>
        <v>1456058.5</v>
      </c>
      <c r="M36" s="394">
        <f>167737+950</f>
        <v>168687</v>
      </c>
      <c r="N36" s="422">
        <f>IF(L36&lt;&gt;0,L36/M36,"")</f>
        <v>8.631717322615257</v>
      </c>
      <c r="O36" s="108"/>
      <c r="P36" s="561"/>
    </row>
    <row r="37" spans="1:16" s="4" customFormat="1" ht="15">
      <c r="A37" s="255">
        <v>33</v>
      </c>
      <c r="B37" s="421" t="s">
        <v>112</v>
      </c>
      <c r="C37" s="368">
        <v>40480</v>
      </c>
      <c r="D37" s="459" t="s">
        <v>339</v>
      </c>
      <c r="E37" s="377">
        <v>21</v>
      </c>
      <c r="F37" s="377">
        <v>7</v>
      </c>
      <c r="G37" s="377">
        <v>8</v>
      </c>
      <c r="H37" s="382">
        <v>4572</v>
      </c>
      <c r="I37" s="383">
        <v>660</v>
      </c>
      <c r="J37" s="380">
        <f>+I37/F37</f>
        <v>94.28571428571429</v>
      </c>
      <c r="K37" s="381">
        <f>+H37/I37</f>
        <v>6.927272727272728</v>
      </c>
      <c r="L37" s="382">
        <v>277149</v>
      </c>
      <c r="M37" s="383">
        <v>23846</v>
      </c>
      <c r="N37" s="422">
        <f>+L37/M37</f>
        <v>11.622452402918729</v>
      </c>
      <c r="O37" s="108"/>
      <c r="P37" s="561"/>
    </row>
    <row r="38" spans="1:16" s="4" customFormat="1" ht="15">
      <c r="A38" s="257">
        <v>34</v>
      </c>
      <c r="B38" s="548" t="s">
        <v>412</v>
      </c>
      <c r="C38" s="384">
        <v>40473</v>
      </c>
      <c r="D38" s="454" t="s">
        <v>326</v>
      </c>
      <c r="E38" s="385">
        <v>28</v>
      </c>
      <c r="F38" s="385">
        <v>6</v>
      </c>
      <c r="G38" s="385">
        <v>9</v>
      </c>
      <c r="H38" s="390">
        <v>4508</v>
      </c>
      <c r="I38" s="391">
        <v>1351</v>
      </c>
      <c r="J38" s="388">
        <f>(I38/F38)</f>
        <v>225.16666666666666</v>
      </c>
      <c r="K38" s="389">
        <f>H38/I38</f>
        <v>3.3367875647668392</v>
      </c>
      <c r="L38" s="390">
        <f>152569.5+122205.5+10562+6863.5+9619+5655+1726.5+3593+4508</f>
        <v>317302</v>
      </c>
      <c r="M38" s="391">
        <f>12992+10278+1201+886+1535+877+246+644+1351</f>
        <v>30010</v>
      </c>
      <c r="N38" s="424">
        <f>L38/M38</f>
        <v>10.573208930356548</v>
      </c>
      <c r="O38" s="108"/>
      <c r="P38" s="561"/>
    </row>
    <row r="39" spans="1:16" s="4" customFormat="1" ht="15">
      <c r="A39" s="255">
        <v>35</v>
      </c>
      <c r="B39" s="549" t="s">
        <v>410</v>
      </c>
      <c r="C39" s="384">
        <v>40473</v>
      </c>
      <c r="D39" s="452" t="s">
        <v>324</v>
      </c>
      <c r="E39" s="385">
        <v>100</v>
      </c>
      <c r="F39" s="385">
        <v>2</v>
      </c>
      <c r="G39" s="385">
        <v>9</v>
      </c>
      <c r="H39" s="396">
        <v>3601</v>
      </c>
      <c r="I39" s="394">
        <v>484</v>
      </c>
      <c r="J39" s="394">
        <f>I39/F39</f>
        <v>242</v>
      </c>
      <c r="K39" s="395">
        <f>+H39/I39</f>
        <v>7.440082644628099</v>
      </c>
      <c r="L39" s="396">
        <v>1816583</v>
      </c>
      <c r="M39" s="397">
        <v>188702</v>
      </c>
      <c r="N39" s="425">
        <f>+L39/M39</f>
        <v>9.62672891649267</v>
      </c>
      <c r="O39" s="108"/>
      <c r="P39" s="561"/>
    </row>
    <row r="40" spans="1:16" s="4" customFormat="1" ht="15">
      <c r="A40" s="255">
        <v>36</v>
      </c>
      <c r="B40" s="548" t="s">
        <v>380</v>
      </c>
      <c r="C40" s="384">
        <v>39472</v>
      </c>
      <c r="D40" s="454" t="s">
        <v>337</v>
      </c>
      <c r="E40" s="385">
        <v>59</v>
      </c>
      <c r="F40" s="385">
        <v>1</v>
      </c>
      <c r="G40" s="385">
        <v>40</v>
      </c>
      <c r="H40" s="396">
        <v>3598</v>
      </c>
      <c r="I40" s="394">
        <v>600</v>
      </c>
      <c r="J40" s="477">
        <f>I40/F40</f>
        <v>600</v>
      </c>
      <c r="K40" s="478">
        <f>H40/I40</f>
        <v>5.996666666666667</v>
      </c>
      <c r="L40" s="396">
        <f>395290.5+262822+75939+23709.5+4083+1327+9321+1445+1267+2173+4575+201+1748+3343+728+28+948+1329+163+182+173+15521.5+171+40+110+75+183.5+127+124.5+1976+312+180+12+2398+1799+1799+1799+3598</f>
        <v>821020.5</v>
      </c>
      <c r="M40" s="394">
        <f>47426+32442+9866+4010+887+225+2185+263+226+460+1077+33+367+887+230+4+139+355+32+35+32+3859+49+8+22+15+68+46+45+659+52+30+2+399+300+300+300+600</f>
        <v>107935</v>
      </c>
      <c r="N40" s="466">
        <f>+L40/M40</f>
        <v>7.606619724834391</v>
      </c>
      <c r="O40" s="108"/>
      <c r="P40" s="561"/>
    </row>
    <row r="41" spans="1:16" s="4" customFormat="1" ht="15">
      <c r="A41" s="255">
        <v>37</v>
      </c>
      <c r="B41" s="548" t="s">
        <v>379</v>
      </c>
      <c r="C41" s="384">
        <v>39682</v>
      </c>
      <c r="D41" s="454" t="s">
        <v>337</v>
      </c>
      <c r="E41" s="385">
        <v>60</v>
      </c>
      <c r="F41" s="385">
        <v>1</v>
      </c>
      <c r="G41" s="385">
        <v>22</v>
      </c>
      <c r="H41" s="396">
        <v>3598</v>
      </c>
      <c r="I41" s="394">
        <v>600</v>
      </c>
      <c r="J41" s="477">
        <f>I41/F41</f>
        <v>600</v>
      </c>
      <c r="K41" s="478">
        <f>H41/I41</f>
        <v>5.996666666666667</v>
      </c>
      <c r="L41" s="396">
        <f>111737+37434.5+11042+9412+0.5+6921+5282+0.5+1449+105+269+162+117+442+7259+305+4320+1922+1799+1799+135+1799+3598</f>
        <v>207309.5</v>
      </c>
      <c r="M41" s="394">
        <f>13345+4357+1377+1694+1346+1248+225+18+64+40+37+108+2420+61+783+385+300+300+15+300+600</f>
        <v>29023</v>
      </c>
      <c r="N41" s="466">
        <f>+L41/M41</f>
        <v>7.142938359232333</v>
      </c>
      <c r="O41" s="108"/>
      <c r="P41" s="561"/>
    </row>
    <row r="42" spans="1:16" s="4" customFormat="1" ht="15">
      <c r="A42" s="255">
        <v>38</v>
      </c>
      <c r="B42" s="549" t="s">
        <v>147</v>
      </c>
      <c r="C42" s="384">
        <v>40494</v>
      </c>
      <c r="D42" s="452" t="s">
        <v>324</v>
      </c>
      <c r="E42" s="385">
        <v>72</v>
      </c>
      <c r="F42" s="385">
        <v>4</v>
      </c>
      <c r="G42" s="385">
        <v>6</v>
      </c>
      <c r="H42" s="396">
        <v>3596</v>
      </c>
      <c r="I42" s="394">
        <v>542</v>
      </c>
      <c r="J42" s="394">
        <f>I42/F42</f>
        <v>135.5</v>
      </c>
      <c r="K42" s="395">
        <f>+H42/I42</f>
        <v>6.634686346863469</v>
      </c>
      <c r="L42" s="396">
        <v>900075</v>
      </c>
      <c r="M42" s="397">
        <v>83652</v>
      </c>
      <c r="N42" s="425">
        <f>+L42/M42</f>
        <v>10.759754698034715</v>
      </c>
      <c r="O42" s="108"/>
      <c r="P42" s="561"/>
    </row>
    <row r="43" spans="1:16" s="4" customFormat="1" ht="15">
      <c r="A43" s="255">
        <v>39</v>
      </c>
      <c r="B43" s="547" t="s">
        <v>346</v>
      </c>
      <c r="C43" s="368">
        <v>40067</v>
      </c>
      <c r="D43" s="453" t="s">
        <v>449</v>
      </c>
      <c r="E43" s="369">
        <v>105</v>
      </c>
      <c r="F43" s="369">
        <v>1</v>
      </c>
      <c r="G43" s="369">
        <v>47</v>
      </c>
      <c r="H43" s="404">
        <v>3564</v>
      </c>
      <c r="I43" s="538">
        <v>713</v>
      </c>
      <c r="J43" s="380">
        <f>IF(H43&lt;&gt;0,I43/F43,"")</f>
        <v>713</v>
      </c>
      <c r="K43" s="381">
        <f>IF(H43&lt;&gt;0,H43/I43,"")</f>
        <v>4.998597475455821</v>
      </c>
      <c r="L43" s="404">
        <f>649040.5+391+1223+705+141+3564</f>
        <v>655064.5</v>
      </c>
      <c r="M43" s="394">
        <f>79080+64+202+109+20+713</f>
        <v>80188</v>
      </c>
      <c r="N43" s="422">
        <f>IF(L43&lt;&gt;0,L43/M43,"")</f>
        <v>8.169108844216092</v>
      </c>
      <c r="O43" s="108"/>
      <c r="P43" s="561"/>
    </row>
    <row r="44" spans="1:16" s="4" customFormat="1" ht="15">
      <c r="A44" s="257">
        <v>40</v>
      </c>
      <c r="B44" s="547" t="s">
        <v>477</v>
      </c>
      <c r="C44" s="368">
        <v>40529</v>
      </c>
      <c r="D44" s="453" t="s">
        <v>478</v>
      </c>
      <c r="E44" s="369">
        <v>2</v>
      </c>
      <c r="F44" s="369">
        <v>2</v>
      </c>
      <c r="G44" s="369">
        <v>1</v>
      </c>
      <c r="H44" s="541">
        <v>2854</v>
      </c>
      <c r="I44" s="542">
        <v>388</v>
      </c>
      <c r="J44" s="542">
        <f>I44/F44</f>
        <v>194</v>
      </c>
      <c r="K44" s="543">
        <f>H44/I44</f>
        <v>7.355670103092783</v>
      </c>
      <c r="L44" s="541">
        <v>2854</v>
      </c>
      <c r="M44" s="542">
        <v>388</v>
      </c>
      <c r="N44" s="464">
        <f>+L44/M44</f>
        <v>7.355670103092783</v>
      </c>
      <c r="O44" s="108"/>
      <c r="P44" s="561"/>
    </row>
    <row r="45" spans="1:16" s="4" customFormat="1" ht="15">
      <c r="A45" s="255">
        <v>41</v>
      </c>
      <c r="B45" s="548" t="s">
        <v>413</v>
      </c>
      <c r="C45" s="384">
        <v>40473</v>
      </c>
      <c r="D45" s="454" t="s">
        <v>326</v>
      </c>
      <c r="E45" s="385">
        <v>30</v>
      </c>
      <c r="F45" s="385">
        <v>4</v>
      </c>
      <c r="G45" s="385">
        <v>9</v>
      </c>
      <c r="H45" s="390">
        <v>2769</v>
      </c>
      <c r="I45" s="391">
        <v>324</v>
      </c>
      <c r="J45" s="388">
        <f>(I45/F45)</f>
        <v>81</v>
      </c>
      <c r="K45" s="389">
        <f>H45/I45</f>
        <v>8.546296296296296</v>
      </c>
      <c r="L45" s="390">
        <f>140269+106844+7979+4849+4700.5+7059+2232+1390+2769</f>
        <v>278091.5</v>
      </c>
      <c r="M45" s="391">
        <f>11518+8629+641+577+660+1341+325+348+324</f>
        <v>24363</v>
      </c>
      <c r="N45" s="424">
        <f>L45/M45</f>
        <v>11.41450149817346</v>
      </c>
      <c r="O45" s="108"/>
      <c r="P45" s="561">
        <v>1</v>
      </c>
    </row>
    <row r="46" spans="1:16" s="4" customFormat="1" ht="15">
      <c r="A46" s="255">
        <v>42</v>
      </c>
      <c r="B46" s="549" t="s">
        <v>149</v>
      </c>
      <c r="C46" s="384">
        <v>40494</v>
      </c>
      <c r="D46" s="452" t="s">
        <v>324</v>
      </c>
      <c r="E46" s="385">
        <v>51</v>
      </c>
      <c r="F46" s="385">
        <v>3</v>
      </c>
      <c r="G46" s="385">
        <v>6</v>
      </c>
      <c r="H46" s="396">
        <v>2532</v>
      </c>
      <c r="I46" s="394">
        <v>329</v>
      </c>
      <c r="J46" s="394">
        <f>I46/F46</f>
        <v>109.66666666666667</v>
      </c>
      <c r="K46" s="395">
        <f>+H46/I46</f>
        <v>7.696048632218845</v>
      </c>
      <c r="L46" s="396">
        <v>182154</v>
      </c>
      <c r="M46" s="397">
        <v>20697</v>
      </c>
      <c r="N46" s="425">
        <f>+L46/M46</f>
        <v>8.800985650094217</v>
      </c>
      <c r="O46" s="108"/>
      <c r="P46" s="561"/>
    </row>
    <row r="47" spans="1:16" s="4" customFormat="1" ht="15">
      <c r="A47" s="255">
        <v>43</v>
      </c>
      <c r="B47" s="549" t="s">
        <v>274</v>
      </c>
      <c r="C47" s="384">
        <v>40424</v>
      </c>
      <c r="D47" s="452" t="s">
        <v>324</v>
      </c>
      <c r="E47" s="385">
        <v>107</v>
      </c>
      <c r="F47" s="385">
        <v>3</v>
      </c>
      <c r="G47" s="385">
        <v>16</v>
      </c>
      <c r="H47" s="396">
        <v>2530</v>
      </c>
      <c r="I47" s="394">
        <v>725</v>
      </c>
      <c r="J47" s="394">
        <f>I47/F47</f>
        <v>241.66666666666666</v>
      </c>
      <c r="K47" s="395">
        <f>+H47/I47</f>
        <v>3.489655172413793</v>
      </c>
      <c r="L47" s="396">
        <v>2165027</v>
      </c>
      <c r="M47" s="397">
        <v>195366</v>
      </c>
      <c r="N47" s="425">
        <f>+L47/M47</f>
        <v>11.081902685216466</v>
      </c>
      <c r="O47" s="108"/>
      <c r="P47" s="561"/>
    </row>
    <row r="48" spans="1:16" s="4" customFormat="1" ht="15">
      <c r="A48" s="257">
        <v>44</v>
      </c>
      <c r="B48" s="548" t="s">
        <v>479</v>
      </c>
      <c r="C48" s="384">
        <v>40480</v>
      </c>
      <c r="D48" s="454" t="s">
        <v>337</v>
      </c>
      <c r="E48" s="385">
        <v>135</v>
      </c>
      <c r="F48" s="385">
        <v>4</v>
      </c>
      <c r="G48" s="385">
        <v>8</v>
      </c>
      <c r="H48" s="396">
        <v>2518</v>
      </c>
      <c r="I48" s="394">
        <v>433</v>
      </c>
      <c r="J48" s="477">
        <f>I48/F48</f>
        <v>108.25</v>
      </c>
      <c r="K48" s="478">
        <f>H48/I48</f>
        <v>5.815242494226328</v>
      </c>
      <c r="L48" s="396">
        <f>151771.5+44278.5+20156+4831.5+5960.5+2697+3743.5+81+2518</f>
        <v>236037.5</v>
      </c>
      <c r="M48" s="394">
        <f>19003+7410+3277+795+995+475+746+11+433</f>
        <v>33145</v>
      </c>
      <c r="N48" s="466">
        <f>+L48/M48</f>
        <v>7.121360687886559</v>
      </c>
      <c r="O48" s="108">
        <v>1</v>
      </c>
      <c r="P48" s="561"/>
    </row>
    <row r="49" spans="1:16" s="4" customFormat="1" ht="15">
      <c r="A49" s="255">
        <v>45</v>
      </c>
      <c r="B49" s="548" t="s">
        <v>480</v>
      </c>
      <c r="C49" s="384">
        <v>40508</v>
      </c>
      <c r="D49" s="454" t="s">
        <v>326</v>
      </c>
      <c r="E49" s="385">
        <v>44</v>
      </c>
      <c r="F49" s="385">
        <v>6</v>
      </c>
      <c r="G49" s="385">
        <v>4</v>
      </c>
      <c r="H49" s="390">
        <v>2212.5</v>
      </c>
      <c r="I49" s="391">
        <v>420</v>
      </c>
      <c r="J49" s="388">
        <f>(I49/F49)</f>
        <v>70</v>
      </c>
      <c r="K49" s="389">
        <f>H49/I49</f>
        <v>5.267857142857143</v>
      </c>
      <c r="L49" s="390">
        <f>49086+11854+1926+2212.5</f>
        <v>65078.5</v>
      </c>
      <c r="M49" s="391">
        <f>5689+1635+274+420</f>
        <v>8018</v>
      </c>
      <c r="N49" s="424">
        <f>L49/M49</f>
        <v>8.116550261910701</v>
      </c>
      <c r="O49" s="108">
        <v>1</v>
      </c>
      <c r="P49" s="561"/>
    </row>
    <row r="50" spans="1:16" s="4" customFormat="1" ht="15">
      <c r="A50" s="255">
        <v>46</v>
      </c>
      <c r="B50" s="547" t="s">
        <v>481</v>
      </c>
      <c r="C50" s="368">
        <v>40452</v>
      </c>
      <c r="D50" s="453" t="s">
        <v>449</v>
      </c>
      <c r="E50" s="369">
        <v>148</v>
      </c>
      <c r="F50" s="369">
        <v>2</v>
      </c>
      <c r="G50" s="369">
        <v>12</v>
      </c>
      <c r="H50" s="404">
        <v>2064</v>
      </c>
      <c r="I50" s="538">
        <v>322</v>
      </c>
      <c r="J50" s="380">
        <f>IF(H50&lt;&gt;0,I50/F50,"")</f>
        <v>161</v>
      </c>
      <c r="K50" s="381">
        <f>IF(H50&lt;&gt;0,H50/I50,"")</f>
        <v>6.409937888198757</v>
      </c>
      <c r="L50" s="404">
        <f>699440.5+93480+55329+21058.5+2054+5186.5+3036+2522+4090+1329+2064</f>
        <v>889589.5</v>
      </c>
      <c r="M50" s="394">
        <f>74937+13125+8283+3296+346+1058+497+365+749+203+322</f>
        <v>103181</v>
      </c>
      <c r="N50" s="422">
        <f>IF(L50&lt;&gt;0,L50/M50,"")</f>
        <v>8.621640612128202</v>
      </c>
      <c r="O50" s="108">
        <v>1</v>
      </c>
      <c r="P50" s="561"/>
    </row>
    <row r="51" spans="1:16" s="4" customFormat="1" ht="15">
      <c r="A51" s="255">
        <v>47</v>
      </c>
      <c r="B51" s="548" t="s">
        <v>482</v>
      </c>
      <c r="C51" s="384">
        <v>40109</v>
      </c>
      <c r="D51" s="454" t="s">
        <v>326</v>
      </c>
      <c r="E51" s="385">
        <v>25</v>
      </c>
      <c r="F51" s="385">
        <v>1</v>
      </c>
      <c r="G51" s="385">
        <v>26</v>
      </c>
      <c r="H51" s="390">
        <v>2020</v>
      </c>
      <c r="I51" s="391">
        <v>505</v>
      </c>
      <c r="J51" s="388">
        <v>1040</v>
      </c>
      <c r="K51" s="389">
        <v>4</v>
      </c>
      <c r="L51" s="390">
        <f>601657.24+2020</f>
        <v>603677.24</v>
      </c>
      <c r="M51" s="391">
        <f>90424+505</f>
        <v>90929</v>
      </c>
      <c r="N51" s="424">
        <v>6.653733964434221</v>
      </c>
      <c r="O51" s="108">
        <v>1</v>
      </c>
      <c r="P51" s="561"/>
    </row>
    <row r="52" spans="1:16" s="4" customFormat="1" ht="15">
      <c r="A52" s="255">
        <v>48</v>
      </c>
      <c r="B52" s="548" t="s">
        <v>483</v>
      </c>
      <c r="C52" s="384">
        <v>40319</v>
      </c>
      <c r="D52" s="454" t="s">
        <v>337</v>
      </c>
      <c r="E52" s="385">
        <v>11</v>
      </c>
      <c r="F52" s="385">
        <v>1</v>
      </c>
      <c r="G52" s="385">
        <v>6</v>
      </c>
      <c r="H52" s="396">
        <v>1919</v>
      </c>
      <c r="I52" s="394">
        <v>320</v>
      </c>
      <c r="J52" s="477">
        <f>I52/F52</f>
        <v>320</v>
      </c>
      <c r="K52" s="478">
        <f>H52/I52</f>
        <v>5.996875</v>
      </c>
      <c r="L52" s="396">
        <f>8285+3406+28+3025+4479.5+3407+1919</f>
        <v>24549.5</v>
      </c>
      <c r="M52" s="394">
        <f>916+411+4+449+692+505+320</f>
        <v>3297</v>
      </c>
      <c r="N52" s="466">
        <f>+L52/M52</f>
        <v>7.44601152562936</v>
      </c>
      <c r="O52" s="108">
        <v>1</v>
      </c>
      <c r="P52" s="561"/>
    </row>
    <row r="53" spans="1:16" s="4" customFormat="1" ht="15">
      <c r="A53" s="255">
        <v>49</v>
      </c>
      <c r="B53" s="548" t="s">
        <v>411</v>
      </c>
      <c r="C53" s="384">
        <v>40466</v>
      </c>
      <c r="D53" s="454" t="s">
        <v>326</v>
      </c>
      <c r="E53" s="385">
        <v>139</v>
      </c>
      <c r="F53" s="385">
        <v>2</v>
      </c>
      <c r="G53" s="385">
        <v>10</v>
      </c>
      <c r="H53" s="390">
        <v>1901</v>
      </c>
      <c r="I53" s="391">
        <v>474</v>
      </c>
      <c r="J53" s="388">
        <f>(I53/F53)</f>
        <v>237</v>
      </c>
      <c r="K53" s="389">
        <f>H53/I53</f>
        <v>4.010548523206751</v>
      </c>
      <c r="L53" s="390">
        <f>859399.5+611922.5+597511+92540.5+35432.5+12313+8417+3230+2786+1901</f>
        <v>2225453</v>
      </c>
      <c r="M53" s="391">
        <f>81834+61457+58453+8463+3493+2070+1395+1040+668+474</f>
        <v>219347</v>
      </c>
      <c r="N53" s="424">
        <f>L53/M53</f>
        <v>10.145810063506682</v>
      </c>
      <c r="O53" s="108"/>
      <c r="P53" s="561"/>
    </row>
    <row r="54" spans="1:16" s="4" customFormat="1" ht="15">
      <c r="A54" s="257">
        <v>50</v>
      </c>
      <c r="B54" s="549" t="s">
        <v>394</v>
      </c>
      <c r="C54" s="384">
        <v>40438</v>
      </c>
      <c r="D54" s="452" t="s">
        <v>324</v>
      </c>
      <c r="E54" s="385">
        <v>9</v>
      </c>
      <c r="F54" s="385">
        <v>2</v>
      </c>
      <c r="G54" s="385">
        <v>14</v>
      </c>
      <c r="H54" s="396">
        <v>1829</v>
      </c>
      <c r="I54" s="394">
        <v>519</v>
      </c>
      <c r="J54" s="394">
        <v>85</v>
      </c>
      <c r="K54" s="395">
        <f>+H54/I54</f>
        <v>3.5240847784200384</v>
      </c>
      <c r="L54" s="396">
        <v>89656</v>
      </c>
      <c r="M54" s="397">
        <v>10558</v>
      </c>
      <c r="N54" s="425">
        <f>+L54/M54</f>
        <v>8.491759802992991</v>
      </c>
      <c r="O54" s="108"/>
      <c r="P54" s="561"/>
    </row>
    <row r="55" spans="1:16" s="4" customFormat="1" ht="15">
      <c r="A55" s="255">
        <v>51</v>
      </c>
      <c r="B55" s="551" t="s">
        <v>318</v>
      </c>
      <c r="C55" s="457">
        <v>40480</v>
      </c>
      <c r="D55" s="458" t="s">
        <v>328</v>
      </c>
      <c r="E55" s="479">
        <v>15</v>
      </c>
      <c r="F55" s="479">
        <v>1</v>
      </c>
      <c r="G55" s="479">
        <v>6</v>
      </c>
      <c r="H55" s="482">
        <v>1779</v>
      </c>
      <c r="I55" s="481">
        <v>356</v>
      </c>
      <c r="J55" s="481">
        <v>356</v>
      </c>
      <c r="K55" s="483">
        <v>4.997191011235955</v>
      </c>
      <c r="L55" s="482">
        <v>55734</v>
      </c>
      <c r="M55" s="481">
        <v>5843</v>
      </c>
      <c r="N55" s="511">
        <v>9.538593188430601</v>
      </c>
      <c r="O55" s="108"/>
      <c r="P55" s="561"/>
    </row>
    <row r="56" spans="1:16" s="4" customFormat="1" ht="15">
      <c r="A56" s="255">
        <v>52</v>
      </c>
      <c r="B56" s="552" t="s">
        <v>180</v>
      </c>
      <c r="C56" s="545">
        <v>40347</v>
      </c>
      <c r="D56" s="454" t="s">
        <v>326</v>
      </c>
      <c r="E56" s="546">
        <v>66</v>
      </c>
      <c r="F56" s="546">
        <v>2</v>
      </c>
      <c r="G56" s="546">
        <v>25</v>
      </c>
      <c r="H56" s="390">
        <v>1757</v>
      </c>
      <c r="I56" s="391">
        <v>260</v>
      </c>
      <c r="J56" s="388">
        <f>(I56/F56)</f>
        <v>130</v>
      </c>
      <c r="K56" s="389">
        <f>H56/I56</f>
        <v>6.757692307692308</v>
      </c>
      <c r="L56" s="390">
        <f>478213+7083+3309.5+6055+4900+8378+4378.5+2349+3103+2074+7679.5+6108+2991.5+2180+2234+642+2775.5+1757</f>
        <v>546210.5</v>
      </c>
      <c r="M56" s="391">
        <f>55327+1259+553+1133+756+1285+650+408+682+334+1688+1394+539+483+475+201+677+260</f>
        <v>68104</v>
      </c>
      <c r="N56" s="424">
        <f>L56/M56</f>
        <v>8.020241101844238</v>
      </c>
      <c r="O56" s="108"/>
      <c r="P56" s="561"/>
    </row>
    <row r="57" spans="1:16" s="4" customFormat="1" ht="15">
      <c r="A57" s="255">
        <v>53</v>
      </c>
      <c r="B57" s="552" t="s">
        <v>484</v>
      </c>
      <c r="C57" s="545">
        <v>40368</v>
      </c>
      <c r="D57" s="454" t="s">
        <v>326</v>
      </c>
      <c r="E57" s="546">
        <v>126</v>
      </c>
      <c r="F57" s="546">
        <v>1</v>
      </c>
      <c r="G57" s="546">
        <v>22</v>
      </c>
      <c r="H57" s="390">
        <v>1437</v>
      </c>
      <c r="I57" s="391">
        <v>228</v>
      </c>
      <c r="J57" s="388">
        <f>(I57/F57)</f>
        <v>228</v>
      </c>
      <c r="K57" s="389">
        <f>H57/I57</f>
        <v>6.302631578947368</v>
      </c>
      <c r="L57" s="390">
        <f>2106797.5+50230.5+32558.5+15249.5+15137+17418.5+7784.5+2808+2841.5+1328+2453+1693+613+726+713+1425.5+1782+1437</f>
        <v>2262996</v>
      </c>
      <c r="M57" s="391">
        <f>220679+7944+5486+2451+2714+3159+1414+494+658+202+452+398+85+227+178+356+445+228</f>
        <v>247570</v>
      </c>
      <c r="N57" s="424">
        <f>L57/M57</f>
        <v>9.140832895746657</v>
      </c>
      <c r="O57" s="108"/>
      <c r="P57" s="561"/>
    </row>
    <row r="58" spans="1:16" s="4" customFormat="1" ht="15">
      <c r="A58" s="257">
        <v>54</v>
      </c>
      <c r="B58" s="552" t="s">
        <v>345</v>
      </c>
      <c r="C58" s="545">
        <v>39995</v>
      </c>
      <c r="D58" s="454" t="s">
        <v>326</v>
      </c>
      <c r="E58" s="546">
        <v>209</v>
      </c>
      <c r="F58" s="546">
        <v>1</v>
      </c>
      <c r="G58" s="546">
        <v>60</v>
      </c>
      <c r="H58" s="390">
        <v>1424</v>
      </c>
      <c r="I58" s="391">
        <v>356</v>
      </c>
      <c r="J58" s="388">
        <f>(I58/F58)</f>
        <v>356</v>
      </c>
      <c r="K58" s="389">
        <f>H58/I58</f>
        <v>4</v>
      </c>
      <c r="L58" s="390">
        <f>11405777.5+385+1188+6614+2968+1417+277+2612+1424</f>
        <v>11422662.5</v>
      </c>
      <c r="M58" s="391">
        <f>1424397+63+297+1638+742+364+66+653+356</f>
        <v>1428576</v>
      </c>
      <c r="N58" s="424">
        <f>L58/M58</f>
        <v>7.9958381633178774</v>
      </c>
      <c r="O58" s="108"/>
      <c r="P58" s="561"/>
    </row>
    <row r="59" spans="1:16" s="4" customFormat="1" ht="15">
      <c r="A59" s="255">
        <v>55</v>
      </c>
      <c r="B59" s="547" t="s">
        <v>485</v>
      </c>
      <c r="C59" s="368">
        <v>40466</v>
      </c>
      <c r="D59" s="453" t="s">
        <v>325</v>
      </c>
      <c r="E59" s="369">
        <v>135</v>
      </c>
      <c r="F59" s="369">
        <v>1</v>
      </c>
      <c r="G59" s="369">
        <v>10</v>
      </c>
      <c r="H59" s="374">
        <v>1416</v>
      </c>
      <c r="I59" s="375">
        <v>217</v>
      </c>
      <c r="J59" s="372">
        <f>I59/F59</f>
        <v>217</v>
      </c>
      <c r="K59" s="373">
        <f>H59/I59</f>
        <v>6.525345622119816</v>
      </c>
      <c r="L59" s="374">
        <v>940573</v>
      </c>
      <c r="M59" s="375">
        <v>103692</v>
      </c>
      <c r="N59" s="423">
        <f>+L59/M59</f>
        <v>9.070834779925162</v>
      </c>
      <c r="O59" s="108">
        <v>1</v>
      </c>
      <c r="P59" s="561"/>
    </row>
    <row r="60" spans="1:16" s="4" customFormat="1" ht="15">
      <c r="A60" s="255">
        <v>56</v>
      </c>
      <c r="B60" s="552" t="s">
        <v>486</v>
      </c>
      <c r="C60" s="545">
        <v>40473</v>
      </c>
      <c r="D60" s="454" t="s">
        <v>326</v>
      </c>
      <c r="E60" s="546">
        <v>2</v>
      </c>
      <c r="F60" s="546">
        <v>1</v>
      </c>
      <c r="G60" s="546">
        <v>4</v>
      </c>
      <c r="H60" s="390">
        <v>1330</v>
      </c>
      <c r="I60" s="391">
        <v>151</v>
      </c>
      <c r="J60" s="388">
        <f>(I60/F60)</f>
        <v>151</v>
      </c>
      <c r="K60" s="389">
        <f>H60/I60</f>
        <v>8.80794701986755</v>
      </c>
      <c r="L60" s="390">
        <f>6832+2665+3612+1330</f>
        <v>14439</v>
      </c>
      <c r="M60" s="391">
        <f>659+312+817+151</f>
        <v>1939</v>
      </c>
      <c r="N60" s="424">
        <f>L60/M60</f>
        <v>7.446621970087674</v>
      </c>
      <c r="O60" s="108"/>
      <c r="P60" s="561"/>
    </row>
    <row r="61" spans="1:16" s="4" customFormat="1" ht="15">
      <c r="A61" s="255">
        <v>57</v>
      </c>
      <c r="B61" s="421" t="s">
        <v>399</v>
      </c>
      <c r="C61" s="368">
        <v>40445</v>
      </c>
      <c r="D61" s="476" t="s">
        <v>414</v>
      </c>
      <c r="E61" s="377">
        <v>3</v>
      </c>
      <c r="F61" s="369">
        <v>1</v>
      </c>
      <c r="G61" s="377">
        <v>10</v>
      </c>
      <c r="H61" s="541">
        <v>1243</v>
      </c>
      <c r="I61" s="542">
        <v>198</v>
      </c>
      <c r="J61" s="542">
        <f>I61/F61</f>
        <v>198</v>
      </c>
      <c r="K61" s="543">
        <f>+H61/I61</f>
        <v>6.277777777777778</v>
      </c>
      <c r="L61" s="541">
        <v>23875</v>
      </c>
      <c r="M61" s="542">
        <v>2293</v>
      </c>
      <c r="N61" s="464">
        <f>+L61/M61</f>
        <v>10.412123855211513</v>
      </c>
      <c r="O61" s="108"/>
      <c r="P61" s="561"/>
    </row>
    <row r="62" spans="1:16" s="4" customFormat="1" ht="15">
      <c r="A62" s="255">
        <v>58</v>
      </c>
      <c r="B62" s="547" t="s">
        <v>137</v>
      </c>
      <c r="C62" s="368">
        <v>40389</v>
      </c>
      <c r="D62" s="453" t="s">
        <v>325</v>
      </c>
      <c r="E62" s="369">
        <v>139</v>
      </c>
      <c r="F62" s="369">
        <v>1</v>
      </c>
      <c r="G62" s="369">
        <v>20</v>
      </c>
      <c r="H62" s="374">
        <v>1190</v>
      </c>
      <c r="I62" s="375">
        <v>340</v>
      </c>
      <c r="J62" s="372">
        <f>I62/F62</f>
        <v>340</v>
      </c>
      <c r="K62" s="373">
        <f>H62/I62</f>
        <v>3.5</v>
      </c>
      <c r="L62" s="374">
        <v>11029227</v>
      </c>
      <c r="M62" s="375">
        <v>1100309</v>
      </c>
      <c r="N62" s="423">
        <f>+L62/M62</f>
        <v>10.023754236309982</v>
      </c>
      <c r="O62" s="108"/>
      <c r="P62" s="561"/>
    </row>
    <row r="63" spans="1:16" s="4" customFormat="1" ht="15">
      <c r="A63" s="255">
        <v>59</v>
      </c>
      <c r="B63" s="548" t="s">
        <v>487</v>
      </c>
      <c r="C63" s="384">
        <v>40284</v>
      </c>
      <c r="D63" s="454" t="s">
        <v>326</v>
      </c>
      <c r="E63" s="385">
        <v>14</v>
      </c>
      <c r="F63" s="385">
        <v>1</v>
      </c>
      <c r="G63" s="385">
        <v>21</v>
      </c>
      <c r="H63" s="390">
        <v>1188</v>
      </c>
      <c r="I63" s="391">
        <v>297</v>
      </c>
      <c r="J63" s="388">
        <f>(I63/F63)</f>
        <v>297</v>
      </c>
      <c r="K63" s="389">
        <f>H63/I63</f>
        <v>4</v>
      </c>
      <c r="L63" s="390">
        <f>45403.5+26416+19522+5885+5520+2576+2604+1325+840+957.5+196+2970+1095+960+1330+1159+1173+1901+475+2019.5+1188</f>
        <v>125515.5</v>
      </c>
      <c r="M63" s="391">
        <f>4053+2594+2599+732+962+495+470+215+146+347+28+743+229+194+270+236+188+475+119+505+297</f>
        <v>15897</v>
      </c>
      <c r="N63" s="424">
        <f>L63/M63</f>
        <v>7.895546329496131</v>
      </c>
      <c r="O63" s="108">
        <v>1</v>
      </c>
      <c r="P63" s="561"/>
    </row>
    <row r="64" spans="1:16" s="4" customFormat="1" ht="15">
      <c r="A64" s="257">
        <v>60</v>
      </c>
      <c r="B64" s="548" t="s">
        <v>320</v>
      </c>
      <c r="C64" s="384">
        <v>40193</v>
      </c>
      <c r="D64" s="454" t="s">
        <v>326</v>
      </c>
      <c r="E64" s="385">
        <v>17</v>
      </c>
      <c r="F64" s="385">
        <v>1</v>
      </c>
      <c r="G64" s="385">
        <v>16</v>
      </c>
      <c r="H64" s="390">
        <v>1188</v>
      </c>
      <c r="I64" s="391">
        <v>297</v>
      </c>
      <c r="J64" s="388">
        <f>(I64/F64)</f>
        <v>297</v>
      </c>
      <c r="K64" s="389">
        <f>H64/I64</f>
        <v>4</v>
      </c>
      <c r="L64" s="390">
        <f>1080+95415+33267.75+2666+272+903+421+2653+1780+747+58+1376+1549+190+3317+520.5+1188</f>
        <v>147403.25</v>
      </c>
      <c r="M64" s="391">
        <f>108+7515+2837+363+32+176+93+719+445+99+9+205+217+27+387+69+297</f>
        <v>13598</v>
      </c>
      <c r="N64" s="424">
        <f>L64/M64</f>
        <v>10.840068392410648</v>
      </c>
      <c r="O64" s="108"/>
      <c r="P64" s="561"/>
    </row>
    <row r="65" spans="1:16" s="4" customFormat="1" ht="15">
      <c r="A65" s="255">
        <v>61</v>
      </c>
      <c r="B65" s="421" t="s">
        <v>280</v>
      </c>
      <c r="C65" s="368">
        <v>40431</v>
      </c>
      <c r="D65" s="459" t="s">
        <v>339</v>
      </c>
      <c r="E65" s="377">
        <v>124</v>
      </c>
      <c r="F65" s="377">
        <v>1</v>
      </c>
      <c r="G65" s="377">
        <v>12</v>
      </c>
      <c r="H65" s="382">
        <v>1102</v>
      </c>
      <c r="I65" s="383">
        <v>170</v>
      </c>
      <c r="J65" s="380">
        <f>+I65/F65</f>
        <v>170</v>
      </c>
      <c r="K65" s="381">
        <f>+H65/I65</f>
        <v>6.482352941176471</v>
      </c>
      <c r="L65" s="382">
        <v>3688831</v>
      </c>
      <c r="M65" s="383">
        <v>331689</v>
      </c>
      <c r="N65" s="422">
        <f>+L65/M65</f>
        <v>11.121354642451212</v>
      </c>
      <c r="O65" s="108"/>
      <c r="P65" s="561"/>
    </row>
    <row r="66" spans="1:16" s="4" customFormat="1" ht="15">
      <c r="A66" s="255">
        <v>62</v>
      </c>
      <c r="B66" s="548" t="s">
        <v>281</v>
      </c>
      <c r="C66" s="384">
        <v>40430</v>
      </c>
      <c r="D66" s="454" t="s">
        <v>326</v>
      </c>
      <c r="E66" s="385">
        <v>57</v>
      </c>
      <c r="F66" s="385">
        <v>1</v>
      </c>
      <c r="G66" s="385">
        <v>15</v>
      </c>
      <c r="H66" s="390">
        <v>950.5</v>
      </c>
      <c r="I66" s="391">
        <v>237</v>
      </c>
      <c r="J66" s="388">
        <f>(I66/F66)</f>
        <v>237</v>
      </c>
      <c r="K66" s="389">
        <f>H66/I66</f>
        <v>4.010548523206751</v>
      </c>
      <c r="L66" s="390">
        <f>15818.5+150711.5+75138.5+33591.5+30249.5+17415.5+8294.5+10566+6016+6121.5+888.5+2484+322+4243.5+950.5</f>
        <v>362811.5</v>
      </c>
      <c r="M66" s="391">
        <f>1512+15643+7345+4634+4073+2646+1136+2027+1109+1483+117+572+47+1041+237</f>
        <v>43622</v>
      </c>
      <c r="N66" s="424">
        <f>L66/M66</f>
        <v>8.317167942781165</v>
      </c>
      <c r="O66" s="108"/>
      <c r="P66" s="561"/>
    </row>
    <row r="67" spans="1:16" s="4" customFormat="1" ht="15">
      <c r="A67" s="255">
        <v>63</v>
      </c>
      <c r="B67" s="549" t="s">
        <v>263</v>
      </c>
      <c r="C67" s="384">
        <v>40382</v>
      </c>
      <c r="D67" s="452" t="s">
        <v>324</v>
      </c>
      <c r="E67" s="385">
        <v>142</v>
      </c>
      <c r="F67" s="385">
        <v>2</v>
      </c>
      <c r="G67" s="385">
        <v>22</v>
      </c>
      <c r="H67" s="396">
        <v>901</v>
      </c>
      <c r="I67" s="394">
        <v>78</v>
      </c>
      <c r="J67" s="394">
        <f>I67/F67</f>
        <v>39</v>
      </c>
      <c r="K67" s="395">
        <f>+H67/I67</f>
        <v>11.551282051282051</v>
      </c>
      <c r="L67" s="396">
        <v>4900901</v>
      </c>
      <c r="M67" s="397">
        <v>438639</v>
      </c>
      <c r="N67" s="425">
        <f>+L67/M67</f>
        <v>11.172971395612338</v>
      </c>
      <c r="O67" s="108"/>
      <c r="P67" s="561"/>
    </row>
    <row r="68" spans="1:16" s="4" customFormat="1" ht="15">
      <c r="A68" s="257">
        <v>64</v>
      </c>
      <c r="B68" s="547" t="s">
        <v>488</v>
      </c>
      <c r="C68" s="368">
        <v>40249</v>
      </c>
      <c r="D68" s="453" t="s">
        <v>325</v>
      </c>
      <c r="E68" s="369">
        <v>26</v>
      </c>
      <c r="F68" s="369">
        <v>1</v>
      </c>
      <c r="G68" s="369">
        <v>15</v>
      </c>
      <c r="H68" s="374">
        <v>714</v>
      </c>
      <c r="I68" s="375">
        <v>204</v>
      </c>
      <c r="J68" s="372">
        <f>I68/F68</f>
        <v>204</v>
      </c>
      <c r="K68" s="373">
        <f>H68/I68</f>
        <v>3.5</v>
      </c>
      <c r="L68" s="374">
        <v>97808</v>
      </c>
      <c r="M68" s="375">
        <v>12141</v>
      </c>
      <c r="N68" s="423">
        <f>+L68/M68</f>
        <v>8.05600856601598</v>
      </c>
      <c r="O68" s="108">
        <v>1</v>
      </c>
      <c r="P68" s="561"/>
    </row>
    <row r="69" spans="1:16" s="4" customFormat="1" ht="15">
      <c r="A69" s="255">
        <v>65</v>
      </c>
      <c r="B69" s="548" t="s">
        <v>489</v>
      </c>
      <c r="C69" s="384">
        <v>40459</v>
      </c>
      <c r="D69" s="454" t="s">
        <v>326</v>
      </c>
      <c r="E69" s="385">
        <v>142</v>
      </c>
      <c r="F69" s="385">
        <v>2</v>
      </c>
      <c r="G69" s="385">
        <v>11</v>
      </c>
      <c r="H69" s="390">
        <v>648</v>
      </c>
      <c r="I69" s="391">
        <v>103</v>
      </c>
      <c r="J69" s="388">
        <f>(I69/F69)</f>
        <v>51.5</v>
      </c>
      <c r="K69" s="389">
        <f>H69/I69</f>
        <v>6.29126213592233</v>
      </c>
      <c r="L69" s="390">
        <f>569713+434829.5+295345.5+223420+26108+12415.5+5998+1904+1368+799+648</f>
        <v>1572548.5</v>
      </c>
      <c r="M69" s="391">
        <f>61050+47827+36467+29781+4601+2405+1000+284+287+123+103</f>
        <v>183928</v>
      </c>
      <c r="N69" s="424">
        <f>L69/M69</f>
        <v>8.54980481492758</v>
      </c>
      <c r="O69" s="108">
        <v>1</v>
      </c>
      <c r="P69" s="561"/>
    </row>
    <row r="70" spans="1:16" s="4" customFormat="1" ht="15">
      <c r="A70" s="255">
        <v>66</v>
      </c>
      <c r="B70" s="421" t="s">
        <v>319</v>
      </c>
      <c r="C70" s="368">
        <v>40480</v>
      </c>
      <c r="D70" s="459" t="s">
        <v>339</v>
      </c>
      <c r="E70" s="377">
        <v>1</v>
      </c>
      <c r="F70" s="377">
        <v>1</v>
      </c>
      <c r="G70" s="377">
        <v>6</v>
      </c>
      <c r="H70" s="382">
        <v>607</v>
      </c>
      <c r="I70" s="383">
        <v>87</v>
      </c>
      <c r="J70" s="380">
        <f>+I70/F70</f>
        <v>87</v>
      </c>
      <c r="K70" s="381">
        <f>+H70/I70</f>
        <v>6.977011494252873</v>
      </c>
      <c r="L70" s="382">
        <v>13703</v>
      </c>
      <c r="M70" s="383">
        <v>961</v>
      </c>
      <c r="N70" s="422">
        <f>+L70/M70</f>
        <v>14.25910509885536</v>
      </c>
      <c r="O70" s="108"/>
      <c r="P70" s="561"/>
    </row>
    <row r="71" spans="1:16" s="4" customFormat="1" ht="15">
      <c r="A71" s="255">
        <v>67</v>
      </c>
      <c r="B71" s="421" t="s">
        <v>406</v>
      </c>
      <c r="C71" s="368">
        <v>40459</v>
      </c>
      <c r="D71" s="459" t="s">
        <v>339</v>
      </c>
      <c r="E71" s="377">
        <v>50</v>
      </c>
      <c r="F71" s="377">
        <v>3</v>
      </c>
      <c r="G71" s="377">
        <v>11</v>
      </c>
      <c r="H71" s="382">
        <v>586</v>
      </c>
      <c r="I71" s="383">
        <v>92</v>
      </c>
      <c r="J71" s="380">
        <f>+I71/F71</f>
        <v>30.666666666666668</v>
      </c>
      <c r="K71" s="381">
        <f>+H71/I71</f>
        <v>6.369565217391305</v>
      </c>
      <c r="L71" s="382">
        <v>372089</v>
      </c>
      <c r="M71" s="383">
        <v>33633</v>
      </c>
      <c r="N71" s="422">
        <f>+L71/M71</f>
        <v>11.063211726578063</v>
      </c>
      <c r="O71" s="108"/>
      <c r="P71" s="561"/>
    </row>
    <row r="72" spans="1:16" s="4" customFormat="1" ht="15">
      <c r="A72" s="255">
        <v>68</v>
      </c>
      <c r="B72" s="552" t="s">
        <v>490</v>
      </c>
      <c r="C72" s="545">
        <v>40396</v>
      </c>
      <c r="D72" s="454" t="s">
        <v>326</v>
      </c>
      <c r="E72" s="546">
        <v>4</v>
      </c>
      <c r="F72" s="546">
        <v>1</v>
      </c>
      <c r="G72" s="546">
        <v>18</v>
      </c>
      <c r="H72" s="390">
        <v>381</v>
      </c>
      <c r="I72" s="391">
        <v>85</v>
      </c>
      <c r="J72" s="388">
        <f>(I72/F72)</f>
        <v>85</v>
      </c>
      <c r="K72" s="389">
        <f>H72/I72</f>
        <v>4.482352941176471</v>
      </c>
      <c r="L72" s="390">
        <f>14959+9646+7725+4386+3960+14571+6049+4818+2605+3811+4797+6372+2996+165+950.5+1598.5+276+381</f>
        <v>90066</v>
      </c>
      <c r="M72" s="391">
        <f>1646+1123+1125+547+522+2218+896+595+438+656+743+1047+452+23+148+219+42+85</f>
        <v>12525</v>
      </c>
      <c r="N72" s="424">
        <f>L72/M72</f>
        <v>7.190898203592814</v>
      </c>
      <c r="O72" s="108"/>
      <c r="P72" s="561"/>
    </row>
    <row r="73" spans="1:16" s="4" customFormat="1" ht="15">
      <c r="A73" s="255">
        <v>69</v>
      </c>
      <c r="B73" s="549" t="s">
        <v>4</v>
      </c>
      <c r="C73" s="384">
        <v>40508</v>
      </c>
      <c r="D73" s="452" t="s">
        <v>324</v>
      </c>
      <c r="E73" s="385">
        <v>11</v>
      </c>
      <c r="F73" s="385">
        <v>1</v>
      </c>
      <c r="G73" s="385">
        <v>4</v>
      </c>
      <c r="H73" s="396">
        <v>319</v>
      </c>
      <c r="I73" s="394">
        <v>38</v>
      </c>
      <c r="J73" s="394">
        <f>I73/F73</f>
        <v>38</v>
      </c>
      <c r="K73" s="395">
        <f>+H73/I73</f>
        <v>8.394736842105264</v>
      </c>
      <c r="L73" s="396">
        <v>103802</v>
      </c>
      <c r="M73" s="397">
        <v>8018</v>
      </c>
      <c r="N73" s="425">
        <f>+L73/M73</f>
        <v>12.946121227238713</v>
      </c>
      <c r="O73" s="108"/>
      <c r="P73" s="561"/>
    </row>
    <row r="74" spans="1:16" s="4" customFormat="1" ht="15">
      <c r="A74" s="257">
        <v>70</v>
      </c>
      <c r="B74" s="548" t="s">
        <v>421</v>
      </c>
      <c r="C74" s="384">
        <v>40417</v>
      </c>
      <c r="D74" s="454" t="s">
        <v>326</v>
      </c>
      <c r="E74" s="385">
        <v>25</v>
      </c>
      <c r="F74" s="385">
        <v>1</v>
      </c>
      <c r="G74" s="385">
        <v>13</v>
      </c>
      <c r="H74" s="390">
        <v>292.5</v>
      </c>
      <c r="I74" s="391">
        <v>45</v>
      </c>
      <c r="J74" s="388">
        <f>(I74/F74)</f>
        <v>45</v>
      </c>
      <c r="K74" s="389">
        <f>H74/I74</f>
        <v>6.5</v>
      </c>
      <c r="L74" s="390">
        <f>87475.5+57473+42134+23624+14854.5+21662+13363.5+5246+6057+2099+300.5+763+292.5</f>
        <v>275344.5</v>
      </c>
      <c r="M74" s="391">
        <f>7817+5228+5394+3109+2109+2845+2026+770+762+416+44+111+45</f>
        <v>30676</v>
      </c>
      <c r="N74" s="424">
        <f>L74/M74</f>
        <v>8.975893206415439</v>
      </c>
      <c r="O74" s="108"/>
      <c r="P74" s="561"/>
    </row>
    <row r="75" spans="1:16" s="4" customFormat="1" ht="15">
      <c r="A75" s="255">
        <v>71</v>
      </c>
      <c r="B75" s="547" t="s">
        <v>292</v>
      </c>
      <c r="C75" s="368">
        <v>40207</v>
      </c>
      <c r="D75" s="453" t="s">
        <v>449</v>
      </c>
      <c r="E75" s="369">
        <v>47</v>
      </c>
      <c r="F75" s="369">
        <v>1</v>
      </c>
      <c r="G75" s="369">
        <v>38</v>
      </c>
      <c r="H75" s="404">
        <v>283.5</v>
      </c>
      <c r="I75" s="538">
        <v>44</v>
      </c>
      <c r="J75" s="380">
        <f>IF(H75&lt;&gt;0,I75/F75,"")</f>
        <v>44</v>
      </c>
      <c r="K75" s="381">
        <f>IF(H75&lt;&gt;0,H75/I75,"")</f>
        <v>6.443181818181818</v>
      </c>
      <c r="L75" s="404">
        <f>1873890.5+5542+564+70+558+190+292+283.5</f>
        <v>1881390</v>
      </c>
      <c r="M75" s="394">
        <f>160830+1202+112+10+80+27+42+44</f>
        <v>162347</v>
      </c>
      <c r="N75" s="422">
        <f>IF(L75&lt;&gt;0,L75/M75,"")</f>
        <v>11.588695818216536</v>
      </c>
      <c r="O75" s="108"/>
      <c r="P75" s="561"/>
    </row>
    <row r="76" spans="1:16" s="4" customFormat="1" ht="15">
      <c r="A76" s="255">
        <v>72</v>
      </c>
      <c r="B76" s="551" t="s">
        <v>288</v>
      </c>
      <c r="C76" s="457">
        <v>40263</v>
      </c>
      <c r="D76" s="458" t="s">
        <v>328</v>
      </c>
      <c r="E76" s="479">
        <v>10</v>
      </c>
      <c r="F76" s="479">
        <v>1</v>
      </c>
      <c r="G76" s="479">
        <v>12</v>
      </c>
      <c r="H76" s="482">
        <v>197</v>
      </c>
      <c r="I76" s="481">
        <v>32</v>
      </c>
      <c r="J76" s="481">
        <v>32</v>
      </c>
      <c r="K76" s="483">
        <v>6.15625</v>
      </c>
      <c r="L76" s="482">
        <v>59185</v>
      </c>
      <c r="M76" s="481">
        <v>5600</v>
      </c>
      <c r="N76" s="511">
        <v>10.56875</v>
      </c>
      <c r="O76" s="108"/>
      <c r="P76" s="561"/>
    </row>
    <row r="77" spans="1:16" s="4" customFormat="1" ht="15">
      <c r="A77" s="255">
        <v>73</v>
      </c>
      <c r="B77" s="549" t="s">
        <v>34</v>
      </c>
      <c r="C77" s="384">
        <v>40375</v>
      </c>
      <c r="D77" s="452" t="s">
        <v>324</v>
      </c>
      <c r="E77" s="385">
        <v>130</v>
      </c>
      <c r="F77" s="385">
        <v>1</v>
      </c>
      <c r="G77" s="385">
        <v>23</v>
      </c>
      <c r="H77" s="396">
        <v>134</v>
      </c>
      <c r="I77" s="394">
        <v>29</v>
      </c>
      <c r="J77" s="394">
        <f>I77/F77</f>
        <v>29</v>
      </c>
      <c r="K77" s="395">
        <f>+H77/I77</f>
        <v>4.620689655172414</v>
      </c>
      <c r="L77" s="396">
        <v>2780113</v>
      </c>
      <c r="M77" s="397">
        <v>314162</v>
      </c>
      <c r="N77" s="425">
        <f>+L77/M77</f>
        <v>8.84929749619623</v>
      </c>
      <c r="O77" s="108"/>
      <c r="P77" s="561"/>
    </row>
    <row r="78" spans="1:16" s="4" customFormat="1" ht="15">
      <c r="A78" s="257">
        <v>74</v>
      </c>
      <c r="B78" s="548" t="s">
        <v>491</v>
      </c>
      <c r="C78" s="384">
        <v>40466</v>
      </c>
      <c r="D78" s="454" t="s">
        <v>337</v>
      </c>
      <c r="E78" s="385">
        <v>22</v>
      </c>
      <c r="F78" s="385">
        <v>1</v>
      </c>
      <c r="G78" s="385">
        <v>10</v>
      </c>
      <c r="H78" s="396">
        <v>113</v>
      </c>
      <c r="I78" s="394">
        <v>17</v>
      </c>
      <c r="J78" s="477">
        <f>I78/F78</f>
        <v>17</v>
      </c>
      <c r="K78" s="478">
        <f>H78/I78</f>
        <v>6.647058823529412</v>
      </c>
      <c r="L78" s="396">
        <f>75899.5+52129.5+37227.5+14454+10905+6815+10220.5+4115+4193+1577.5+113</f>
        <v>217649.5</v>
      </c>
      <c r="M78" s="394">
        <f>7028+5164+3832+1471+1190+1095+1727+519+460+216+17</f>
        <v>22719</v>
      </c>
      <c r="N78" s="466">
        <f>+L78/M78</f>
        <v>9.58006514371231</v>
      </c>
      <c r="O78" s="108">
        <v>1</v>
      </c>
      <c r="P78" s="561"/>
    </row>
    <row r="79" spans="1:16" s="4" customFormat="1" ht="15.75" thickBot="1">
      <c r="A79" s="255">
        <v>75</v>
      </c>
      <c r="B79" s="553" t="s">
        <v>430</v>
      </c>
      <c r="C79" s="554">
        <v>40123</v>
      </c>
      <c r="D79" s="555" t="s">
        <v>328</v>
      </c>
      <c r="E79" s="556">
        <v>25</v>
      </c>
      <c r="F79" s="556">
        <v>1</v>
      </c>
      <c r="G79" s="556">
        <v>11</v>
      </c>
      <c r="H79" s="557">
        <v>48</v>
      </c>
      <c r="I79" s="558">
        <v>8</v>
      </c>
      <c r="J79" s="558">
        <v>8</v>
      </c>
      <c r="K79" s="559">
        <v>6</v>
      </c>
      <c r="L79" s="557">
        <v>272886</v>
      </c>
      <c r="M79" s="558">
        <v>22559</v>
      </c>
      <c r="N79" s="560">
        <v>12.096546832749679</v>
      </c>
      <c r="O79" s="108"/>
      <c r="P79" s="561"/>
    </row>
    <row r="80" spans="1:16" s="4" customFormat="1" ht="15">
      <c r="A80" s="650"/>
      <c r="B80" s="651"/>
      <c r="C80" s="6"/>
      <c r="D80" s="7"/>
      <c r="E80" s="21"/>
      <c r="F80" s="22"/>
      <c r="G80" s="21"/>
      <c r="H80" s="9"/>
      <c r="I80" s="10"/>
      <c r="J80" s="13"/>
      <c r="K80" s="14"/>
      <c r="L80" s="15"/>
      <c r="M80" s="16"/>
      <c r="N80" s="70"/>
      <c r="O80" s="75"/>
      <c r="P80" s="563"/>
    </row>
    <row r="81" spans="1:16" s="4" customFormat="1" ht="13.5">
      <c r="A81" s="93"/>
      <c r="B81" s="33"/>
      <c r="C81" s="34"/>
      <c r="D81" s="35"/>
      <c r="E81" s="36"/>
      <c r="F81" s="36"/>
      <c r="G81" s="36"/>
      <c r="H81" s="37"/>
      <c r="I81" s="38"/>
      <c r="J81" s="39"/>
      <c r="K81" s="40"/>
      <c r="L81" s="41"/>
      <c r="M81" s="42"/>
      <c r="N81" s="40"/>
      <c r="O81" s="75"/>
      <c r="P81" s="563"/>
    </row>
    <row r="82" spans="1:52" s="291" customFormat="1" ht="21.75" customHeight="1">
      <c r="A82" s="647" t="s">
        <v>14</v>
      </c>
      <c r="B82" s="648"/>
      <c r="C82" s="648"/>
      <c r="D82" s="648"/>
      <c r="E82" s="648"/>
      <c r="F82" s="648"/>
      <c r="G82" s="648"/>
      <c r="H82" s="648"/>
      <c r="I82" s="648"/>
      <c r="J82" s="648"/>
      <c r="K82" s="648"/>
      <c r="L82" s="648"/>
      <c r="M82" s="648"/>
      <c r="N82" s="648"/>
      <c r="O82" s="426"/>
      <c r="P82" s="564"/>
      <c r="Q82" s="296"/>
      <c r="R82" s="296"/>
      <c r="S82" s="296"/>
      <c r="T82" s="296"/>
      <c r="U82" s="296"/>
      <c r="V82" s="296"/>
      <c r="W82" s="317"/>
      <c r="X82" s="318"/>
      <c r="Y82" s="318"/>
      <c r="Z82" s="318"/>
      <c r="AA82" s="318"/>
      <c r="AB82" s="318"/>
      <c r="AC82" s="318"/>
      <c r="AD82" s="318"/>
      <c r="AE82" s="318"/>
      <c r="AF82" s="318"/>
      <c r="AG82" s="318"/>
      <c r="AH82" s="318"/>
      <c r="AI82" s="318"/>
      <c r="AJ82" s="318"/>
      <c r="AK82" s="318"/>
      <c r="AL82" s="318"/>
      <c r="AM82" s="318"/>
      <c r="AN82" s="318"/>
      <c r="AO82" s="318"/>
      <c r="AP82" s="318"/>
      <c r="AQ82" s="318"/>
      <c r="AR82" s="318"/>
      <c r="AS82" s="318"/>
      <c r="AT82" s="318"/>
      <c r="AU82" s="318"/>
      <c r="AV82" s="318"/>
      <c r="AW82" s="318"/>
      <c r="AX82" s="318"/>
      <c r="AY82" s="318"/>
      <c r="AZ82" s="314"/>
    </row>
    <row r="83" spans="1:256" s="291" customFormat="1" ht="18" customHeight="1">
      <c r="A83" s="647" t="s">
        <v>16</v>
      </c>
      <c r="B83" s="648"/>
      <c r="C83" s="648"/>
      <c r="D83" s="648"/>
      <c r="E83" s="648"/>
      <c r="F83" s="648"/>
      <c r="G83" s="648"/>
      <c r="H83" s="648"/>
      <c r="I83" s="648"/>
      <c r="J83" s="648"/>
      <c r="K83" s="648"/>
      <c r="L83" s="648"/>
      <c r="M83" s="648"/>
      <c r="N83" s="648"/>
      <c r="O83" s="426"/>
      <c r="P83" s="564"/>
      <c r="Q83" s="296"/>
      <c r="R83" s="296"/>
      <c r="S83" s="296"/>
      <c r="T83" s="296"/>
      <c r="U83" s="296"/>
      <c r="V83" s="296"/>
      <c r="W83" s="319"/>
      <c r="X83" s="320"/>
      <c r="Y83" s="320"/>
      <c r="Z83" s="320"/>
      <c r="AA83" s="320"/>
      <c r="AB83" s="320"/>
      <c r="AC83" s="320"/>
      <c r="AD83" s="320"/>
      <c r="AE83" s="320"/>
      <c r="AF83" s="320"/>
      <c r="AG83" s="320"/>
      <c r="AH83" s="320"/>
      <c r="AI83" s="320"/>
      <c r="AJ83" s="320"/>
      <c r="AK83" s="320"/>
      <c r="AL83" s="320"/>
      <c r="AM83" s="320"/>
      <c r="AN83" s="320"/>
      <c r="AO83" s="320"/>
      <c r="AP83" s="320"/>
      <c r="AQ83" s="320"/>
      <c r="AR83" s="320"/>
      <c r="AS83" s="319"/>
      <c r="AT83" s="320"/>
      <c r="AU83" s="320"/>
      <c r="AV83" s="320"/>
      <c r="AW83" s="320"/>
      <c r="AX83" s="320"/>
      <c r="AY83" s="320"/>
      <c r="AZ83" s="315"/>
      <c r="BA83" s="293"/>
      <c r="BB83" s="293"/>
      <c r="BC83" s="293"/>
      <c r="BD83" s="293"/>
      <c r="BE83" s="293"/>
      <c r="BF83" s="293"/>
      <c r="BG83" s="293"/>
      <c r="BH83" s="293"/>
      <c r="BI83" s="293"/>
      <c r="BJ83" s="293"/>
      <c r="BK83" s="293"/>
      <c r="BL83" s="293"/>
      <c r="BM83" s="293"/>
      <c r="BN83" s="293"/>
      <c r="BO83" s="292"/>
      <c r="BP83" s="293"/>
      <c r="BQ83" s="293"/>
      <c r="BR83" s="293"/>
      <c r="BS83" s="293"/>
      <c r="BT83" s="293"/>
      <c r="BU83" s="293"/>
      <c r="BV83" s="293"/>
      <c r="BW83" s="293"/>
      <c r="BX83" s="293"/>
      <c r="BY83" s="293"/>
      <c r="BZ83" s="293"/>
      <c r="CA83" s="293"/>
      <c r="CB83" s="293"/>
      <c r="CC83" s="293"/>
      <c r="CD83" s="293"/>
      <c r="CE83" s="293"/>
      <c r="CF83" s="293"/>
      <c r="CG83" s="293"/>
      <c r="CH83" s="293"/>
      <c r="CI83" s="293"/>
      <c r="CJ83" s="293"/>
      <c r="CK83" s="292"/>
      <c r="CL83" s="293"/>
      <c r="CM83" s="293"/>
      <c r="CN83" s="293"/>
      <c r="CO83" s="293"/>
      <c r="CP83" s="293"/>
      <c r="CQ83" s="293"/>
      <c r="CR83" s="293"/>
      <c r="CS83" s="293"/>
      <c r="CT83" s="293"/>
      <c r="CU83" s="293"/>
      <c r="CV83" s="293"/>
      <c r="CW83" s="293"/>
      <c r="CX83" s="293"/>
      <c r="CY83" s="293"/>
      <c r="CZ83" s="293"/>
      <c r="DA83" s="293"/>
      <c r="DB83" s="293"/>
      <c r="DC83" s="293"/>
      <c r="DD83" s="293"/>
      <c r="DE83" s="293"/>
      <c r="DF83" s="293"/>
      <c r="DG83" s="292"/>
      <c r="DH83" s="293"/>
      <c r="DI83" s="293"/>
      <c r="DJ83" s="293"/>
      <c r="DK83" s="293"/>
      <c r="DL83" s="293"/>
      <c r="DM83" s="293"/>
      <c r="DN83" s="293"/>
      <c r="DO83" s="293"/>
      <c r="DP83" s="293"/>
      <c r="DQ83" s="293"/>
      <c r="DR83" s="293"/>
      <c r="DS83" s="293"/>
      <c r="DT83" s="293"/>
      <c r="DU83" s="293"/>
      <c r="DV83" s="293"/>
      <c r="DW83" s="293"/>
      <c r="DX83" s="293"/>
      <c r="DY83" s="293"/>
      <c r="DZ83" s="293"/>
      <c r="EA83" s="293"/>
      <c r="EB83" s="293"/>
      <c r="EC83" s="292"/>
      <c r="ED83" s="293"/>
      <c r="EE83" s="293"/>
      <c r="EF83" s="293"/>
      <c r="EG83" s="293"/>
      <c r="EH83" s="293"/>
      <c r="EI83" s="293"/>
      <c r="EJ83" s="293"/>
      <c r="EK83" s="293"/>
      <c r="EL83" s="293"/>
      <c r="EM83" s="293"/>
      <c r="EN83" s="293"/>
      <c r="EO83" s="293"/>
      <c r="EP83" s="293"/>
      <c r="EQ83" s="293"/>
      <c r="ER83" s="293"/>
      <c r="ES83" s="293"/>
      <c r="ET83" s="293"/>
      <c r="EU83" s="293"/>
      <c r="EV83" s="293"/>
      <c r="EW83" s="293"/>
      <c r="EX83" s="293"/>
      <c r="EY83" s="292"/>
      <c r="EZ83" s="293"/>
      <c r="FA83" s="293"/>
      <c r="FB83" s="293"/>
      <c r="FC83" s="293"/>
      <c r="FD83" s="293"/>
      <c r="FE83" s="293"/>
      <c r="FF83" s="293"/>
      <c r="FG83" s="293"/>
      <c r="FH83" s="293"/>
      <c r="FI83" s="293"/>
      <c r="FJ83" s="293"/>
      <c r="FK83" s="293"/>
      <c r="FL83" s="293"/>
      <c r="FM83" s="293"/>
      <c r="FN83" s="293"/>
      <c r="FO83" s="293"/>
      <c r="FP83" s="293"/>
      <c r="FQ83" s="293"/>
      <c r="FR83" s="293"/>
      <c r="FS83" s="293"/>
      <c r="FT83" s="293"/>
      <c r="FU83" s="292"/>
      <c r="FV83" s="293"/>
      <c r="FW83" s="293"/>
      <c r="FX83" s="293"/>
      <c r="FY83" s="293"/>
      <c r="FZ83" s="293"/>
      <c r="GA83" s="293"/>
      <c r="GB83" s="293"/>
      <c r="GC83" s="293"/>
      <c r="GD83" s="293"/>
      <c r="GE83" s="293"/>
      <c r="GF83" s="293"/>
      <c r="GG83" s="293"/>
      <c r="GH83" s="293"/>
      <c r="GI83" s="293"/>
      <c r="GJ83" s="293"/>
      <c r="GK83" s="293"/>
      <c r="GL83" s="293"/>
      <c r="GM83" s="293"/>
      <c r="GN83" s="293"/>
      <c r="GO83" s="293"/>
      <c r="GP83" s="293"/>
      <c r="GQ83" s="292"/>
      <c r="GR83" s="293"/>
      <c r="GS83" s="293"/>
      <c r="GT83" s="293"/>
      <c r="GU83" s="293"/>
      <c r="GV83" s="293"/>
      <c r="GW83" s="293"/>
      <c r="GX83" s="293"/>
      <c r="GY83" s="293"/>
      <c r="GZ83" s="293"/>
      <c r="HA83" s="293"/>
      <c r="HB83" s="293"/>
      <c r="HC83" s="293"/>
      <c r="HD83" s="293"/>
      <c r="HE83" s="293"/>
      <c r="HF83" s="293"/>
      <c r="HG83" s="293"/>
      <c r="HH83" s="293"/>
      <c r="HI83" s="293"/>
      <c r="HJ83" s="293"/>
      <c r="HK83" s="293"/>
      <c r="HL83" s="293"/>
      <c r="HM83" s="292"/>
      <c r="HN83" s="293"/>
      <c r="HO83" s="293"/>
      <c r="HP83" s="293"/>
      <c r="HQ83" s="293"/>
      <c r="HR83" s="293"/>
      <c r="HS83" s="293"/>
      <c r="HT83" s="293"/>
      <c r="HU83" s="293"/>
      <c r="HV83" s="293"/>
      <c r="HW83" s="293"/>
      <c r="HX83" s="293"/>
      <c r="HY83" s="293"/>
      <c r="HZ83" s="293"/>
      <c r="IA83" s="293"/>
      <c r="IB83" s="293"/>
      <c r="IC83" s="293"/>
      <c r="ID83" s="293"/>
      <c r="IE83" s="293"/>
      <c r="IF83" s="293"/>
      <c r="IG83" s="293"/>
      <c r="IH83" s="293"/>
      <c r="II83" s="292"/>
      <c r="IJ83" s="293"/>
      <c r="IK83" s="293"/>
      <c r="IL83" s="293"/>
      <c r="IM83" s="293"/>
      <c r="IN83" s="293"/>
      <c r="IO83" s="293"/>
      <c r="IP83" s="293"/>
      <c r="IQ83" s="293"/>
      <c r="IR83" s="293"/>
      <c r="IS83" s="293"/>
      <c r="IT83" s="293"/>
      <c r="IU83" s="293"/>
      <c r="IV83" s="293"/>
    </row>
    <row r="84" spans="1:256" s="291" customFormat="1" ht="18" customHeight="1">
      <c r="A84" s="648"/>
      <c r="B84" s="648"/>
      <c r="C84" s="648"/>
      <c r="D84" s="648"/>
      <c r="E84" s="648"/>
      <c r="F84" s="648"/>
      <c r="G84" s="648"/>
      <c r="H84" s="648"/>
      <c r="I84" s="648"/>
      <c r="J84" s="648"/>
      <c r="K84" s="648"/>
      <c r="L84" s="648"/>
      <c r="M84" s="648"/>
      <c r="N84" s="648"/>
      <c r="O84" s="426"/>
      <c r="P84" s="564"/>
      <c r="Q84" s="296"/>
      <c r="R84" s="296"/>
      <c r="S84" s="296"/>
      <c r="T84" s="296"/>
      <c r="U84" s="296"/>
      <c r="V84" s="296"/>
      <c r="W84" s="319"/>
      <c r="X84" s="320"/>
      <c r="Y84" s="320"/>
      <c r="Z84" s="320"/>
      <c r="AA84" s="320"/>
      <c r="AB84" s="320"/>
      <c r="AC84" s="320"/>
      <c r="AD84" s="320"/>
      <c r="AE84" s="320"/>
      <c r="AF84" s="320"/>
      <c r="AG84" s="320"/>
      <c r="AH84" s="320"/>
      <c r="AI84" s="320"/>
      <c r="AJ84" s="320"/>
      <c r="AK84" s="320"/>
      <c r="AL84" s="320"/>
      <c r="AM84" s="320"/>
      <c r="AN84" s="320"/>
      <c r="AO84" s="320"/>
      <c r="AP84" s="320"/>
      <c r="AQ84" s="320"/>
      <c r="AR84" s="320"/>
      <c r="AS84" s="319"/>
      <c r="AT84" s="320"/>
      <c r="AU84" s="320"/>
      <c r="AV84" s="320"/>
      <c r="AW84" s="320"/>
      <c r="AX84" s="320"/>
      <c r="AY84" s="320"/>
      <c r="AZ84" s="315"/>
      <c r="BA84" s="293"/>
      <c r="BB84" s="293"/>
      <c r="BC84" s="293"/>
      <c r="BD84" s="293"/>
      <c r="BE84" s="293"/>
      <c r="BF84" s="293"/>
      <c r="BG84" s="293"/>
      <c r="BH84" s="293"/>
      <c r="BI84" s="293"/>
      <c r="BJ84" s="293"/>
      <c r="BK84" s="293"/>
      <c r="BL84" s="293"/>
      <c r="BM84" s="293"/>
      <c r="BN84" s="293"/>
      <c r="BO84" s="292"/>
      <c r="BP84" s="293"/>
      <c r="BQ84" s="293"/>
      <c r="BR84" s="293"/>
      <c r="BS84" s="293"/>
      <c r="BT84" s="293"/>
      <c r="BU84" s="293"/>
      <c r="BV84" s="293"/>
      <c r="BW84" s="293"/>
      <c r="BX84" s="293"/>
      <c r="BY84" s="293"/>
      <c r="BZ84" s="293"/>
      <c r="CA84" s="293"/>
      <c r="CB84" s="293"/>
      <c r="CC84" s="293"/>
      <c r="CD84" s="293"/>
      <c r="CE84" s="293"/>
      <c r="CF84" s="293"/>
      <c r="CG84" s="293"/>
      <c r="CH84" s="293"/>
      <c r="CI84" s="293"/>
      <c r="CJ84" s="293"/>
      <c r="CK84" s="292"/>
      <c r="CL84" s="293"/>
      <c r="CM84" s="293"/>
      <c r="CN84" s="293"/>
      <c r="CO84" s="293"/>
      <c r="CP84" s="293"/>
      <c r="CQ84" s="293"/>
      <c r="CR84" s="293"/>
      <c r="CS84" s="293"/>
      <c r="CT84" s="293"/>
      <c r="CU84" s="293"/>
      <c r="CV84" s="293"/>
      <c r="CW84" s="293"/>
      <c r="CX84" s="293"/>
      <c r="CY84" s="293"/>
      <c r="CZ84" s="293"/>
      <c r="DA84" s="293"/>
      <c r="DB84" s="293"/>
      <c r="DC84" s="293"/>
      <c r="DD84" s="293"/>
      <c r="DE84" s="293"/>
      <c r="DF84" s="293"/>
      <c r="DG84" s="292"/>
      <c r="DH84" s="293"/>
      <c r="DI84" s="293"/>
      <c r="DJ84" s="293"/>
      <c r="DK84" s="293"/>
      <c r="DL84" s="293"/>
      <c r="DM84" s="293"/>
      <c r="DN84" s="293"/>
      <c r="DO84" s="293"/>
      <c r="DP84" s="293"/>
      <c r="DQ84" s="293"/>
      <c r="DR84" s="293"/>
      <c r="DS84" s="293"/>
      <c r="DT84" s="293"/>
      <c r="DU84" s="293"/>
      <c r="DV84" s="293"/>
      <c r="DW84" s="293"/>
      <c r="DX84" s="293"/>
      <c r="DY84" s="293"/>
      <c r="DZ84" s="293"/>
      <c r="EA84" s="293"/>
      <c r="EB84" s="293"/>
      <c r="EC84" s="292"/>
      <c r="ED84" s="293"/>
      <c r="EE84" s="293"/>
      <c r="EF84" s="293"/>
      <c r="EG84" s="293"/>
      <c r="EH84" s="293"/>
      <c r="EI84" s="293"/>
      <c r="EJ84" s="293"/>
      <c r="EK84" s="293"/>
      <c r="EL84" s="293"/>
      <c r="EM84" s="293"/>
      <c r="EN84" s="293"/>
      <c r="EO84" s="293"/>
      <c r="EP84" s="293"/>
      <c r="EQ84" s="293"/>
      <c r="ER84" s="293"/>
      <c r="ES84" s="293"/>
      <c r="ET84" s="293"/>
      <c r="EU84" s="293"/>
      <c r="EV84" s="293"/>
      <c r="EW84" s="293"/>
      <c r="EX84" s="293"/>
      <c r="EY84" s="292"/>
      <c r="EZ84" s="293"/>
      <c r="FA84" s="293"/>
      <c r="FB84" s="293"/>
      <c r="FC84" s="293"/>
      <c r="FD84" s="293"/>
      <c r="FE84" s="293"/>
      <c r="FF84" s="293"/>
      <c r="FG84" s="293"/>
      <c r="FH84" s="293"/>
      <c r="FI84" s="293"/>
      <c r="FJ84" s="293"/>
      <c r="FK84" s="293"/>
      <c r="FL84" s="293"/>
      <c r="FM84" s="293"/>
      <c r="FN84" s="293"/>
      <c r="FO84" s="293"/>
      <c r="FP84" s="293"/>
      <c r="FQ84" s="293"/>
      <c r="FR84" s="293"/>
      <c r="FS84" s="293"/>
      <c r="FT84" s="293"/>
      <c r="FU84" s="292"/>
      <c r="FV84" s="293"/>
      <c r="FW84" s="293"/>
      <c r="FX84" s="293"/>
      <c r="FY84" s="293"/>
      <c r="FZ84" s="293"/>
      <c r="GA84" s="293"/>
      <c r="GB84" s="293"/>
      <c r="GC84" s="293"/>
      <c r="GD84" s="293"/>
      <c r="GE84" s="293"/>
      <c r="GF84" s="293"/>
      <c r="GG84" s="293"/>
      <c r="GH84" s="293"/>
      <c r="GI84" s="293"/>
      <c r="GJ84" s="293"/>
      <c r="GK84" s="293"/>
      <c r="GL84" s="293"/>
      <c r="GM84" s="293"/>
      <c r="GN84" s="293"/>
      <c r="GO84" s="293"/>
      <c r="GP84" s="293"/>
      <c r="GQ84" s="292"/>
      <c r="GR84" s="293"/>
      <c r="GS84" s="293"/>
      <c r="GT84" s="293"/>
      <c r="GU84" s="293"/>
      <c r="GV84" s="293"/>
      <c r="GW84" s="293"/>
      <c r="GX84" s="293"/>
      <c r="GY84" s="293"/>
      <c r="GZ84" s="293"/>
      <c r="HA84" s="293"/>
      <c r="HB84" s="293"/>
      <c r="HC84" s="293"/>
      <c r="HD84" s="293"/>
      <c r="HE84" s="293"/>
      <c r="HF84" s="293"/>
      <c r="HG84" s="293"/>
      <c r="HH84" s="293"/>
      <c r="HI84" s="293"/>
      <c r="HJ84" s="293"/>
      <c r="HK84" s="293"/>
      <c r="HL84" s="293"/>
      <c r="HM84" s="292"/>
      <c r="HN84" s="293"/>
      <c r="HO84" s="293"/>
      <c r="HP84" s="293"/>
      <c r="HQ84" s="293"/>
      <c r="HR84" s="293"/>
      <c r="HS84" s="293"/>
      <c r="HT84" s="293"/>
      <c r="HU84" s="293"/>
      <c r="HV84" s="293"/>
      <c r="HW84" s="293"/>
      <c r="HX84" s="293"/>
      <c r="HY84" s="293"/>
      <c r="HZ84" s="293"/>
      <c r="IA84" s="293"/>
      <c r="IB84" s="293"/>
      <c r="IC84" s="293"/>
      <c r="ID84" s="293"/>
      <c r="IE84" s="293"/>
      <c r="IF84" s="293"/>
      <c r="IG84" s="293"/>
      <c r="IH84" s="293"/>
      <c r="II84" s="292"/>
      <c r="IJ84" s="293"/>
      <c r="IK84" s="293"/>
      <c r="IL84" s="293"/>
      <c r="IM84" s="293"/>
      <c r="IN84" s="293"/>
      <c r="IO84" s="293"/>
      <c r="IP84" s="293"/>
      <c r="IQ84" s="293"/>
      <c r="IR84" s="293"/>
      <c r="IS84" s="293"/>
      <c r="IT84" s="293"/>
      <c r="IU84" s="293"/>
      <c r="IV84" s="293"/>
    </row>
    <row r="85" spans="1:256" s="291" customFormat="1" ht="18" customHeight="1">
      <c r="A85" s="648"/>
      <c r="B85" s="648"/>
      <c r="C85" s="648"/>
      <c r="D85" s="648"/>
      <c r="E85" s="648"/>
      <c r="F85" s="648"/>
      <c r="G85" s="648"/>
      <c r="H85" s="648"/>
      <c r="I85" s="648"/>
      <c r="J85" s="648"/>
      <c r="K85" s="648"/>
      <c r="L85" s="648"/>
      <c r="M85" s="648"/>
      <c r="N85" s="648"/>
      <c r="O85" s="426"/>
      <c r="P85" s="564"/>
      <c r="Q85" s="296"/>
      <c r="R85" s="296"/>
      <c r="S85" s="296"/>
      <c r="T85" s="296"/>
      <c r="U85" s="296"/>
      <c r="V85" s="296"/>
      <c r="W85" s="319"/>
      <c r="X85" s="320"/>
      <c r="Y85" s="320"/>
      <c r="Z85" s="320"/>
      <c r="AA85" s="320"/>
      <c r="AB85" s="320"/>
      <c r="AC85" s="320"/>
      <c r="AD85" s="320"/>
      <c r="AE85" s="320"/>
      <c r="AF85" s="320"/>
      <c r="AG85" s="320"/>
      <c r="AH85" s="320"/>
      <c r="AI85" s="320"/>
      <c r="AJ85" s="320"/>
      <c r="AK85" s="320"/>
      <c r="AL85" s="320"/>
      <c r="AM85" s="320"/>
      <c r="AN85" s="320"/>
      <c r="AO85" s="320"/>
      <c r="AP85" s="320"/>
      <c r="AQ85" s="320"/>
      <c r="AR85" s="320"/>
      <c r="AS85" s="319"/>
      <c r="AT85" s="320"/>
      <c r="AU85" s="320"/>
      <c r="AV85" s="320"/>
      <c r="AW85" s="320"/>
      <c r="AX85" s="320"/>
      <c r="AY85" s="320"/>
      <c r="AZ85" s="315"/>
      <c r="BA85" s="293"/>
      <c r="BB85" s="293"/>
      <c r="BC85" s="293"/>
      <c r="BD85" s="293"/>
      <c r="BE85" s="293"/>
      <c r="BF85" s="293"/>
      <c r="BG85" s="293"/>
      <c r="BH85" s="293"/>
      <c r="BI85" s="293"/>
      <c r="BJ85" s="293"/>
      <c r="BK85" s="293"/>
      <c r="BL85" s="293"/>
      <c r="BM85" s="293"/>
      <c r="BN85" s="293"/>
      <c r="BO85" s="292"/>
      <c r="BP85" s="293"/>
      <c r="BQ85" s="293"/>
      <c r="BR85" s="293"/>
      <c r="BS85" s="293"/>
      <c r="BT85" s="293"/>
      <c r="BU85" s="293"/>
      <c r="BV85" s="293"/>
      <c r="BW85" s="293"/>
      <c r="BX85" s="293"/>
      <c r="BY85" s="293"/>
      <c r="BZ85" s="293"/>
      <c r="CA85" s="293"/>
      <c r="CB85" s="293"/>
      <c r="CC85" s="293"/>
      <c r="CD85" s="293"/>
      <c r="CE85" s="293"/>
      <c r="CF85" s="293"/>
      <c r="CG85" s="293"/>
      <c r="CH85" s="293"/>
      <c r="CI85" s="293"/>
      <c r="CJ85" s="293"/>
      <c r="CK85" s="292"/>
      <c r="CL85" s="293"/>
      <c r="CM85" s="293"/>
      <c r="CN85" s="293"/>
      <c r="CO85" s="293"/>
      <c r="CP85" s="293"/>
      <c r="CQ85" s="293"/>
      <c r="CR85" s="293"/>
      <c r="CS85" s="293"/>
      <c r="CT85" s="293"/>
      <c r="CU85" s="293"/>
      <c r="CV85" s="293"/>
      <c r="CW85" s="293"/>
      <c r="CX85" s="293"/>
      <c r="CY85" s="293"/>
      <c r="CZ85" s="293"/>
      <c r="DA85" s="293"/>
      <c r="DB85" s="293"/>
      <c r="DC85" s="293"/>
      <c r="DD85" s="293"/>
      <c r="DE85" s="293"/>
      <c r="DF85" s="293"/>
      <c r="DG85" s="292"/>
      <c r="DH85" s="293"/>
      <c r="DI85" s="293"/>
      <c r="DJ85" s="293"/>
      <c r="DK85" s="293"/>
      <c r="DL85" s="293"/>
      <c r="DM85" s="293"/>
      <c r="DN85" s="293"/>
      <c r="DO85" s="293"/>
      <c r="DP85" s="293"/>
      <c r="DQ85" s="293"/>
      <c r="DR85" s="293"/>
      <c r="DS85" s="293"/>
      <c r="DT85" s="293"/>
      <c r="DU85" s="293"/>
      <c r="DV85" s="293"/>
      <c r="DW85" s="293"/>
      <c r="DX85" s="293"/>
      <c r="DY85" s="293"/>
      <c r="DZ85" s="293"/>
      <c r="EA85" s="293"/>
      <c r="EB85" s="293"/>
      <c r="EC85" s="292"/>
      <c r="ED85" s="293"/>
      <c r="EE85" s="293"/>
      <c r="EF85" s="293"/>
      <c r="EG85" s="293"/>
      <c r="EH85" s="293"/>
      <c r="EI85" s="293"/>
      <c r="EJ85" s="293"/>
      <c r="EK85" s="293"/>
      <c r="EL85" s="293"/>
      <c r="EM85" s="293"/>
      <c r="EN85" s="293"/>
      <c r="EO85" s="293"/>
      <c r="EP85" s="293"/>
      <c r="EQ85" s="293"/>
      <c r="ER85" s="293"/>
      <c r="ES85" s="293"/>
      <c r="ET85" s="293"/>
      <c r="EU85" s="293"/>
      <c r="EV85" s="293"/>
      <c r="EW85" s="293"/>
      <c r="EX85" s="293"/>
      <c r="EY85" s="292"/>
      <c r="EZ85" s="293"/>
      <c r="FA85" s="293"/>
      <c r="FB85" s="293"/>
      <c r="FC85" s="293"/>
      <c r="FD85" s="293"/>
      <c r="FE85" s="293"/>
      <c r="FF85" s="293"/>
      <c r="FG85" s="293"/>
      <c r="FH85" s="293"/>
      <c r="FI85" s="293"/>
      <c r="FJ85" s="293"/>
      <c r="FK85" s="293"/>
      <c r="FL85" s="293"/>
      <c r="FM85" s="293"/>
      <c r="FN85" s="293"/>
      <c r="FO85" s="293"/>
      <c r="FP85" s="293"/>
      <c r="FQ85" s="293"/>
      <c r="FR85" s="293"/>
      <c r="FS85" s="293"/>
      <c r="FT85" s="293"/>
      <c r="FU85" s="292"/>
      <c r="FV85" s="293"/>
      <c r="FW85" s="293"/>
      <c r="FX85" s="293"/>
      <c r="FY85" s="293"/>
      <c r="FZ85" s="293"/>
      <c r="GA85" s="293"/>
      <c r="GB85" s="293"/>
      <c r="GC85" s="293"/>
      <c r="GD85" s="293"/>
      <c r="GE85" s="293"/>
      <c r="GF85" s="293"/>
      <c r="GG85" s="293"/>
      <c r="GH85" s="293"/>
      <c r="GI85" s="293"/>
      <c r="GJ85" s="293"/>
      <c r="GK85" s="293"/>
      <c r="GL85" s="293"/>
      <c r="GM85" s="293"/>
      <c r="GN85" s="293"/>
      <c r="GO85" s="293"/>
      <c r="GP85" s="293"/>
      <c r="GQ85" s="292"/>
      <c r="GR85" s="293"/>
      <c r="GS85" s="293"/>
      <c r="GT85" s="293"/>
      <c r="GU85" s="293"/>
      <c r="GV85" s="293"/>
      <c r="GW85" s="293"/>
      <c r="GX85" s="293"/>
      <c r="GY85" s="293"/>
      <c r="GZ85" s="293"/>
      <c r="HA85" s="293"/>
      <c r="HB85" s="293"/>
      <c r="HC85" s="293"/>
      <c r="HD85" s="293"/>
      <c r="HE85" s="293"/>
      <c r="HF85" s="293"/>
      <c r="HG85" s="293"/>
      <c r="HH85" s="293"/>
      <c r="HI85" s="293"/>
      <c r="HJ85" s="293"/>
      <c r="HK85" s="293"/>
      <c r="HL85" s="293"/>
      <c r="HM85" s="292"/>
      <c r="HN85" s="293"/>
      <c r="HO85" s="293"/>
      <c r="HP85" s="293"/>
      <c r="HQ85" s="293"/>
      <c r="HR85" s="293"/>
      <c r="HS85" s="293"/>
      <c r="HT85" s="293"/>
      <c r="HU85" s="293"/>
      <c r="HV85" s="293"/>
      <c r="HW85" s="293"/>
      <c r="HX85" s="293"/>
      <c r="HY85" s="293"/>
      <c r="HZ85" s="293"/>
      <c r="IA85" s="293"/>
      <c r="IB85" s="293"/>
      <c r="IC85" s="293"/>
      <c r="ID85" s="293"/>
      <c r="IE85" s="293"/>
      <c r="IF85" s="293"/>
      <c r="IG85" s="293"/>
      <c r="IH85" s="293"/>
      <c r="II85" s="292"/>
      <c r="IJ85" s="293"/>
      <c r="IK85" s="293"/>
      <c r="IL85" s="293"/>
      <c r="IM85" s="293"/>
      <c r="IN85" s="293"/>
      <c r="IO85" s="293"/>
      <c r="IP85" s="293"/>
      <c r="IQ85" s="293"/>
      <c r="IR85" s="293"/>
      <c r="IS85" s="293"/>
      <c r="IT85" s="293"/>
      <c r="IU85" s="293"/>
      <c r="IV85" s="293"/>
    </row>
    <row r="86" spans="1:256" s="291" customFormat="1" ht="15" customHeight="1">
      <c r="A86" s="647" t="s">
        <v>12</v>
      </c>
      <c r="B86" s="649"/>
      <c r="C86" s="649"/>
      <c r="D86" s="649"/>
      <c r="E86" s="649"/>
      <c r="F86" s="649"/>
      <c r="G86" s="649"/>
      <c r="H86" s="649"/>
      <c r="I86" s="649"/>
      <c r="J86" s="649"/>
      <c r="K86" s="649"/>
      <c r="L86" s="649"/>
      <c r="M86" s="649"/>
      <c r="N86" s="649"/>
      <c r="O86" s="427"/>
      <c r="P86" s="565"/>
      <c r="Q86" s="297"/>
      <c r="R86" s="297"/>
      <c r="S86" s="297"/>
      <c r="T86" s="297"/>
      <c r="U86" s="297"/>
      <c r="V86" s="297"/>
      <c r="W86" s="319"/>
      <c r="X86" s="320"/>
      <c r="Y86" s="320"/>
      <c r="Z86" s="320"/>
      <c r="AA86" s="320"/>
      <c r="AB86" s="320"/>
      <c r="AC86" s="320"/>
      <c r="AD86" s="320"/>
      <c r="AE86" s="320"/>
      <c r="AF86" s="320"/>
      <c r="AG86" s="320"/>
      <c r="AH86" s="320"/>
      <c r="AI86" s="320"/>
      <c r="AJ86" s="320"/>
      <c r="AK86" s="320"/>
      <c r="AL86" s="320"/>
      <c r="AM86" s="320"/>
      <c r="AN86" s="320"/>
      <c r="AO86" s="320"/>
      <c r="AP86" s="320"/>
      <c r="AQ86" s="320"/>
      <c r="AR86" s="320"/>
      <c r="AS86" s="319"/>
      <c r="AT86" s="320"/>
      <c r="AU86" s="320"/>
      <c r="AV86" s="320"/>
      <c r="AW86" s="320"/>
      <c r="AX86" s="320"/>
      <c r="AY86" s="320"/>
      <c r="AZ86" s="315"/>
      <c r="BA86" s="293"/>
      <c r="BB86" s="293"/>
      <c r="BC86" s="293"/>
      <c r="BD86" s="293"/>
      <c r="BE86" s="293"/>
      <c r="BF86" s="293"/>
      <c r="BG86" s="293"/>
      <c r="BH86" s="293"/>
      <c r="BI86" s="293"/>
      <c r="BJ86" s="293"/>
      <c r="BK86" s="293"/>
      <c r="BL86" s="293"/>
      <c r="BM86" s="293"/>
      <c r="BN86" s="293"/>
      <c r="BO86" s="292"/>
      <c r="BP86" s="293"/>
      <c r="BQ86" s="293"/>
      <c r="BR86" s="293"/>
      <c r="BS86" s="293"/>
      <c r="BT86" s="293"/>
      <c r="BU86" s="293"/>
      <c r="BV86" s="293"/>
      <c r="BW86" s="293"/>
      <c r="BX86" s="293"/>
      <c r="BY86" s="293"/>
      <c r="BZ86" s="293"/>
      <c r="CA86" s="293"/>
      <c r="CB86" s="293"/>
      <c r="CC86" s="293"/>
      <c r="CD86" s="293"/>
      <c r="CE86" s="293"/>
      <c r="CF86" s="293"/>
      <c r="CG86" s="293"/>
      <c r="CH86" s="293"/>
      <c r="CI86" s="293"/>
      <c r="CJ86" s="293"/>
      <c r="CK86" s="292"/>
      <c r="CL86" s="293"/>
      <c r="CM86" s="293"/>
      <c r="CN86" s="293"/>
      <c r="CO86" s="293"/>
      <c r="CP86" s="293"/>
      <c r="CQ86" s="293"/>
      <c r="CR86" s="293"/>
      <c r="CS86" s="293"/>
      <c r="CT86" s="293"/>
      <c r="CU86" s="293"/>
      <c r="CV86" s="293"/>
      <c r="CW86" s="293"/>
      <c r="CX86" s="293"/>
      <c r="CY86" s="293"/>
      <c r="CZ86" s="293"/>
      <c r="DA86" s="293"/>
      <c r="DB86" s="293"/>
      <c r="DC86" s="293"/>
      <c r="DD86" s="293"/>
      <c r="DE86" s="293"/>
      <c r="DF86" s="293"/>
      <c r="DG86" s="292"/>
      <c r="DH86" s="293"/>
      <c r="DI86" s="293"/>
      <c r="DJ86" s="293"/>
      <c r="DK86" s="293"/>
      <c r="DL86" s="293"/>
      <c r="DM86" s="293"/>
      <c r="DN86" s="293"/>
      <c r="DO86" s="293"/>
      <c r="DP86" s="293"/>
      <c r="DQ86" s="293"/>
      <c r="DR86" s="293"/>
      <c r="DS86" s="293"/>
      <c r="DT86" s="293"/>
      <c r="DU86" s="293"/>
      <c r="DV86" s="293"/>
      <c r="DW86" s="293"/>
      <c r="DX86" s="293"/>
      <c r="DY86" s="293"/>
      <c r="DZ86" s="293"/>
      <c r="EA86" s="293"/>
      <c r="EB86" s="293"/>
      <c r="EC86" s="292"/>
      <c r="ED86" s="293"/>
      <c r="EE86" s="293"/>
      <c r="EF86" s="293"/>
      <c r="EG86" s="293"/>
      <c r="EH86" s="293"/>
      <c r="EI86" s="293"/>
      <c r="EJ86" s="293"/>
      <c r="EK86" s="293"/>
      <c r="EL86" s="293"/>
      <c r="EM86" s="293"/>
      <c r="EN86" s="293"/>
      <c r="EO86" s="293"/>
      <c r="EP86" s="293"/>
      <c r="EQ86" s="293"/>
      <c r="ER86" s="293"/>
      <c r="ES86" s="293"/>
      <c r="ET86" s="293"/>
      <c r="EU86" s="293"/>
      <c r="EV86" s="293"/>
      <c r="EW86" s="293"/>
      <c r="EX86" s="293"/>
      <c r="EY86" s="292"/>
      <c r="EZ86" s="293"/>
      <c r="FA86" s="293"/>
      <c r="FB86" s="293"/>
      <c r="FC86" s="293"/>
      <c r="FD86" s="293"/>
      <c r="FE86" s="293"/>
      <c r="FF86" s="293"/>
      <c r="FG86" s="293"/>
      <c r="FH86" s="293"/>
      <c r="FI86" s="293"/>
      <c r="FJ86" s="293"/>
      <c r="FK86" s="293"/>
      <c r="FL86" s="293"/>
      <c r="FM86" s="293"/>
      <c r="FN86" s="293"/>
      <c r="FO86" s="293"/>
      <c r="FP86" s="293"/>
      <c r="FQ86" s="293"/>
      <c r="FR86" s="293"/>
      <c r="FS86" s="293"/>
      <c r="FT86" s="293"/>
      <c r="FU86" s="292"/>
      <c r="FV86" s="293"/>
      <c r="FW86" s="293"/>
      <c r="FX86" s="293"/>
      <c r="FY86" s="293"/>
      <c r="FZ86" s="293"/>
      <c r="GA86" s="293"/>
      <c r="GB86" s="293"/>
      <c r="GC86" s="293"/>
      <c r="GD86" s="293"/>
      <c r="GE86" s="293"/>
      <c r="GF86" s="293"/>
      <c r="GG86" s="293"/>
      <c r="GH86" s="293"/>
      <c r="GI86" s="293"/>
      <c r="GJ86" s="293"/>
      <c r="GK86" s="293"/>
      <c r="GL86" s="293"/>
      <c r="GM86" s="293"/>
      <c r="GN86" s="293"/>
      <c r="GO86" s="293"/>
      <c r="GP86" s="293"/>
      <c r="GQ86" s="292"/>
      <c r="GR86" s="293"/>
      <c r="GS86" s="293"/>
      <c r="GT86" s="293"/>
      <c r="GU86" s="293"/>
      <c r="GV86" s="293"/>
      <c r="GW86" s="293"/>
      <c r="GX86" s="293"/>
      <c r="GY86" s="293"/>
      <c r="GZ86" s="293"/>
      <c r="HA86" s="293"/>
      <c r="HB86" s="293"/>
      <c r="HC86" s="293"/>
      <c r="HD86" s="293"/>
      <c r="HE86" s="293"/>
      <c r="HF86" s="293"/>
      <c r="HG86" s="293"/>
      <c r="HH86" s="293"/>
      <c r="HI86" s="293"/>
      <c r="HJ86" s="293"/>
      <c r="HK86" s="293"/>
      <c r="HL86" s="293"/>
      <c r="HM86" s="292"/>
      <c r="HN86" s="293"/>
      <c r="HO86" s="293"/>
      <c r="HP86" s="293"/>
      <c r="HQ86" s="293"/>
      <c r="HR86" s="293"/>
      <c r="HS86" s="293"/>
      <c r="HT86" s="293"/>
      <c r="HU86" s="293"/>
      <c r="HV86" s="293"/>
      <c r="HW86" s="293"/>
      <c r="HX86" s="293"/>
      <c r="HY86" s="293"/>
      <c r="HZ86" s="293"/>
      <c r="IA86" s="293"/>
      <c r="IB86" s="293"/>
      <c r="IC86" s="293"/>
      <c r="ID86" s="293"/>
      <c r="IE86" s="293"/>
      <c r="IF86" s="293"/>
      <c r="IG86" s="293"/>
      <c r="IH86" s="293"/>
      <c r="II86" s="292"/>
      <c r="IJ86" s="293"/>
      <c r="IK86" s="293"/>
      <c r="IL86" s="293"/>
      <c r="IM86" s="293"/>
      <c r="IN86" s="293"/>
      <c r="IO86" s="293"/>
      <c r="IP86" s="293"/>
      <c r="IQ86" s="293"/>
      <c r="IR86" s="293"/>
      <c r="IS86" s="293"/>
      <c r="IT86" s="293"/>
      <c r="IU86" s="293"/>
      <c r="IV86" s="293"/>
    </row>
    <row r="87" spans="1:256" s="291" customFormat="1" ht="15" customHeight="1">
      <c r="A87" s="649"/>
      <c r="B87" s="649"/>
      <c r="C87" s="649"/>
      <c r="D87" s="649"/>
      <c r="E87" s="649"/>
      <c r="F87" s="649"/>
      <c r="G87" s="649"/>
      <c r="H87" s="649"/>
      <c r="I87" s="649"/>
      <c r="J87" s="649"/>
      <c r="K87" s="649"/>
      <c r="L87" s="649"/>
      <c r="M87" s="649"/>
      <c r="N87" s="649"/>
      <c r="O87" s="427"/>
      <c r="P87" s="565"/>
      <c r="Q87" s="297"/>
      <c r="R87" s="297"/>
      <c r="S87" s="297"/>
      <c r="T87" s="297"/>
      <c r="U87" s="297"/>
      <c r="V87" s="297"/>
      <c r="W87" s="319"/>
      <c r="X87" s="320"/>
      <c r="Y87" s="320"/>
      <c r="Z87" s="320"/>
      <c r="AA87" s="320"/>
      <c r="AB87" s="320"/>
      <c r="AC87" s="320"/>
      <c r="AD87" s="320"/>
      <c r="AE87" s="320"/>
      <c r="AF87" s="320"/>
      <c r="AG87" s="320"/>
      <c r="AH87" s="320"/>
      <c r="AI87" s="320"/>
      <c r="AJ87" s="320"/>
      <c r="AK87" s="320"/>
      <c r="AL87" s="320"/>
      <c r="AM87" s="320"/>
      <c r="AN87" s="320"/>
      <c r="AO87" s="320"/>
      <c r="AP87" s="320"/>
      <c r="AQ87" s="320"/>
      <c r="AR87" s="320"/>
      <c r="AS87" s="319"/>
      <c r="AT87" s="320"/>
      <c r="AU87" s="320"/>
      <c r="AV87" s="320"/>
      <c r="AW87" s="320"/>
      <c r="AX87" s="320"/>
      <c r="AY87" s="320"/>
      <c r="AZ87" s="315"/>
      <c r="BA87" s="293"/>
      <c r="BB87" s="293"/>
      <c r="BC87" s="293"/>
      <c r="BD87" s="293"/>
      <c r="BE87" s="293"/>
      <c r="BF87" s="293"/>
      <c r="BG87" s="293"/>
      <c r="BH87" s="293"/>
      <c r="BI87" s="293"/>
      <c r="BJ87" s="293"/>
      <c r="BK87" s="293"/>
      <c r="BL87" s="293"/>
      <c r="BM87" s="293"/>
      <c r="BN87" s="293"/>
      <c r="BO87" s="292"/>
      <c r="BP87" s="293"/>
      <c r="BQ87" s="293"/>
      <c r="BR87" s="293"/>
      <c r="BS87" s="293"/>
      <c r="BT87" s="293"/>
      <c r="BU87" s="293"/>
      <c r="BV87" s="293"/>
      <c r="BW87" s="293"/>
      <c r="BX87" s="293"/>
      <c r="BY87" s="293"/>
      <c r="BZ87" s="293"/>
      <c r="CA87" s="293"/>
      <c r="CB87" s="293"/>
      <c r="CC87" s="293"/>
      <c r="CD87" s="293"/>
      <c r="CE87" s="293"/>
      <c r="CF87" s="293"/>
      <c r="CG87" s="293"/>
      <c r="CH87" s="293"/>
      <c r="CI87" s="293"/>
      <c r="CJ87" s="293"/>
      <c r="CK87" s="292"/>
      <c r="CL87" s="293"/>
      <c r="CM87" s="293"/>
      <c r="CN87" s="293"/>
      <c r="CO87" s="293"/>
      <c r="CP87" s="293"/>
      <c r="CQ87" s="293"/>
      <c r="CR87" s="293"/>
      <c r="CS87" s="293"/>
      <c r="CT87" s="293"/>
      <c r="CU87" s="293"/>
      <c r="CV87" s="293"/>
      <c r="CW87" s="293"/>
      <c r="CX87" s="293"/>
      <c r="CY87" s="293"/>
      <c r="CZ87" s="293"/>
      <c r="DA87" s="293"/>
      <c r="DB87" s="293"/>
      <c r="DC87" s="293"/>
      <c r="DD87" s="293"/>
      <c r="DE87" s="293"/>
      <c r="DF87" s="293"/>
      <c r="DG87" s="292"/>
      <c r="DH87" s="293"/>
      <c r="DI87" s="293"/>
      <c r="DJ87" s="293"/>
      <c r="DK87" s="293"/>
      <c r="DL87" s="293"/>
      <c r="DM87" s="293"/>
      <c r="DN87" s="293"/>
      <c r="DO87" s="293"/>
      <c r="DP87" s="293"/>
      <c r="DQ87" s="293"/>
      <c r="DR87" s="293"/>
      <c r="DS87" s="293"/>
      <c r="DT87" s="293"/>
      <c r="DU87" s="293"/>
      <c r="DV87" s="293"/>
      <c r="DW87" s="293"/>
      <c r="DX87" s="293"/>
      <c r="DY87" s="293"/>
      <c r="DZ87" s="293"/>
      <c r="EA87" s="293"/>
      <c r="EB87" s="293"/>
      <c r="EC87" s="292"/>
      <c r="ED87" s="293"/>
      <c r="EE87" s="293"/>
      <c r="EF87" s="293"/>
      <c r="EG87" s="293"/>
      <c r="EH87" s="293"/>
      <c r="EI87" s="293"/>
      <c r="EJ87" s="293"/>
      <c r="EK87" s="293"/>
      <c r="EL87" s="293"/>
      <c r="EM87" s="293"/>
      <c r="EN87" s="293"/>
      <c r="EO87" s="293"/>
      <c r="EP87" s="293"/>
      <c r="EQ87" s="293"/>
      <c r="ER87" s="293"/>
      <c r="ES87" s="293"/>
      <c r="ET87" s="293"/>
      <c r="EU87" s="293"/>
      <c r="EV87" s="293"/>
      <c r="EW87" s="293"/>
      <c r="EX87" s="293"/>
      <c r="EY87" s="292"/>
      <c r="EZ87" s="293"/>
      <c r="FA87" s="293"/>
      <c r="FB87" s="293"/>
      <c r="FC87" s="293"/>
      <c r="FD87" s="293"/>
      <c r="FE87" s="293"/>
      <c r="FF87" s="293"/>
      <c r="FG87" s="293"/>
      <c r="FH87" s="293"/>
      <c r="FI87" s="293"/>
      <c r="FJ87" s="293"/>
      <c r="FK87" s="293"/>
      <c r="FL87" s="293"/>
      <c r="FM87" s="293"/>
      <c r="FN87" s="293"/>
      <c r="FO87" s="293"/>
      <c r="FP87" s="293"/>
      <c r="FQ87" s="293"/>
      <c r="FR87" s="293"/>
      <c r="FS87" s="293"/>
      <c r="FT87" s="293"/>
      <c r="FU87" s="292"/>
      <c r="FV87" s="293"/>
      <c r="FW87" s="293"/>
      <c r="FX87" s="293"/>
      <c r="FY87" s="293"/>
      <c r="FZ87" s="293"/>
      <c r="GA87" s="293"/>
      <c r="GB87" s="293"/>
      <c r="GC87" s="293"/>
      <c r="GD87" s="293"/>
      <c r="GE87" s="293"/>
      <c r="GF87" s="293"/>
      <c r="GG87" s="293"/>
      <c r="GH87" s="293"/>
      <c r="GI87" s="293"/>
      <c r="GJ87" s="293"/>
      <c r="GK87" s="293"/>
      <c r="GL87" s="293"/>
      <c r="GM87" s="293"/>
      <c r="GN87" s="293"/>
      <c r="GO87" s="293"/>
      <c r="GP87" s="293"/>
      <c r="GQ87" s="292"/>
      <c r="GR87" s="293"/>
      <c r="GS87" s="293"/>
      <c r="GT87" s="293"/>
      <c r="GU87" s="293"/>
      <c r="GV87" s="293"/>
      <c r="GW87" s="293"/>
      <c r="GX87" s="293"/>
      <c r="GY87" s="293"/>
      <c r="GZ87" s="293"/>
      <c r="HA87" s="293"/>
      <c r="HB87" s="293"/>
      <c r="HC87" s="293"/>
      <c r="HD87" s="293"/>
      <c r="HE87" s="293"/>
      <c r="HF87" s="293"/>
      <c r="HG87" s="293"/>
      <c r="HH87" s="293"/>
      <c r="HI87" s="293"/>
      <c r="HJ87" s="293"/>
      <c r="HK87" s="293"/>
      <c r="HL87" s="293"/>
      <c r="HM87" s="292"/>
      <c r="HN87" s="293"/>
      <c r="HO87" s="293"/>
      <c r="HP87" s="293"/>
      <c r="HQ87" s="293"/>
      <c r="HR87" s="293"/>
      <c r="HS87" s="293"/>
      <c r="HT87" s="293"/>
      <c r="HU87" s="293"/>
      <c r="HV87" s="293"/>
      <c r="HW87" s="293"/>
      <c r="HX87" s="293"/>
      <c r="HY87" s="293"/>
      <c r="HZ87" s="293"/>
      <c r="IA87" s="293"/>
      <c r="IB87" s="293"/>
      <c r="IC87" s="293"/>
      <c r="ID87" s="293"/>
      <c r="IE87" s="293"/>
      <c r="IF87" s="293"/>
      <c r="IG87" s="293"/>
      <c r="IH87" s="293"/>
      <c r="II87" s="292"/>
      <c r="IJ87" s="293"/>
      <c r="IK87" s="293"/>
      <c r="IL87" s="293"/>
      <c r="IM87" s="293"/>
      <c r="IN87" s="293"/>
      <c r="IO87" s="293"/>
      <c r="IP87" s="293"/>
      <c r="IQ87" s="293"/>
      <c r="IR87" s="293"/>
      <c r="IS87" s="293"/>
      <c r="IT87" s="293"/>
      <c r="IU87" s="293"/>
      <c r="IV87" s="293"/>
    </row>
    <row r="88" spans="1:256" s="291" customFormat="1" ht="15" customHeight="1">
      <c r="A88" s="649"/>
      <c r="B88" s="649"/>
      <c r="C88" s="649"/>
      <c r="D88" s="649"/>
      <c r="E88" s="649"/>
      <c r="F88" s="649"/>
      <c r="G88" s="649"/>
      <c r="H88" s="649"/>
      <c r="I88" s="649"/>
      <c r="J88" s="649"/>
      <c r="K88" s="649"/>
      <c r="L88" s="649"/>
      <c r="M88" s="649"/>
      <c r="N88" s="649"/>
      <c r="O88" s="427"/>
      <c r="P88" s="565"/>
      <c r="Q88" s="297"/>
      <c r="R88" s="297"/>
      <c r="S88" s="297"/>
      <c r="T88" s="297"/>
      <c r="U88" s="297"/>
      <c r="V88" s="297"/>
      <c r="W88" s="319"/>
      <c r="X88" s="320"/>
      <c r="Y88" s="320"/>
      <c r="Z88" s="320"/>
      <c r="AA88" s="320"/>
      <c r="AB88" s="320"/>
      <c r="AC88" s="320"/>
      <c r="AD88" s="320"/>
      <c r="AE88" s="320"/>
      <c r="AF88" s="320"/>
      <c r="AG88" s="320"/>
      <c r="AH88" s="320"/>
      <c r="AI88" s="320"/>
      <c r="AJ88" s="320"/>
      <c r="AK88" s="320"/>
      <c r="AL88" s="320"/>
      <c r="AM88" s="320"/>
      <c r="AN88" s="320"/>
      <c r="AO88" s="320"/>
      <c r="AP88" s="320"/>
      <c r="AQ88" s="320"/>
      <c r="AR88" s="320"/>
      <c r="AS88" s="319"/>
      <c r="AT88" s="320"/>
      <c r="AU88" s="320"/>
      <c r="AV88" s="320"/>
      <c r="AW88" s="320"/>
      <c r="AX88" s="320"/>
      <c r="AY88" s="320"/>
      <c r="AZ88" s="315"/>
      <c r="BA88" s="293"/>
      <c r="BB88" s="293"/>
      <c r="BC88" s="293"/>
      <c r="BD88" s="293"/>
      <c r="BE88" s="293"/>
      <c r="BF88" s="293"/>
      <c r="BG88" s="293"/>
      <c r="BH88" s="293"/>
      <c r="BI88" s="293"/>
      <c r="BJ88" s="293"/>
      <c r="BK88" s="293"/>
      <c r="BL88" s="293"/>
      <c r="BM88" s="293"/>
      <c r="BN88" s="293"/>
      <c r="BO88" s="292"/>
      <c r="BP88" s="293"/>
      <c r="BQ88" s="293"/>
      <c r="BR88" s="293"/>
      <c r="BS88" s="293"/>
      <c r="BT88" s="293"/>
      <c r="BU88" s="293"/>
      <c r="BV88" s="293"/>
      <c r="BW88" s="293"/>
      <c r="BX88" s="293"/>
      <c r="BY88" s="293"/>
      <c r="BZ88" s="293"/>
      <c r="CA88" s="293"/>
      <c r="CB88" s="293"/>
      <c r="CC88" s="293"/>
      <c r="CD88" s="293"/>
      <c r="CE88" s="293"/>
      <c r="CF88" s="293"/>
      <c r="CG88" s="293"/>
      <c r="CH88" s="293"/>
      <c r="CI88" s="293"/>
      <c r="CJ88" s="293"/>
      <c r="CK88" s="292"/>
      <c r="CL88" s="293"/>
      <c r="CM88" s="293"/>
      <c r="CN88" s="293"/>
      <c r="CO88" s="293"/>
      <c r="CP88" s="293"/>
      <c r="CQ88" s="293"/>
      <c r="CR88" s="293"/>
      <c r="CS88" s="293"/>
      <c r="CT88" s="293"/>
      <c r="CU88" s="293"/>
      <c r="CV88" s="293"/>
      <c r="CW88" s="293"/>
      <c r="CX88" s="293"/>
      <c r="CY88" s="293"/>
      <c r="CZ88" s="293"/>
      <c r="DA88" s="293"/>
      <c r="DB88" s="293"/>
      <c r="DC88" s="293"/>
      <c r="DD88" s="293"/>
      <c r="DE88" s="293"/>
      <c r="DF88" s="293"/>
      <c r="DG88" s="292"/>
      <c r="DH88" s="293"/>
      <c r="DI88" s="293"/>
      <c r="DJ88" s="293"/>
      <c r="DK88" s="293"/>
      <c r="DL88" s="293"/>
      <c r="DM88" s="293"/>
      <c r="DN88" s="293"/>
      <c r="DO88" s="293"/>
      <c r="DP88" s="293"/>
      <c r="DQ88" s="293"/>
      <c r="DR88" s="293"/>
      <c r="DS88" s="293"/>
      <c r="DT88" s="293"/>
      <c r="DU88" s="293"/>
      <c r="DV88" s="293"/>
      <c r="DW88" s="293"/>
      <c r="DX88" s="293"/>
      <c r="DY88" s="293"/>
      <c r="DZ88" s="293"/>
      <c r="EA88" s="293"/>
      <c r="EB88" s="293"/>
      <c r="EC88" s="292"/>
      <c r="ED88" s="293"/>
      <c r="EE88" s="293"/>
      <c r="EF88" s="293"/>
      <c r="EG88" s="293"/>
      <c r="EH88" s="293"/>
      <c r="EI88" s="293"/>
      <c r="EJ88" s="293"/>
      <c r="EK88" s="293"/>
      <c r="EL88" s="293"/>
      <c r="EM88" s="293"/>
      <c r="EN88" s="293"/>
      <c r="EO88" s="293"/>
      <c r="EP88" s="293"/>
      <c r="EQ88" s="293"/>
      <c r="ER88" s="293"/>
      <c r="ES88" s="293"/>
      <c r="ET88" s="293"/>
      <c r="EU88" s="293"/>
      <c r="EV88" s="293"/>
      <c r="EW88" s="293"/>
      <c r="EX88" s="293"/>
      <c r="EY88" s="292"/>
      <c r="EZ88" s="293"/>
      <c r="FA88" s="293"/>
      <c r="FB88" s="293"/>
      <c r="FC88" s="293"/>
      <c r="FD88" s="293"/>
      <c r="FE88" s="293"/>
      <c r="FF88" s="293"/>
      <c r="FG88" s="293"/>
      <c r="FH88" s="293"/>
      <c r="FI88" s="293"/>
      <c r="FJ88" s="293"/>
      <c r="FK88" s="293"/>
      <c r="FL88" s="293"/>
      <c r="FM88" s="293"/>
      <c r="FN88" s="293"/>
      <c r="FO88" s="293"/>
      <c r="FP88" s="293"/>
      <c r="FQ88" s="293"/>
      <c r="FR88" s="293"/>
      <c r="FS88" s="293"/>
      <c r="FT88" s="293"/>
      <c r="FU88" s="292"/>
      <c r="FV88" s="293"/>
      <c r="FW88" s="293"/>
      <c r="FX88" s="293"/>
      <c r="FY88" s="293"/>
      <c r="FZ88" s="293"/>
      <c r="GA88" s="293"/>
      <c r="GB88" s="293"/>
      <c r="GC88" s="293"/>
      <c r="GD88" s="293"/>
      <c r="GE88" s="293"/>
      <c r="GF88" s="293"/>
      <c r="GG88" s="293"/>
      <c r="GH88" s="293"/>
      <c r="GI88" s="293"/>
      <c r="GJ88" s="293"/>
      <c r="GK88" s="293"/>
      <c r="GL88" s="293"/>
      <c r="GM88" s="293"/>
      <c r="GN88" s="293"/>
      <c r="GO88" s="293"/>
      <c r="GP88" s="293"/>
      <c r="GQ88" s="292"/>
      <c r="GR88" s="293"/>
      <c r="GS88" s="293"/>
      <c r="GT88" s="293"/>
      <c r="GU88" s="293"/>
      <c r="GV88" s="293"/>
      <c r="GW88" s="293"/>
      <c r="GX88" s="293"/>
      <c r="GY88" s="293"/>
      <c r="GZ88" s="293"/>
      <c r="HA88" s="293"/>
      <c r="HB88" s="293"/>
      <c r="HC88" s="293"/>
      <c r="HD88" s="293"/>
      <c r="HE88" s="293"/>
      <c r="HF88" s="293"/>
      <c r="HG88" s="293"/>
      <c r="HH88" s="293"/>
      <c r="HI88" s="293"/>
      <c r="HJ88" s="293"/>
      <c r="HK88" s="293"/>
      <c r="HL88" s="293"/>
      <c r="HM88" s="292"/>
      <c r="HN88" s="293"/>
      <c r="HO88" s="293"/>
      <c r="HP88" s="293"/>
      <c r="HQ88" s="293"/>
      <c r="HR88" s="293"/>
      <c r="HS88" s="293"/>
      <c r="HT88" s="293"/>
      <c r="HU88" s="293"/>
      <c r="HV88" s="293"/>
      <c r="HW88" s="293"/>
      <c r="HX88" s="293"/>
      <c r="HY88" s="293"/>
      <c r="HZ88" s="293"/>
      <c r="IA88" s="293"/>
      <c r="IB88" s="293"/>
      <c r="IC88" s="293"/>
      <c r="ID88" s="293"/>
      <c r="IE88" s="293"/>
      <c r="IF88" s="293"/>
      <c r="IG88" s="293"/>
      <c r="IH88" s="293"/>
      <c r="II88" s="292"/>
      <c r="IJ88" s="293"/>
      <c r="IK88" s="293"/>
      <c r="IL88" s="293"/>
      <c r="IM88" s="293"/>
      <c r="IN88" s="293"/>
      <c r="IO88" s="293"/>
      <c r="IP88" s="293"/>
      <c r="IQ88" s="293"/>
      <c r="IR88" s="293"/>
      <c r="IS88" s="293"/>
      <c r="IT88" s="293"/>
      <c r="IU88" s="293"/>
      <c r="IV88" s="293"/>
    </row>
    <row r="89" spans="1:52" s="294" customFormat="1" ht="15" customHeight="1">
      <c r="A89" s="649"/>
      <c r="B89" s="649"/>
      <c r="C89" s="649"/>
      <c r="D89" s="649"/>
      <c r="E89" s="649"/>
      <c r="F89" s="649"/>
      <c r="G89" s="649"/>
      <c r="H89" s="649"/>
      <c r="I89" s="649"/>
      <c r="J89" s="649"/>
      <c r="K89" s="649"/>
      <c r="L89" s="649"/>
      <c r="M89" s="649"/>
      <c r="N89" s="649"/>
      <c r="O89" s="427"/>
      <c r="P89" s="565"/>
      <c r="Q89" s="297"/>
      <c r="R89" s="297"/>
      <c r="S89" s="297"/>
      <c r="T89" s="297"/>
      <c r="U89" s="297"/>
      <c r="V89" s="297"/>
      <c r="W89" s="321"/>
      <c r="X89" s="322"/>
      <c r="Y89" s="322"/>
      <c r="Z89" s="322"/>
      <c r="AA89" s="322"/>
      <c r="AB89" s="322"/>
      <c r="AC89" s="322"/>
      <c r="AD89" s="322"/>
      <c r="AE89" s="322"/>
      <c r="AF89" s="322"/>
      <c r="AG89" s="322"/>
      <c r="AH89" s="322"/>
      <c r="AI89" s="322"/>
      <c r="AJ89" s="322"/>
      <c r="AK89" s="322"/>
      <c r="AL89" s="322"/>
      <c r="AM89" s="322"/>
      <c r="AN89" s="322"/>
      <c r="AO89" s="322"/>
      <c r="AP89" s="322"/>
      <c r="AQ89" s="322"/>
      <c r="AR89" s="322"/>
      <c r="AS89" s="322"/>
      <c r="AT89" s="322"/>
      <c r="AU89" s="322"/>
      <c r="AV89" s="322"/>
      <c r="AW89" s="322"/>
      <c r="AX89" s="322"/>
      <c r="AY89" s="322"/>
      <c r="AZ89" s="316"/>
    </row>
    <row r="90" spans="2:15" ht="18">
      <c r="B90" s="44"/>
      <c r="C90" s="45"/>
      <c r="D90" s="46"/>
      <c r="E90" s="24"/>
      <c r="F90" s="24"/>
      <c r="G90" s="24"/>
      <c r="H90" s="47"/>
      <c r="I90" s="48"/>
      <c r="J90" s="49"/>
      <c r="K90" s="50"/>
      <c r="L90" s="51"/>
      <c r="M90" s="52"/>
      <c r="N90" s="50"/>
      <c r="O90" s="324"/>
    </row>
    <row r="91" spans="2:15" ht="18">
      <c r="B91" s="44"/>
      <c r="C91" s="45"/>
      <c r="D91" s="46"/>
      <c r="E91" s="24"/>
      <c r="F91" s="24"/>
      <c r="G91" s="24"/>
      <c r="H91" s="47"/>
      <c r="I91" s="48"/>
      <c r="J91" s="49"/>
      <c r="K91" s="50"/>
      <c r="L91" s="51"/>
      <c r="M91" s="52"/>
      <c r="N91" s="50"/>
      <c r="O91" s="324"/>
    </row>
    <row r="92" spans="6:15" ht="22.5">
      <c r="F92" s="24"/>
      <c r="G92" s="24"/>
      <c r="H92" s="47"/>
      <c r="I92" s="48"/>
      <c r="J92" s="49"/>
      <c r="K92" s="50"/>
      <c r="L92" s="51"/>
      <c r="M92" s="52"/>
      <c r="N92" s="50"/>
      <c r="O92" s="324"/>
    </row>
    <row r="93" spans="6:15" ht="22.5">
      <c r="F93" s="24"/>
      <c r="G93" s="24"/>
      <c r="H93" s="47"/>
      <c r="I93" s="48"/>
      <c r="J93" s="49"/>
      <c r="K93" s="50"/>
      <c r="L93" s="51"/>
      <c r="M93" s="52"/>
      <c r="N93" s="50"/>
      <c r="O93" s="324"/>
    </row>
    <row r="94" spans="6:15" ht="22.5">
      <c r="F94" s="24"/>
      <c r="G94" s="24"/>
      <c r="H94" s="47"/>
      <c r="I94" s="48"/>
      <c r="J94" s="49"/>
      <c r="K94" s="50"/>
      <c r="L94" s="51"/>
      <c r="M94" s="52"/>
      <c r="N94" s="50"/>
      <c r="O94" s="324"/>
    </row>
    <row r="95" spans="6:15" ht="22.5">
      <c r="F95" s="24"/>
      <c r="G95" s="24"/>
      <c r="H95" s="47"/>
      <c r="I95" s="48"/>
      <c r="J95" s="49"/>
      <c r="K95" s="50"/>
      <c r="L95" s="51"/>
      <c r="M95" s="52"/>
      <c r="N95" s="50"/>
      <c r="O95" s="324"/>
    </row>
    <row r="96" spans="6:15" ht="22.5">
      <c r="F96" s="24"/>
      <c r="G96" s="24"/>
      <c r="H96" s="47"/>
      <c r="I96" s="48"/>
      <c r="J96" s="49"/>
      <c r="K96" s="50"/>
      <c r="L96" s="51"/>
      <c r="M96" s="52"/>
      <c r="N96" s="50"/>
      <c r="O96" s="324"/>
    </row>
    <row r="97" spans="6:15" ht="22.5">
      <c r="F97" s="24"/>
      <c r="G97" s="24"/>
      <c r="H97" s="47"/>
      <c r="I97" s="48"/>
      <c r="J97" s="49"/>
      <c r="K97" s="50"/>
      <c r="L97" s="51"/>
      <c r="M97" s="52"/>
      <c r="N97" s="50"/>
      <c r="O97" s="324"/>
    </row>
    <row r="98" spans="14:15" ht="22.5">
      <c r="N98" s="40"/>
      <c r="O98" s="324"/>
    </row>
    <row r="99" spans="14:15" ht="22.5">
      <c r="N99" s="40"/>
      <c r="O99" s="313"/>
    </row>
    <row r="100" spans="14:15" ht="22.5">
      <c r="N100" s="40"/>
      <c r="O100" s="313"/>
    </row>
    <row r="101" spans="14:15" ht="22.5">
      <c r="N101" s="40"/>
      <c r="O101" s="313"/>
    </row>
    <row r="102" spans="14:15" ht="22.5">
      <c r="N102" s="40"/>
      <c r="O102" s="313"/>
    </row>
    <row r="103" spans="14:15" ht="22.5">
      <c r="N103" s="40"/>
      <c r="O103" s="313"/>
    </row>
    <row r="104" spans="14:15" ht="22.5">
      <c r="N104" s="40"/>
      <c r="O104" s="313"/>
    </row>
    <row r="105" spans="1:14" ht="22.5">
      <c r="A105" s="298"/>
      <c r="B105" s="299"/>
      <c r="C105" s="300"/>
      <c r="D105" s="301"/>
      <c r="E105" s="302"/>
      <c r="F105" s="302"/>
      <c r="G105" s="302"/>
      <c r="H105" s="303"/>
      <c r="I105" s="304"/>
      <c r="J105" s="305"/>
      <c r="K105" s="306"/>
      <c r="L105" s="307"/>
      <c r="M105" s="308"/>
      <c r="N105" s="309"/>
    </row>
  </sheetData>
  <sheetProtection insertRows="0" deleteRows="0" sort="0"/>
  <mergeCells count="13">
    <mergeCell ref="A83:N85"/>
    <mergeCell ref="A86:N89"/>
    <mergeCell ref="A80:B80"/>
    <mergeCell ref="A82:N82"/>
    <mergeCell ref="A2:N2"/>
    <mergeCell ref="L3:N3"/>
    <mergeCell ref="F3:F4"/>
    <mergeCell ref="E3:E4"/>
    <mergeCell ref="B3:B4"/>
    <mergeCell ref="D3:D4"/>
    <mergeCell ref="G3:G4"/>
    <mergeCell ref="H3:K3"/>
    <mergeCell ref="C3:C4"/>
  </mergeCells>
  <printOptions horizontalCentered="1" verticalCentered="1"/>
  <pageMargins left="0.53" right="0.19" top="0.5905511811023623" bottom="0.5" header="0.5118110236220472" footer="0.45"/>
  <pageSetup orientation="portrait" paperSize="9" scale="45" r:id="rId2"/>
  <ignoredErrors>
    <ignoredError sqref="L80:M81 K80:K81 K11:K21 L6:M6 K6:K10 J11:J21 J22:J24 N11:N21 J29:K30 L29:M30 L26:M28 J25:K28 N29:N30 J31:K43 N54:N60 N67:N73 J65:K75 L65" formula="1"/>
    <ignoredError sqref="L22:M24 J56:K58 M47:M53 L47:L53 M61:M66 N47:N52 J47:K55 L54:L55 L56:L58 M56:M60 M67:M74 O61:O66" unlockedFormula="1"/>
    <ignoredError sqref="L7:M21 L25:M25 N44:N46 M44:M46 L31:L43 M31:M43 N31:N43 J44:K46 L44:L46 N53 J61:K64 L61:L64 L59:L60 J59:K60 N61:N64 N66 N65 L66:L75" formula="1" unlockedFormula="1"/>
  </ignoredErrors>
  <drawing r:id="rId1"/>
</worksheet>
</file>

<file path=xl/worksheets/sheet2.xml><?xml version="1.0" encoding="utf-8"?>
<worksheet xmlns="http://schemas.openxmlformats.org/spreadsheetml/2006/main" xmlns:r="http://schemas.openxmlformats.org/officeDocument/2006/relationships">
  <dimension ref="A1:IV257"/>
  <sheetViews>
    <sheetView zoomScale="130" zoomScaleNormal="130" zoomScalePageLayoutView="0" workbookViewId="0" topLeftCell="A1">
      <selection activeCell="A2" sqref="A2:I2"/>
    </sheetView>
  </sheetViews>
  <sheetFormatPr defaultColWidth="17.421875" defaultRowHeight="12.75"/>
  <cols>
    <col min="1" max="1" width="4.421875" style="91" bestFit="1" customWidth="1"/>
    <col min="2" max="2" width="52.140625" style="87" bestFit="1" customWidth="1"/>
    <col min="3" max="3" width="8.8515625" style="535" customWidth="1"/>
    <col min="4" max="4" width="22.00390625" style="88" bestFit="1" customWidth="1"/>
    <col min="5" max="5" width="7.421875" style="243" customWidth="1"/>
    <col min="6" max="6" width="8.57421875" style="243" customWidth="1"/>
    <col min="7" max="7" width="14.7109375" style="47" bestFit="1" customWidth="1"/>
    <col min="8" max="8" width="10.421875" style="89" bestFit="1" customWidth="1"/>
    <col min="9" max="9" width="7.00390625" style="90" customWidth="1"/>
    <col min="10" max="10" width="2.140625" style="95" bestFit="1" customWidth="1"/>
    <col min="11" max="11" width="17.421875" style="623" customWidth="1"/>
    <col min="12" max="12" width="17.421875" style="85" customWidth="1"/>
    <col min="13" max="13" width="17.421875" style="86" customWidth="1"/>
    <col min="14" max="15" width="17.421875" style="83" customWidth="1"/>
    <col min="16" max="16384" width="17.421875" style="87" customWidth="1"/>
  </cols>
  <sheetData>
    <row r="1" spans="1:15" s="1" customFormat="1" ht="72.75" customHeight="1">
      <c r="A1" s="258"/>
      <c r="B1" s="259"/>
      <c r="C1" s="260"/>
      <c r="D1" s="261"/>
      <c r="E1" s="262"/>
      <c r="F1" s="262"/>
      <c r="G1" s="262"/>
      <c r="H1" s="263"/>
      <c r="I1" s="264"/>
      <c r="J1" s="473"/>
      <c r="K1" s="618"/>
      <c r="L1" s="267"/>
      <c r="M1" s="268"/>
      <c r="N1" s="269"/>
      <c r="O1" s="73"/>
    </row>
    <row r="2" spans="1:15" s="5" customFormat="1" ht="22.5" customHeight="1">
      <c r="A2" s="654" t="s">
        <v>15</v>
      </c>
      <c r="B2" s="655"/>
      <c r="C2" s="655"/>
      <c r="D2" s="655"/>
      <c r="E2" s="655"/>
      <c r="F2" s="655"/>
      <c r="G2" s="655"/>
      <c r="H2" s="655"/>
      <c r="I2" s="655"/>
      <c r="J2" s="474"/>
      <c r="K2" s="619"/>
      <c r="L2" s="270"/>
      <c r="M2" s="270"/>
      <c r="N2" s="270"/>
      <c r="O2" s="74"/>
    </row>
    <row r="3" spans="1:13" s="278" customFormat="1" ht="12.75">
      <c r="A3" s="274"/>
      <c r="B3" s="656" t="s">
        <v>168</v>
      </c>
      <c r="C3" s="658" t="s">
        <v>121</v>
      </c>
      <c r="D3" s="660" t="s">
        <v>125</v>
      </c>
      <c r="E3" s="652" t="s">
        <v>127</v>
      </c>
      <c r="F3" s="652" t="s">
        <v>122</v>
      </c>
      <c r="G3" s="652" t="s">
        <v>129</v>
      </c>
      <c r="H3" s="652"/>
      <c r="I3" s="662" t="s">
        <v>123</v>
      </c>
      <c r="J3" s="275"/>
      <c r="K3" s="620"/>
      <c r="L3" s="276"/>
      <c r="M3" s="277"/>
    </row>
    <row r="4" spans="1:13" s="284" customFormat="1" ht="13.5" thickBot="1">
      <c r="A4" s="279"/>
      <c r="B4" s="657"/>
      <c r="C4" s="659"/>
      <c r="D4" s="661"/>
      <c r="E4" s="653"/>
      <c r="F4" s="653"/>
      <c r="G4" s="280" t="s">
        <v>171</v>
      </c>
      <c r="H4" s="281" t="s">
        <v>167</v>
      </c>
      <c r="I4" s="663"/>
      <c r="J4" s="275"/>
      <c r="K4" s="621"/>
      <c r="L4" s="282"/>
      <c r="M4" s="283"/>
    </row>
    <row r="5" spans="1:11" ht="13.5" customHeight="1">
      <c r="A5" s="271">
        <v>1</v>
      </c>
      <c r="B5" s="612" t="s">
        <v>261</v>
      </c>
      <c r="C5" s="613">
        <v>40487</v>
      </c>
      <c r="D5" s="614" t="s">
        <v>339</v>
      </c>
      <c r="E5" s="460">
        <v>383</v>
      </c>
      <c r="F5" s="460">
        <v>7</v>
      </c>
      <c r="G5" s="461">
        <v>31243829</v>
      </c>
      <c r="H5" s="462">
        <v>3424310</v>
      </c>
      <c r="I5" s="463">
        <f aca="true" t="shared" si="0" ref="I5:I10">+G5/H5</f>
        <v>9.124123984101907</v>
      </c>
      <c r="J5" s="108">
        <v>1</v>
      </c>
      <c r="K5" s="622"/>
    </row>
    <row r="6" spans="1:11" ht="13.5" customHeight="1">
      <c r="A6" s="271">
        <v>2</v>
      </c>
      <c r="B6" s="421" t="s">
        <v>415</v>
      </c>
      <c r="C6" s="602">
        <v>40221</v>
      </c>
      <c r="D6" s="376" t="s">
        <v>337</v>
      </c>
      <c r="E6" s="377">
        <v>378</v>
      </c>
      <c r="F6" s="377">
        <v>21</v>
      </c>
      <c r="G6" s="370">
        <f>15262368+6874188.5+2847763.25-223+1769171+1008022.25+602324.75+244767.5+35902+50854+1772+740+466+1889+1178+72+1176+376+620+1922+3597+1315+371</f>
        <v>28710632.25</v>
      </c>
      <c r="H6" s="371">
        <f>1752204+788243+333771+209388+119359+72788+39635-10+7563+234+104+69+615+148+12+346+52+124+384+600+152+61</f>
        <v>3325842</v>
      </c>
      <c r="I6" s="423">
        <f t="shared" si="0"/>
        <v>8.632590559022347</v>
      </c>
      <c r="J6" s="526">
        <v>1</v>
      </c>
      <c r="K6" s="622"/>
    </row>
    <row r="7" spans="1:11" ht="13.5" customHeight="1">
      <c r="A7" s="272">
        <v>3</v>
      </c>
      <c r="B7" s="627" t="s">
        <v>416</v>
      </c>
      <c r="C7" s="628">
        <v>40235</v>
      </c>
      <c r="D7" s="629" t="s">
        <v>324</v>
      </c>
      <c r="E7" s="630">
        <v>256</v>
      </c>
      <c r="F7" s="630">
        <v>39</v>
      </c>
      <c r="G7" s="631">
        <v>21723367</v>
      </c>
      <c r="H7" s="632">
        <v>2459815</v>
      </c>
      <c r="I7" s="633">
        <f t="shared" si="0"/>
        <v>8.831301134434907</v>
      </c>
      <c r="J7" s="525">
        <v>1</v>
      </c>
      <c r="K7" s="622"/>
    </row>
    <row r="8" spans="1:11" ht="13.5" customHeight="1">
      <c r="A8" s="271">
        <v>4</v>
      </c>
      <c r="B8" s="530" t="s">
        <v>260</v>
      </c>
      <c r="C8" s="625">
        <v>40179</v>
      </c>
      <c r="D8" s="532" t="s">
        <v>324</v>
      </c>
      <c r="E8" s="531">
        <v>370</v>
      </c>
      <c r="F8" s="531">
        <v>34</v>
      </c>
      <c r="G8" s="428">
        <v>20856555</v>
      </c>
      <c r="H8" s="429">
        <v>2323061</v>
      </c>
      <c r="I8" s="626">
        <f t="shared" si="0"/>
        <v>8.97804878993707</v>
      </c>
      <c r="J8" s="526">
        <v>1</v>
      </c>
      <c r="K8" s="622"/>
    </row>
    <row r="9" spans="1:11" ht="13.5" customHeight="1">
      <c r="A9" s="271">
        <v>5</v>
      </c>
      <c r="B9" s="547" t="s">
        <v>455</v>
      </c>
      <c r="C9" s="602">
        <v>40515</v>
      </c>
      <c r="D9" s="537" t="s">
        <v>325</v>
      </c>
      <c r="E9" s="369">
        <v>337</v>
      </c>
      <c r="F9" s="369">
        <v>3</v>
      </c>
      <c r="G9" s="370">
        <v>14897976</v>
      </c>
      <c r="H9" s="371">
        <v>1574312</v>
      </c>
      <c r="I9" s="423">
        <f t="shared" si="0"/>
        <v>9.463166132253328</v>
      </c>
      <c r="J9" s="108">
        <v>1</v>
      </c>
      <c r="K9" s="622"/>
    </row>
    <row r="10" spans="1:11" ht="13.5" customHeight="1">
      <c r="A10" s="271">
        <v>6</v>
      </c>
      <c r="B10" s="547" t="s">
        <v>137</v>
      </c>
      <c r="C10" s="602">
        <v>40389</v>
      </c>
      <c r="D10" s="537" t="s">
        <v>325</v>
      </c>
      <c r="E10" s="369">
        <v>139</v>
      </c>
      <c r="F10" s="369">
        <v>20</v>
      </c>
      <c r="G10" s="370">
        <v>11029227</v>
      </c>
      <c r="H10" s="371">
        <v>1100309</v>
      </c>
      <c r="I10" s="423">
        <f t="shared" si="0"/>
        <v>10.023754236309982</v>
      </c>
      <c r="J10" s="108"/>
      <c r="K10" s="622"/>
    </row>
    <row r="11" spans="1:11" ht="13.5" customHeight="1">
      <c r="A11" s="271">
        <v>7</v>
      </c>
      <c r="B11" s="421" t="s">
        <v>417</v>
      </c>
      <c r="C11" s="602">
        <v>40263</v>
      </c>
      <c r="D11" s="376" t="s">
        <v>449</v>
      </c>
      <c r="E11" s="377">
        <v>286</v>
      </c>
      <c r="F11" s="377">
        <v>24</v>
      </c>
      <c r="G11" s="370">
        <v>9498739</v>
      </c>
      <c r="H11" s="371">
        <v>1141448</v>
      </c>
      <c r="I11" s="423">
        <f>IF(G11&lt;&gt;0,G11/H11,"")</f>
        <v>8.321657228362572</v>
      </c>
      <c r="J11" s="526">
        <v>1</v>
      </c>
      <c r="K11" s="622"/>
    </row>
    <row r="12" spans="1:11" ht="13.5" customHeight="1">
      <c r="A12" s="271">
        <v>8</v>
      </c>
      <c r="B12" s="529" t="s">
        <v>262</v>
      </c>
      <c r="C12" s="604">
        <v>40359</v>
      </c>
      <c r="D12" s="521" t="s">
        <v>452</v>
      </c>
      <c r="E12" s="520">
        <v>221</v>
      </c>
      <c r="F12" s="520">
        <v>19</v>
      </c>
      <c r="G12" s="386">
        <f>8339911.75+126742+36059+17874+19872.5+46539+20027.5+13183.5+5802.5+9278+6469+3698+1782+1782</f>
        <v>8649020.75</v>
      </c>
      <c r="H12" s="387">
        <f>985659+23920+5695+2809+3200+7782+3821+2588+999+2467+1187+903+445+445</f>
        <v>1041920</v>
      </c>
      <c r="I12" s="424">
        <f>G12/H12</f>
        <v>8.301041106802826</v>
      </c>
      <c r="J12" s="526"/>
      <c r="K12" s="622"/>
    </row>
    <row r="13" spans="1:11" ht="13.5" customHeight="1">
      <c r="A13" s="271">
        <v>9</v>
      </c>
      <c r="B13" s="529" t="s">
        <v>418</v>
      </c>
      <c r="C13" s="604">
        <v>40235</v>
      </c>
      <c r="D13" s="521" t="s">
        <v>326</v>
      </c>
      <c r="E13" s="520">
        <v>227</v>
      </c>
      <c r="F13" s="520">
        <v>29</v>
      </c>
      <c r="G13" s="386">
        <f>8240207.5+202+255+7892+2376+1782+1782+2376</f>
        <v>8256872.5</v>
      </c>
      <c r="H13" s="387">
        <f>1023896+40+51+1967+594+445+445+594</f>
        <v>1028032</v>
      </c>
      <c r="I13" s="424">
        <f>G13/H13</f>
        <v>8.031727125225673</v>
      </c>
      <c r="J13" s="527">
        <v>1</v>
      </c>
      <c r="K13" s="622"/>
    </row>
    <row r="14" spans="1:11" ht="13.5" customHeight="1">
      <c r="A14" s="271">
        <v>10</v>
      </c>
      <c r="B14" s="421" t="s">
        <v>492</v>
      </c>
      <c r="C14" s="602">
        <v>40499</v>
      </c>
      <c r="D14" s="537" t="s">
        <v>325</v>
      </c>
      <c r="E14" s="369">
        <v>216</v>
      </c>
      <c r="F14" s="369">
        <v>5</v>
      </c>
      <c r="G14" s="370">
        <v>7446891</v>
      </c>
      <c r="H14" s="371">
        <v>779398</v>
      </c>
      <c r="I14" s="423">
        <f aca="true" t="shared" si="1" ref="I14:I28">+G14/H14</f>
        <v>9.554670399462148</v>
      </c>
      <c r="J14" s="108"/>
      <c r="K14" s="622"/>
    </row>
    <row r="15" spans="1:11" ht="13.5" customHeight="1">
      <c r="A15" s="271">
        <v>11</v>
      </c>
      <c r="B15" s="529" t="s">
        <v>419</v>
      </c>
      <c r="C15" s="605">
        <v>40200</v>
      </c>
      <c r="D15" s="521" t="s">
        <v>337</v>
      </c>
      <c r="E15" s="606">
        <v>203</v>
      </c>
      <c r="F15" s="606">
        <v>28</v>
      </c>
      <c r="G15" s="407">
        <f>3375939.75+2025612.25+1005793.75+228158+129822-591+58554+4486+0.5+8491+759.5+1035+759+201+415+646+449+105+90+2225+753+907+573+114+42+69+65+102+142+29</f>
        <v>6845746.75</v>
      </c>
      <c r="H15" s="408">
        <f>390291+234725-168+117153-100+30011-18+18391+466+8404+725+1222+127+171+129+36+46+64+73+21+18+297+138+150+94+22+10+9+15+21+4</f>
        <v>802547</v>
      </c>
      <c r="I15" s="464">
        <f t="shared" si="1"/>
        <v>8.530025967326525</v>
      </c>
      <c r="J15" s="526">
        <v>1</v>
      </c>
      <c r="K15" s="622"/>
    </row>
    <row r="16" spans="1:11" ht="13.5" customHeight="1">
      <c r="A16" s="271">
        <v>12</v>
      </c>
      <c r="B16" s="529" t="s">
        <v>27</v>
      </c>
      <c r="C16" s="604">
        <v>40200</v>
      </c>
      <c r="D16" s="521" t="s">
        <v>324</v>
      </c>
      <c r="E16" s="524">
        <v>227</v>
      </c>
      <c r="F16" s="524">
        <v>22</v>
      </c>
      <c r="G16" s="392">
        <v>6716187</v>
      </c>
      <c r="H16" s="408">
        <v>750913</v>
      </c>
      <c r="I16" s="425">
        <f t="shared" si="1"/>
        <v>8.94402813641527</v>
      </c>
      <c r="J16" s="526">
        <v>1</v>
      </c>
      <c r="K16" s="622"/>
    </row>
    <row r="17" spans="1:11" ht="13.5" customHeight="1">
      <c r="A17" s="271">
        <v>13</v>
      </c>
      <c r="B17" s="421" t="s">
        <v>28</v>
      </c>
      <c r="C17" s="602">
        <v>40214</v>
      </c>
      <c r="D17" s="376" t="s">
        <v>339</v>
      </c>
      <c r="E17" s="377">
        <v>144</v>
      </c>
      <c r="F17" s="377">
        <v>31</v>
      </c>
      <c r="G17" s="370">
        <v>6103697</v>
      </c>
      <c r="H17" s="371">
        <v>666238</v>
      </c>
      <c r="I17" s="423">
        <f t="shared" si="1"/>
        <v>9.161436303543178</v>
      </c>
      <c r="J17" s="526">
        <v>1</v>
      </c>
      <c r="K17" s="622"/>
    </row>
    <row r="18" spans="1:11" ht="13.5" customHeight="1">
      <c r="A18" s="271">
        <v>14</v>
      </c>
      <c r="B18" s="529" t="s">
        <v>333</v>
      </c>
      <c r="C18" s="604">
        <v>40326</v>
      </c>
      <c r="D18" s="521" t="s">
        <v>324</v>
      </c>
      <c r="E18" s="520">
        <v>212</v>
      </c>
      <c r="F18" s="520">
        <v>23</v>
      </c>
      <c r="G18" s="392">
        <v>6035217</v>
      </c>
      <c r="H18" s="410">
        <v>579137</v>
      </c>
      <c r="I18" s="425">
        <f t="shared" si="1"/>
        <v>10.421052358940976</v>
      </c>
      <c r="J18" s="526"/>
      <c r="K18" s="622"/>
    </row>
    <row r="19" spans="1:11" ht="13.5" customHeight="1">
      <c r="A19" s="271">
        <v>15</v>
      </c>
      <c r="B19" s="547" t="s">
        <v>17</v>
      </c>
      <c r="C19" s="602">
        <v>40494</v>
      </c>
      <c r="D19" s="537" t="s">
        <v>325</v>
      </c>
      <c r="E19" s="369">
        <v>144</v>
      </c>
      <c r="F19" s="369">
        <v>6</v>
      </c>
      <c r="G19" s="370">
        <v>6027765</v>
      </c>
      <c r="H19" s="371">
        <v>517439</v>
      </c>
      <c r="I19" s="423">
        <f t="shared" si="1"/>
        <v>11.649228218205431</v>
      </c>
      <c r="J19" s="108"/>
      <c r="K19" s="622"/>
    </row>
    <row r="20" spans="1:11" ht="13.5" customHeight="1">
      <c r="A20" s="271">
        <v>16</v>
      </c>
      <c r="B20" s="421" t="s">
        <v>65</v>
      </c>
      <c r="C20" s="602">
        <v>40418</v>
      </c>
      <c r="D20" s="376" t="s">
        <v>327</v>
      </c>
      <c r="E20" s="377">
        <v>260</v>
      </c>
      <c r="F20" s="377">
        <v>33</v>
      </c>
      <c r="G20" s="412">
        <v>5318712</v>
      </c>
      <c r="H20" s="413">
        <v>860445</v>
      </c>
      <c r="I20" s="423">
        <f t="shared" si="1"/>
        <v>6.181350347785157</v>
      </c>
      <c r="J20" s="526">
        <v>1</v>
      </c>
      <c r="K20" s="622"/>
    </row>
    <row r="21" spans="1:11" ht="13.5" customHeight="1">
      <c r="A21" s="271">
        <v>17</v>
      </c>
      <c r="B21" s="421" t="s">
        <v>250</v>
      </c>
      <c r="C21" s="602">
        <v>40319</v>
      </c>
      <c r="D21" s="376" t="s">
        <v>324</v>
      </c>
      <c r="E21" s="377">
        <v>178</v>
      </c>
      <c r="F21" s="377">
        <v>16</v>
      </c>
      <c r="G21" s="370">
        <v>4933804</v>
      </c>
      <c r="H21" s="371">
        <v>547200</v>
      </c>
      <c r="I21" s="423">
        <f t="shared" si="1"/>
        <v>9.016454678362573</v>
      </c>
      <c r="J21" s="526"/>
      <c r="K21" s="622"/>
    </row>
    <row r="22" spans="1:11" ht="13.5" customHeight="1">
      <c r="A22" s="271">
        <v>18</v>
      </c>
      <c r="B22" s="549" t="s">
        <v>263</v>
      </c>
      <c r="C22" s="604">
        <v>40382</v>
      </c>
      <c r="D22" s="607" t="s">
        <v>324</v>
      </c>
      <c r="E22" s="385">
        <v>142</v>
      </c>
      <c r="F22" s="385">
        <v>22</v>
      </c>
      <c r="G22" s="392">
        <v>4900901</v>
      </c>
      <c r="H22" s="410">
        <v>438639</v>
      </c>
      <c r="I22" s="425">
        <f t="shared" si="1"/>
        <v>11.172971395612338</v>
      </c>
      <c r="J22" s="108"/>
      <c r="K22" s="622"/>
    </row>
    <row r="23" spans="1:11" ht="13.5" customHeight="1">
      <c r="A23" s="271">
        <v>19</v>
      </c>
      <c r="B23" s="421" t="s">
        <v>342</v>
      </c>
      <c r="C23" s="602">
        <v>40270</v>
      </c>
      <c r="D23" s="376" t="s">
        <v>325</v>
      </c>
      <c r="E23" s="377">
        <v>199</v>
      </c>
      <c r="F23" s="377">
        <v>19</v>
      </c>
      <c r="G23" s="370">
        <v>4811400</v>
      </c>
      <c r="H23" s="371">
        <v>476597</v>
      </c>
      <c r="I23" s="423">
        <f t="shared" si="1"/>
        <v>10.095321623929651</v>
      </c>
      <c r="J23" s="526"/>
      <c r="K23" s="622"/>
    </row>
    <row r="24" spans="1:11" ht="13.5" customHeight="1">
      <c r="A24" s="271">
        <v>20</v>
      </c>
      <c r="B24" s="421" t="s">
        <v>393</v>
      </c>
      <c r="C24" s="602">
        <v>40312</v>
      </c>
      <c r="D24" s="376" t="s">
        <v>324</v>
      </c>
      <c r="E24" s="377">
        <v>168</v>
      </c>
      <c r="F24" s="377">
        <v>13</v>
      </c>
      <c r="G24" s="370">
        <v>4578821</v>
      </c>
      <c r="H24" s="371">
        <v>491609</v>
      </c>
      <c r="I24" s="423">
        <f t="shared" si="1"/>
        <v>9.313948686862934</v>
      </c>
      <c r="J24" s="526"/>
      <c r="K24" s="622"/>
    </row>
    <row r="25" spans="1:11" ht="13.5" customHeight="1">
      <c r="A25" s="271">
        <v>21</v>
      </c>
      <c r="B25" s="421" t="s">
        <v>443</v>
      </c>
      <c r="C25" s="602">
        <v>40242</v>
      </c>
      <c r="D25" s="376" t="s">
        <v>324</v>
      </c>
      <c r="E25" s="377">
        <v>75</v>
      </c>
      <c r="F25" s="377">
        <v>22</v>
      </c>
      <c r="G25" s="370">
        <v>3754099</v>
      </c>
      <c r="H25" s="371">
        <v>335819</v>
      </c>
      <c r="I25" s="423">
        <f t="shared" si="1"/>
        <v>11.178935676659153</v>
      </c>
      <c r="J25" s="526"/>
      <c r="K25" s="622"/>
    </row>
    <row r="26" spans="1:11" ht="13.5" customHeight="1">
      <c r="A26" s="271">
        <v>22</v>
      </c>
      <c r="B26" s="421" t="s">
        <v>280</v>
      </c>
      <c r="C26" s="602">
        <v>40431</v>
      </c>
      <c r="D26" s="603" t="s">
        <v>339</v>
      </c>
      <c r="E26" s="377">
        <v>124</v>
      </c>
      <c r="F26" s="377">
        <v>12</v>
      </c>
      <c r="G26" s="378">
        <v>3688831</v>
      </c>
      <c r="H26" s="379">
        <v>331689</v>
      </c>
      <c r="I26" s="422">
        <f t="shared" si="1"/>
        <v>11.121354642451212</v>
      </c>
      <c r="J26" s="108"/>
      <c r="K26" s="622"/>
    </row>
    <row r="27" spans="1:11" ht="13.5" customHeight="1">
      <c r="A27" s="271">
        <v>23</v>
      </c>
      <c r="B27" s="529" t="s">
        <v>296</v>
      </c>
      <c r="C27" s="604">
        <v>40361</v>
      </c>
      <c r="D27" s="521" t="s">
        <v>324</v>
      </c>
      <c r="E27" s="520">
        <v>161</v>
      </c>
      <c r="F27" s="520">
        <v>22</v>
      </c>
      <c r="G27" s="392">
        <v>3661169</v>
      </c>
      <c r="H27" s="393">
        <v>334383</v>
      </c>
      <c r="I27" s="425">
        <f t="shared" si="1"/>
        <v>10.949028509224453</v>
      </c>
      <c r="J27" s="526"/>
      <c r="K27" s="622"/>
    </row>
    <row r="28" spans="1:11" ht="13.5" customHeight="1">
      <c r="A28" s="271">
        <v>24</v>
      </c>
      <c r="B28" s="421" t="s">
        <v>469</v>
      </c>
      <c r="C28" s="602">
        <v>40522</v>
      </c>
      <c r="D28" s="603" t="s">
        <v>339</v>
      </c>
      <c r="E28" s="377">
        <v>110</v>
      </c>
      <c r="F28" s="377">
        <v>2</v>
      </c>
      <c r="G28" s="378">
        <v>3073257</v>
      </c>
      <c r="H28" s="379">
        <v>287665</v>
      </c>
      <c r="I28" s="422">
        <f t="shared" si="1"/>
        <v>10.683458189213146</v>
      </c>
      <c r="J28" s="108"/>
      <c r="K28" s="622"/>
    </row>
    <row r="29" spans="1:11" ht="13.5" customHeight="1">
      <c r="A29" s="271">
        <v>25</v>
      </c>
      <c r="B29" s="547" t="s">
        <v>66</v>
      </c>
      <c r="C29" s="602">
        <v>40242</v>
      </c>
      <c r="D29" s="537" t="s">
        <v>449</v>
      </c>
      <c r="E29" s="369">
        <v>125</v>
      </c>
      <c r="F29" s="369">
        <v>23</v>
      </c>
      <c r="G29" s="403">
        <f>3052174.5+368+334+926+8316</f>
        <v>3062118.5</v>
      </c>
      <c r="H29" s="393">
        <f>484917+57+56+140+1663</f>
        <v>486833</v>
      </c>
      <c r="I29" s="422">
        <f>IF(G29&lt;&gt;0,G29/H29,"")</f>
        <v>6.289874556572788</v>
      </c>
      <c r="J29" s="108">
        <v>1</v>
      </c>
      <c r="K29" s="622"/>
    </row>
    <row r="30" spans="1:11" ht="13.5" customHeight="1">
      <c r="A30" s="271">
        <v>26</v>
      </c>
      <c r="B30" s="421" t="s">
        <v>368</v>
      </c>
      <c r="C30" s="602">
        <v>40193</v>
      </c>
      <c r="D30" s="376" t="s">
        <v>325</v>
      </c>
      <c r="E30" s="377">
        <v>83</v>
      </c>
      <c r="F30" s="377">
        <v>18</v>
      </c>
      <c r="G30" s="370">
        <v>2828949</v>
      </c>
      <c r="H30" s="371">
        <v>269864</v>
      </c>
      <c r="I30" s="423">
        <f>+G30/H30</f>
        <v>10.482869148904634</v>
      </c>
      <c r="J30" s="526"/>
      <c r="K30" s="622"/>
    </row>
    <row r="31" spans="1:11" ht="13.5" customHeight="1">
      <c r="A31" s="271">
        <v>27</v>
      </c>
      <c r="B31" s="549" t="s">
        <v>264</v>
      </c>
      <c r="C31" s="604">
        <v>40375</v>
      </c>
      <c r="D31" s="607" t="s">
        <v>324</v>
      </c>
      <c r="E31" s="385">
        <v>130</v>
      </c>
      <c r="F31" s="385">
        <v>23</v>
      </c>
      <c r="G31" s="392">
        <v>2780113</v>
      </c>
      <c r="H31" s="410">
        <v>314162</v>
      </c>
      <c r="I31" s="425">
        <f>+G31/H31</f>
        <v>8.84929749619623</v>
      </c>
      <c r="J31" s="108"/>
      <c r="K31" s="622"/>
    </row>
    <row r="32" spans="1:11" ht="13.5" customHeight="1">
      <c r="A32" s="271">
        <v>28</v>
      </c>
      <c r="B32" s="421" t="s">
        <v>391</v>
      </c>
      <c r="C32" s="602">
        <v>40305</v>
      </c>
      <c r="D32" s="376" t="s">
        <v>324</v>
      </c>
      <c r="E32" s="377">
        <v>126</v>
      </c>
      <c r="F32" s="377">
        <v>14</v>
      </c>
      <c r="G32" s="370">
        <v>2743085</v>
      </c>
      <c r="H32" s="371">
        <v>294602</v>
      </c>
      <c r="I32" s="423">
        <f>+G32/H32</f>
        <v>9.311155389304894</v>
      </c>
      <c r="J32" s="526"/>
      <c r="K32" s="622"/>
    </row>
    <row r="33" spans="1:11" ht="13.5" customHeight="1">
      <c r="A33" s="271">
        <v>29</v>
      </c>
      <c r="B33" s="547" t="s">
        <v>403</v>
      </c>
      <c r="C33" s="602">
        <v>40459</v>
      </c>
      <c r="D33" s="537" t="s">
        <v>325</v>
      </c>
      <c r="E33" s="369">
        <v>55</v>
      </c>
      <c r="F33" s="369">
        <v>11</v>
      </c>
      <c r="G33" s="370">
        <v>2707909</v>
      </c>
      <c r="H33" s="371">
        <v>235462</v>
      </c>
      <c r="I33" s="423">
        <f>+G33/H33</f>
        <v>11.500407709099557</v>
      </c>
      <c r="J33" s="108"/>
      <c r="K33" s="622"/>
    </row>
    <row r="34" spans="1:11" ht="13.5" customHeight="1">
      <c r="A34" s="271">
        <v>30</v>
      </c>
      <c r="B34" s="548" t="s">
        <v>317</v>
      </c>
      <c r="C34" s="604">
        <v>40480</v>
      </c>
      <c r="D34" s="536" t="s">
        <v>326</v>
      </c>
      <c r="E34" s="385">
        <v>100</v>
      </c>
      <c r="F34" s="385">
        <v>8</v>
      </c>
      <c r="G34" s="386">
        <f>1221166+429124.5+378100+240009.5+108018.5+26890.5+15319+16968</f>
        <v>2435596</v>
      </c>
      <c r="H34" s="387">
        <f>114702+40612+35598+23284+12543+4168+3055+2661</f>
        <v>236623</v>
      </c>
      <c r="I34" s="424">
        <f>G34/H34</f>
        <v>10.293149862862021</v>
      </c>
      <c r="J34" s="108"/>
      <c r="K34" s="622"/>
    </row>
    <row r="35" spans="1:11" ht="13.5" customHeight="1">
      <c r="A35" s="271">
        <v>31</v>
      </c>
      <c r="B35" s="421" t="s">
        <v>39</v>
      </c>
      <c r="C35" s="602">
        <v>40396</v>
      </c>
      <c r="D35" s="376" t="s">
        <v>325</v>
      </c>
      <c r="E35" s="377">
        <v>132</v>
      </c>
      <c r="F35" s="377">
        <v>14</v>
      </c>
      <c r="G35" s="370">
        <v>2368052</v>
      </c>
      <c r="H35" s="371">
        <v>252612</v>
      </c>
      <c r="I35" s="423">
        <f>+G35/H35</f>
        <v>9.374265672256266</v>
      </c>
      <c r="J35" s="526"/>
      <c r="K35" s="622"/>
    </row>
    <row r="36" spans="1:11" ht="13.5" customHeight="1">
      <c r="A36" s="271">
        <v>32</v>
      </c>
      <c r="B36" s="548" t="s">
        <v>94</v>
      </c>
      <c r="C36" s="604">
        <v>40487</v>
      </c>
      <c r="D36" s="536" t="s">
        <v>337</v>
      </c>
      <c r="E36" s="385">
        <v>162</v>
      </c>
      <c r="F36" s="385">
        <v>7</v>
      </c>
      <c r="G36" s="392">
        <f>525983.5+915356-20+520720.5+229861+37809.5+41066.5+9062.5</f>
        <v>2279839.5</v>
      </c>
      <c r="H36" s="393">
        <f>56225+93965-2+58841+28041+5233+5910+1474</f>
        <v>249687</v>
      </c>
      <c r="I36" s="466">
        <f>+G36/H36</f>
        <v>9.130789748765455</v>
      </c>
      <c r="J36" s="108">
        <v>1</v>
      </c>
      <c r="K36" s="622"/>
    </row>
    <row r="37" spans="1:11" ht="13.5" customHeight="1">
      <c r="A37" s="271">
        <v>33</v>
      </c>
      <c r="B37" s="529" t="s">
        <v>291</v>
      </c>
      <c r="C37" s="608">
        <v>40368</v>
      </c>
      <c r="D37" s="536" t="s">
        <v>326</v>
      </c>
      <c r="E37" s="546">
        <v>126</v>
      </c>
      <c r="F37" s="546">
        <v>22</v>
      </c>
      <c r="G37" s="386">
        <f>2106797.5+50230.5+32558.5+15249.5+15137+17418.5+7784.5+2808+2841.5+1328+2453+1693+613+726+713+1425.5+1782+1437</f>
        <v>2262996</v>
      </c>
      <c r="H37" s="387">
        <f>220679+7944+5486+2451+2714+3159+1414+494+658+202+452+398+85+227+178+356+445+228</f>
        <v>247570</v>
      </c>
      <c r="I37" s="424">
        <f>G37/H37</f>
        <v>9.140832895746657</v>
      </c>
      <c r="J37" s="108"/>
      <c r="K37" s="622"/>
    </row>
    <row r="38" spans="1:11" ht="13.5" customHeight="1">
      <c r="A38" s="271">
        <v>34</v>
      </c>
      <c r="B38" s="529" t="s">
        <v>444</v>
      </c>
      <c r="C38" s="604">
        <v>40249</v>
      </c>
      <c r="D38" s="521" t="s">
        <v>324</v>
      </c>
      <c r="E38" s="520">
        <v>97</v>
      </c>
      <c r="F38" s="520">
        <v>14</v>
      </c>
      <c r="G38" s="392">
        <v>2262684</v>
      </c>
      <c r="H38" s="410">
        <v>227930</v>
      </c>
      <c r="I38" s="425">
        <f>+G38/H38</f>
        <v>9.927100425569254</v>
      </c>
      <c r="J38" s="526"/>
      <c r="K38" s="622"/>
    </row>
    <row r="39" spans="1:11" ht="13.5" customHeight="1">
      <c r="A39" s="271">
        <v>35</v>
      </c>
      <c r="B39" s="548" t="s">
        <v>411</v>
      </c>
      <c r="C39" s="604">
        <v>40466</v>
      </c>
      <c r="D39" s="536" t="s">
        <v>326</v>
      </c>
      <c r="E39" s="385">
        <v>139</v>
      </c>
      <c r="F39" s="385">
        <v>10</v>
      </c>
      <c r="G39" s="386">
        <f>859399.5+611922.5+597511+92540.5+35432.5+12313+8417+3230+2786+1901</f>
        <v>2225453</v>
      </c>
      <c r="H39" s="387">
        <f>81834+61457+58453+8463+3493+2070+1395+1040+668+474</f>
        <v>219347</v>
      </c>
      <c r="I39" s="424">
        <f>G39/H39</f>
        <v>10.145810063506682</v>
      </c>
      <c r="J39" s="108"/>
      <c r="K39" s="622"/>
    </row>
    <row r="40" spans="1:11" ht="13.5" customHeight="1">
      <c r="A40" s="271">
        <v>36</v>
      </c>
      <c r="B40" s="529" t="s">
        <v>340</v>
      </c>
      <c r="C40" s="604">
        <v>40291</v>
      </c>
      <c r="D40" s="521" t="s">
        <v>324</v>
      </c>
      <c r="E40" s="520">
        <v>134</v>
      </c>
      <c r="F40" s="520">
        <v>34</v>
      </c>
      <c r="G40" s="392">
        <v>2207314</v>
      </c>
      <c r="H40" s="410">
        <v>198049</v>
      </c>
      <c r="I40" s="425">
        <f>+G40/H40</f>
        <v>11.145292326646436</v>
      </c>
      <c r="J40" s="525"/>
      <c r="K40" s="622"/>
    </row>
    <row r="41" spans="1:11" ht="13.5" customHeight="1">
      <c r="A41" s="271">
        <v>37</v>
      </c>
      <c r="B41" s="421" t="s">
        <v>265</v>
      </c>
      <c r="C41" s="602">
        <v>40403</v>
      </c>
      <c r="D41" s="376" t="s">
        <v>324</v>
      </c>
      <c r="E41" s="377">
        <v>114</v>
      </c>
      <c r="F41" s="377">
        <v>11</v>
      </c>
      <c r="G41" s="370">
        <v>2175089</v>
      </c>
      <c r="H41" s="371">
        <v>235795</v>
      </c>
      <c r="I41" s="423">
        <f>+G41/H41</f>
        <v>9.22449161347781</v>
      </c>
      <c r="J41" s="526"/>
      <c r="K41" s="622"/>
    </row>
    <row r="42" spans="1:11" ht="13.5" customHeight="1">
      <c r="A42" s="271">
        <v>38</v>
      </c>
      <c r="B42" s="549" t="s">
        <v>274</v>
      </c>
      <c r="C42" s="604">
        <v>40424</v>
      </c>
      <c r="D42" s="607" t="s">
        <v>324</v>
      </c>
      <c r="E42" s="385">
        <v>107</v>
      </c>
      <c r="F42" s="385">
        <v>16</v>
      </c>
      <c r="G42" s="392">
        <v>2165027</v>
      </c>
      <c r="H42" s="410">
        <v>195366</v>
      </c>
      <c r="I42" s="425">
        <f>+G42/H42</f>
        <v>11.081902685216466</v>
      </c>
      <c r="J42" s="108"/>
      <c r="K42" s="622"/>
    </row>
    <row r="43" spans="1:11" ht="13.5" customHeight="1">
      <c r="A43" s="271">
        <v>39</v>
      </c>
      <c r="B43" s="529" t="s">
        <v>267</v>
      </c>
      <c r="C43" s="604">
        <v>40466</v>
      </c>
      <c r="D43" s="607" t="s">
        <v>324</v>
      </c>
      <c r="E43" s="385">
        <v>119</v>
      </c>
      <c r="F43" s="385">
        <v>10</v>
      </c>
      <c r="G43" s="392">
        <v>2007717</v>
      </c>
      <c r="H43" s="410">
        <v>173800</v>
      </c>
      <c r="I43" s="425">
        <f>+G43/H43</f>
        <v>11.551881472957422</v>
      </c>
      <c r="J43" s="108"/>
      <c r="K43" s="622"/>
    </row>
    <row r="44" spans="1:11" ht="13.5" customHeight="1">
      <c r="A44" s="271">
        <v>40</v>
      </c>
      <c r="B44" s="529" t="s">
        <v>266</v>
      </c>
      <c r="C44" s="604">
        <v>40200</v>
      </c>
      <c r="D44" s="521" t="s">
        <v>324</v>
      </c>
      <c r="E44" s="520">
        <v>95</v>
      </c>
      <c r="F44" s="520">
        <v>21</v>
      </c>
      <c r="G44" s="392">
        <v>1949562</v>
      </c>
      <c r="H44" s="410">
        <v>218653</v>
      </c>
      <c r="I44" s="425">
        <f>+G44/H44</f>
        <v>8.91623714287021</v>
      </c>
      <c r="J44" s="526"/>
      <c r="K44" s="622"/>
    </row>
    <row r="45" spans="1:11" ht="13.5" customHeight="1">
      <c r="A45" s="271">
        <v>41</v>
      </c>
      <c r="B45" s="547" t="s">
        <v>292</v>
      </c>
      <c r="C45" s="602">
        <v>40207</v>
      </c>
      <c r="D45" s="537" t="s">
        <v>449</v>
      </c>
      <c r="E45" s="369">
        <v>47</v>
      </c>
      <c r="F45" s="369">
        <v>38</v>
      </c>
      <c r="G45" s="403">
        <f>1873890.5+5542+564+70+558+190+292+283.5</f>
        <v>1881390</v>
      </c>
      <c r="H45" s="393">
        <f>160830+1202+112+10+80+27+42+44</f>
        <v>162347</v>
      </c>
      <c r="I45" s="422">
        <f>IF(G45&lt;&gt;0,G45/H45,"")</f>
        <v>11.588695818216536</v>
      </c>
      <c r="J45" s="108"/>
      <c r="K45" s="622"/>
    </row>
    <row r="46" spans="1:11" ht="13.5" customHeight="1">
      <c r="A46" s="271">
        <v>42</v>
      </c>
      <c r="B46" s="550" t="s">
        <v>470</v>
      </c>
      <c r="C46" s="604">
        <v>40522</v>
      </c>
      <c r="D46" s="536" t="s">
        <v>326</v>
      </c>
      <c r="E46" s="385">
        <v>127</v>
      </c>
      <c r="F46" s="385">
        <v>2</v>
      </c>
      <c r="G46" s="386">
        <f>1048675+809166.5</f>
        <v>1857841.5</v>
      </c>
      <c r="H46" s="387">
        <f>92481+73795</f>
        <v>166276</v>
      </c>
      <c r="I46" s="424">
        <f>G46/H46</f>
        <v>11.173239072385671</v>
      </c>
      <c r="J46" s="108"/>
      <c r="K46" s="622"/>
    </row>
    <row r="47" spans="1:11" ht="13.5" customHeight="1">
      <c r="A47" s="271">
        <v>43</v>
      </c>
      <c r="B47" s="549" t="s">
        <v>410</v>
      </c>
      <c r="C47" s="604">
        <v>40473</v>
      </c>
      <c r="D47" s="607" t="s">
        <v>324</v>
      </c>
      <c r="E47" s="385">
        <v>100</v>
      </c>
      <c r="F47" s="385">
        <v>9</v>
      </c>
      <c r="G47" s="392">
        <v>1816583</v>
      </c>
      <c r="H47" s="410">
        <v>188702</v>
      </c>
      <c r="I47" s="425">
        <f>+G47/H47</f>
        <v>9.62672891649267</v>
      </c>
      <c r="J47" s="108"/>
      <c r="K47" s="622"/>
    </row>
    <row r="48" spans="1:11" ht="13.5" customHeight="1">
      <c r="A48" s="271">
        <v>44</v>
      </c>
      <c r="B48" s="548" t="s">
        <v>68</v>
      </c>
      <c r="C48" s="604">
        <v>40459</v>
      </c>
      <c r="D48" s="536" t="s">
        <v>326</v>
      </c>
      <c r="E48" s="385">
        <v>142</v>
      </c>
      <c r="F48" s="385">
        <v>11</v>
      </c>
      <c r="G48" s="386">
        <f>569713+434829.5+295345.5+223420+26108+12415.5+5998+1904+1368+799+648</f>
        <v>1572548.5</v>
      </c>
      <c r="H48" s="387">
        <f>61050+47827+36467+29781+4601+2405+1000+284+287+123+103</f>
        <v>183928</v>
      </c>
      <c r="I48" s="424">
        <f>G48/H48</f>
        <v>8.54980481492758</v>
      </c>
      <c r="J48" s="108">
        <v>1</v>
      </c>
      <c r="K48" s="622"/>
    </row>
    <row r="49" spans="1:11" ht="13.5" customHeight="1">
      <c r="A49" s="271">
        <v>45</v>
      </c>
      <c r="B49" s="421" t="s">
        <v>1</v>
      </c>
      <c r="C49" s="602">
        <v>40501</v>
      </c>
      <c r="D49" s="376" t="s">
        <v>327</v>
      </c>
      <c r="E49" s="377">
        <v>121</v>
      </c>
      <c r="F49" s="377">
        <v>5</v>
      </c>
      <c r="G49" s="398">
        <v>1554379</v>
      </c>
      <c r="H49" s="399">
        <v>153060</v>
      </c>
      <c r="I49" s="466">
        <f>+G49/H49</f>
        <v>10.155357376192343</v>
      </c>
      <c r="J49" s="108">
        <v>1</v>
      </c>
      <c r="K49" s="622"/>
    </row>
    <row r="50" spans="1:11" ht="13.5" customHeight="1">
      <c r="A50" s="271">
        <v>46</v>
      </c>
      <c r="B50" s="421" t="s">
        <v>67</v>
      </c>
      <c r="C50" s="602">
        <v>40249</v>
      </c>
      <c r="D50" s="376" t="s">
        <v>449</v>
      </c>
      <c r="E50" s="377">
        <v>116</v>
      </c>
      <c r="F50" s="377">
        <v>27</v>
      </c>
      <c r="G50" s="370">
        <v>1550563.25</v>
      </c>
      <c r="H50" s="371">
        <v>210407</v>
      </c>
      <c r="I50" s="423">
        <f>IF(G50&lt;&gt;0,G50/H50,"")</f>
        <v>7.369352017756063</v>
      </c>
      <c r="J50" s="526">
        <v>1</v>
      </c>
      <c r="K50" s="622"/>
    </row>
    <row r="51" spans="1:11" ht="13.5" customHeight="1">
      <c r="A51" s="271">
        <v>47</v>
      </c>
      <c r="B51" s="421" t="s">
        <v>268</v>
      </c>
      <c r="C51" s="602">
        <v>40214</v>
      </c>
      <c r="D51" s="376" t="s">
        <v>325</v>
      </c>
      <c r="E51" s="377">
        <v>72</v>
      </c>
      <c r="F51" s="377">
        <v>21</v>
      </c>
      <c r="G51" s="370">
        <v>1240570</v>
      </c>
      <c r="H51" s="371">
        <v>127045</v>
      </c>
      <c r="I51" s="423">
        <f aca="true" t="shared" si="2" ref="I51:I56">+G51/H51</f>
        <v>9.764807745287102</v>
      </c>
      <c r="J51" s="526"/>
      <c r="K51" s="622"/>
    </row>
    <row r="52" spans="1:11" ht="13.5" customHeight="1">
      <c r="A52" s="271">
        <v>48</v>
      </c>
      <c r="B52" s="421" t="s">
        <v>420</v>
      </c>
      <c r="C52" s="602">
        <v>40403</v>
      </c>
      <c r="D52" s="376" t="s">
        <v>325</v>
      </c>
      <c r="E52" s="377">
        <v>77</v>
      </c>
      <c r="F52" s="377">
        <v>3</v>
      </c>
      <c r="G52" s="370">
        <v>1193934</v>
      </c>
      <c r="H52" s="371">
        <v>102690</v>
      </c>
      <c r="I52" s="423">
        <f t="shared" si="2"/>
        <v>11.626584867075664</v>
      </c>
      <c r="J52" s="526"/>
      <c r="K52" s="622"/>
    </row>
    <row r="53" spans="1:11" ht="13.5" customHeight="1">
      <c r="A53" s="271">
        <v>49</v>
      </c>
      <c r="B53" s="547" t="s">
        <v>2</v>
      </c>
      <c r="C53" s="602">
        <v>40508</v>
      </c>
      <c r="D53" s="537" t="s">
        <v>325</v>
      </c>
      <c r="E53" s="369">
        <v>72</v>
      </c>
      <c r="F53" s="369">
        <v>4</v>
      </c>
      <c r="G53" s="370">
        <v>1184382</v>
      </c>
      <c r="H53" s="371">
        <v>101908</v>
      </c>
      <c r="I53" s="423">
        <f t="shared" si="2"/>
        <v>11.622070887467126</v>
      </c>
      <c r="J53" s="108"/>
      <c r="K53" s="622"/>
    </row>
    <row r="54" spans="1:15" s="104" customFormat="1" ht="13.5" customHeight="1">
      <c r="A54" s="271">
        <v>50</v>
      </c>
      <c r="B54" s="421" t="s">
        <v>269</v>
      </c>
      <c r="C54" s="604">
        <v>40228</v>
      </c>
      <c r="D54" s="376" t="s">
        <v>324</v>
      </c>
      <c r="E54" s="520">
        <v>88</v>
      </c>
      <c r="F54" s="520">
        <v>15</v>
      </c>
      <c r="G54" s="392">
        <v>1169584</v>
      </c>
      <c r="H54" s="410">
        <v>115713</v>
      </c>
      <c r="I54" s="425">
        <f t="shared" si="2"/>
        <v>10.107628356364453</v>
      </c>
      <c r="J54" s="526"/>
      <c r="K54" s="622"/>
      <c r="L54" s="101"/>
      <c r="M54" s="102"/>
      <c r="N54" s="103"/>
      <c r="O54" s="103"/>
    </row>
    <row r="55" spans="1:11" ht="13.5" customHeight="1">
      <c r="A55" s="273">
        <v>51</v>
      </c>
      <c r="B55" s="421" t="s">
        <v>155</v>
      </c>
      <c r="C55" s="602">
        <v>40249</v>
      </c>
      <c r="D55" s="376" t="s">
        <v>337</v>
      </c>
      <c r="E55" s="377">
        <v>71</v>
      </c>
      <c r="F55" s="377">
        <v>25</v>
      </c>
      <c r="G55" s="370">
        <f>432486.25+301574+151308+7+112893+51222.5+22996.5+15680+18589.5+18584+12838+4788+1663+4208+490+365+2398+36+790+1056+718+2330+3855+1170+2143+1876</f>
        <v>1166064.75</v>
      </c>
      <c r="H55" s="371">
        <f>50407+35095+18523+1+15427+7108+3545+2281+2896+2839+2036+884+288+738+98+73+400+6+143+184+126+381+556+123+222+369</f>
        <v>144749</v>
      </c>
      <c r="I55" s="423">
        <f t="shared" si="2"/>
        <v>8.055770678899336</v>
      </c>
      <c r="J55" s="526">
        <v>1</v>
      </c>
      <c r="K55" s="622"/>
    </row>
    <row r="56" spans="1:11" ht="13.5" customHeight="1">
      <c r="A56" s="273">
        <v>52</v>
      </c>
      <c r="B56" s="421" t="s">
        <v>36</v>
      </c>
      <c r="C56" s="602">
        <v>40340</v>
      </c>
      <c r="D56" s="376" t="s">
        <v>325</v>
      </c>
      <c r="E56" s="377">
        <v>72</v>
      </c>
      <c r="F56" s="377">
        <v>14</v>
      </c>
      <c r="G56" s="370">
        <v>1164752</v>
      </c>
      <c r="H56" s="371">
        <v>102004</v>
      </c>
      <c r="I56" s="423">
        <f t="shared" si="2"/>
        <v>11.418689463158307</v>
      </c>
      <c r="J56" s="526"/>
      <c r="K56" s="622"/>
    </row>
    <row r="57" spans="1:11" ht="13.5" customHeight="1">
      <c r="A57" s="273">
        <v>53</v>
      </c>
      <c r="B57" s="465" t="s">
        <v>156</v>
      </c>
      <c r="C57" s="609">
        <v>40417</v>
      </c>
      <c r="D57" s="455" t="s">
        <v>290</v>
      </c>
      <c r="E57" s="456">
        <v>81</v>
      </c>
      <c r="F57" s="456">
        <v>13</v>
      </c>
      <c r="G57" s="398">
        <v>1161238</v>
      </c>
      <c r="H57" s="399">
        <v>99572</v>
      </c>
      <c r="I57" s="466">
        <v>11.662294620977786</v>
      </c>
      <c r="J57" s="525"/>
      <c r="K57" s="622"/>
    </row>
    <row r="58" spans="1:11" ht="13.5" customHeight="1">
      <c r="A58" s="273">
        <v>54</v>
      </c>
      <c r="B58" s="421" t="s">
        <v>85</v>
      </c>
      <c r="C58" s="602">
        <v>40319</v>
      </c>
      <c r="D58" s="376" t="s">
        <v>325</v>
      </c>
      <c r="E58" s="377">
        <v>83</v>
      </c>
      <c r="F58" s="377">
        <v>15</v>
      </c>
      <c r="G58" s="370">
        <v>1148321</v>
      </c>
      <c r="H58" s="371">
        <v>133120</v>
      </c>
      <c r="I58" s="423">
        <f>+G58/H58</f>
        <v>8.626209435096154</v>
      </c>
      <c r="J58" s="526"/>
      <c r="K58" s="622"/>
    </row>
    <row r="59" spans="1:11" ht="13.5" customHeight="1">
      <c r="A59" s="273">
        <v>55</v>
      </c>
      <c r="B59" s="529" t="s">
        <v>111</v>
      </c>
      <c r="C59" s="604">
        <v>40487</v>
      </c>
      <c r="D59" s="521" t="s">
        <v>324</v>
      </c>
      <c r="E59" s="520">
        <v>205</v>
      </c>
      <c r="F59" s="520">
        <v>6</v>
      </c>
      <c r="G59" s="392">
        <v>1132333</v>
      </c>
      <c r="H59" s="410">
        <v>130968</v>
      </c>
      <c r="I59" s="425">
        <f>+G59/H59</f>
        <v>8.645875328324475</v>
      </c>
      <c r="J59" s="525">
        <v>1</v>
      </c>
      <c r="K59" s="622"/>
    </row>
    <row r="60" spans="1:11" ht="13.5" customHeight="1">
      <c r="A60" s="273">
        <v>56</v>
      </c>
      <c r="B60" s="529" t="s">
        <v>385</v>
      </c>
      <c r="C60" s="604">
        <v>40298</v>
      </c>
      <c r="D60" s="521" t="s">
        <v>326</v>
      </c>
      <c r="E60" s="520">
        <v>50</v>
      </c>
      <c r="F60" s="520">
        <v>22</v>
      </c>
      <c r="G60" s="386">
        <f>1098381+301+1678+698+987+769+1685+973</f>
        <v>1105472</v>
      </c>
      <c r="H60" s="387">
        <f>132245+33+281+122+172+134+283+164</f>
        <v>133434</v>
      </c>
      <c r="I60" s="424">
        <f>G60/H60</f>
        <v>8.284784987334563</v>
      </c>
      <c r="J60" s="527"/>
      <c r="K60" s="622"/>
    </row>
    <row r="61" spans="1:11" ht="13.5" customHeight="1">
      <c r="A61" s="273">
        <v>57</v>
      </c>
      <c r="B61" s="421" t="s">
        <v>431</v>
      </c>
      <c r="C61" s="602">
        <v>40221</v>
      </c>
      <c r="D61" s="376" t="s">
        <v>325</v>
      </c>
      <c r="E61" s="377">
        <v>85</v>
      </c>
      <c r="F61" s="377">
        <v>16</v>
      </c>
      <c r="G61" s="370">
        <v>1082639</v>
      </c>
      <c r="H61" s="371">
        <v>102049</v>
      </c>
      <c r="I61" s="423">
        <f>+G61/H61</f>
        <v>10.609011357289145</v>
      </c>
      <c r="J61" s="526"/>
      <c r="K61" s="622"/>
    </row>
    <row r="62" spans="1:11" ht="13.5" customHeight="1">
      <c r="A62" s="273">
        <v>58</v>
      </c>
      <c r="B62" s="421" t="s">
        <v>357</v>
      </c>
      <c r="C62" s="602">
        <v>40207</v>
      </c>
      <c r="D62" s="376" t="s">
        <v>339</v>
      </c>
      <c r="E62" s="377">
        <v>87</v>
      </c>
      <c r="F62" s="377">
        <v>21</v>
      </c>
      <c r="G62" s="370">
        <v>1076786</v>
      </c>
      <c r="H62" s="371">
        <v>103826</v>
      </c>
      <c r="I62" s="423">
        <f>+G62/H62</f>
        <v>10.371063124843488</v>
      </c>
      <c r="J62" s="526"/>
      <c r="K62" s="622"/>
    </row>
    <row r="63" spans="1:11" ht="13.5" customHeight="1">
      <c r="A63" s="273">
        <v>59</v>
      </c>
      <c r="B63" s="529" t="s">
        <v>404</v>
      </c>
      <c r="C63" s="604">
        <v>40459</v>
      </c>
      <c r="D63" s="521" t="s">
        <v>324</v>
      </c>
      <c r="E63" s="520">
        <v>93</v>
      </c>
      <c r="F63" s="520">
        <v>7</v>
      </c>
      <c r="G63" s="392">
        <v>1069941</v>
      </c>
      <c r="H63" s="393">
        <v>98505</v>
      </c>
      <c r="I63" s="425">
        <f>+G63/H63</f>
        <v>10.861793817572712</v>
      </c>
      <c r="J63" s="525"/>
      <c r="K63" s="622"/>
    </row>
    <row r="64" spans="1:11" ht="13.5" customHeight="1">
      <c r="A64" s="273">
        <v>60</v>
      </c>
      <c r="B64" s="529" t="s">
        <v>86</v>
      </c>
      <c r="C64" s="604">
        <v>40445</v>
      </c>
      <c r="D64" s="521" t="s">
        <v>452</v>
      </c>
      <c r="E64" s="520">
        <v>99</v>
      </c>
      <c r="F64" s="520">
        <v>11</v>
      </c>
      <c r="G64" s="386">
        <f>321502+248658+168337.5+120626.5+93787.5+82596.5+8900+14133+4789+1421+2440</f>
        <v>1067191</v>
      </c>
      <c r="H64" s="387">
        <f>37510+29635+22309+17930+15012+11746+1292+2243+804+260+600</f>
        <v>139341</v>
      </c>
      <c r="I64" s="424">
        <f>G64/H64</f>
        <v>7.658844130586116</v>
      </c>
      <c r="J64" s="526">
        <v>1</v>
      </c>
      <c r="K64" s="622"/>
    </row>
    <row r="65" spans="1:11" ht="13.5" customHeight="1">
      <c r="A65" s="273">
        <v>61</v>
      </c>
      <c r="B65" s="421" t="s">
        <v>378</v>
      </c>
      <c r="C65" s="604">
        <v>40284</v>
      </c>
      <c r="D65" s="376" t="s">
        <v>324</v>
      </c>
      <c r="E65" s="520">
        <v>157</v>
      </c>
      <c r="F65" s="520">
        <v>11</v>
      </c>
      <c r="G65" s="392">
        <v>1056267</v>
      </c>
      <c r="H65" s="410">
        <v>125687</v>
      </c>
      <c r="I65" s="425">
        <f aca="true" t="shared" si="3" ref="I65:I71">+G65/H65</f>
        <v>8.4039479023288</v>
      </c>
      <c r="J65" s="526"/>
      <c r="K65" s="622"/>
    </row>
    <row r="66" spans="1:11" ht="13.5" customHeight="1">
      <c r="A66" s="273">
        <v>62</v>
      </c>
      <c r="B66" s="421" t="s">
        <v>400</v>
      </c>
      <c r="C66" s="602">
        <v>40452</v>
      </c>
      <c r="D66" s="376" t="s">
        <v>325</v>
      </c>
      <c r="E66" s="377">
        <v>74</v>
      </c>
      <c r="F66" s="377">
        <v>5</v>
      </c>
      <c r="G66" s="370">
        <v>991208</v>
      </c>
      <c r="H66" s="371">
        <v>82254</v>
      </c>
      <c r="I66" s="423">
        <f t="shared" si="3"/>
        <v>12.050575048021981</v>
      </c>
      <c r="J66" s="526"/>
      <c r="K66" s="622"/>
    </row>
    <row r="67" spans="1:11" ht="13.5" customHeight="1">
      <c r="A67" s="273">
        <v>63</v>
      </c>
      <c r="B67" s="421" t="s">
        <v>275</v>
      </c>
      <c r="C67" s="602">
        <v>40424</v>
      </c>
      <c r="D67" s="376" t="s">
        <v>325</v>
      </c>
      <c r="E67" s="377">
        <v>64</v>
      </c>
      <c r="F67" s="377">
        <v>11</v>
      </c>
      <c r="G67" s="370">
        <v>990230</v>
      </c>
      <c r="H67" s="371">
        <v>102423</v>
      </c>
      <c r="I67" s="423">
        <f t="shared" si="3"/>
        <v>9.668043310584537</v>
      </c>
      <c r="J67" s="526"/>
      <c r="K67" s="622"/>
    </row>
    <row r="68" spans="1:11" ht="13.5" customHeight="1">
      <c r="A68" s="273">
        <v>64</v>
      </c>
      <c r="B68" s="421" t="s">
        <v>87</v>
      </c>
      <c r="C68" s="602">
        <v>40473</v>
      </c>
      <c r="D68" s="376" t="s">
        <v>325</v>
      </c>
      <c r="E68" s="377">
        <v>74</v>
      </c>
      <c r="F68" s="377">
        <v>7</v>
      </c>
      <c r="G68" s="370">
        <v>976099</v>
      </c>
      <c r="H68" s="371">
        <v>83292</v>
      </c>
      <c r="I68" s="423">
        <f t="shared" si="3"/>
        <v>11.719000624309658</v>
      </c>
      <c r="J68" s="526"/>
      <c r="K68" s="622"/>
    </row>
    <row r="69" spans="1:11" ht="13.5" customHeight="1">
      <c r="A69" s="273">
        <v>65</v>
      </c>
      <c r="B69" s="547" t="s">
        <v>69</v>
      </c>
      <c r="C69" s="602">
        <v>40466</v>
      </c>
      <c r="D69" s="537" t="s">
        <v>325</v>
      </c>
      <c r="E69" s="369">
        <v>135</v>
      </c>
      <c r="F69" s="369">
        <v>10</v>
      </c>
      <c r="G69" s="370">
        <v>940573</v>
      </c>
      <c r="H69" s="371">
        <v>103692</v>
      </c>
      <c r="I69" s="423">
        <f t="shared" si="3"/>
        <v>9.070834779925162</v>
      </c>
      <c r="J69" s="108">
        <v>1</v>
      </c>
      <c r="K69" s="622"/>
    </row>
    <row r="70" spans="1:11" ht="13.5" customHeight="1">
      <c r="A70" s="273">
        <v>66</v>
      </c>
      <c r="B70" s="549" t="s">
        <v>147</v>
      </c>
      <c r="C70" s="604">
        <v>40494</v>
      </c>
      <c r="D70" s="607" t="s">
        <v>324</v>
      </c>
      <c r="E70" s="385">
        <v>72</v>
      </c>
      <c r="F70" s="385">
        <v>6</v>
      </c>
      <c r="G70" s="392">
        <v>900075</v>
      </c>
      <c r="H70" s="410">
        <v>83652</v>
      </c>
      <c r="I70" s="425">
        <f t="shared" si="3"/>
        <v>10.759754698034715</v>
      </c>
      <c r="J70" s="108"/>
      <c r="K70" s="622"/>
    </row>
    <row r="71" spans="1:11" ht="13.5" customHeight="1">
      <c r="A71" s="273">
        <v>67</v>
      </c>
      <c r="B71" s="529" t="s">
        <v>88</v>
      </c>
      <c r="C71" s="604">
        <v>40431</v>
      </c>
      <c r="D71" s="521" t="s">
        <v>324</v>
      </c>
      <c r="E71" s="520">
        <v>91</v>
      </c>
      <c r="F71" s="520">
        <v>8</v>
      </c>
      <c r="G71" s="392">
        <v>891077</v>
      </c>
      <c r="H71" s="410">
        <v>84123</v>
      </c>
      <c r="I71" s="425">
        <f t="shared" si="3"/>
        <v>10.592549005622718</v>
      </c>
      <c r="J71" s="526"/>
      <c r="K71" s="622"/>
    </row>
    <row r="72" spans="1:11" ht="13.5" customHeight="1">
      <c r="A72" s="273">
        <v>68</v>
      </c>
      <c r="B72" s="421" t="s">
        <v>70</v>
      </c>
      <c r="C72" s="602">
        <v>40452</v>
      </c>
      <c r="D72" s="537" t="s">
        <v>449</v>
      </c>
      <c r="E72" s="369">
        <v>148</v>
      </c>
      <c r="F72" s="369">
        <v>12</v>
      </c>
      <c r="G72" s="403">
        <f>699440.5+93480+55329+21058.5+2054+5186.5+3036+2522+4090+1329+2064</f>
        <v>889589.5</v>
      </c>
      <c r="H72" s="393">
        <f>74937+13125+8283+3296+346+1058+497+365+749+203+322</f>
        <v>103181</v>
      </c>
      <c r="I72" s="422">
        <f>IF(G72&lt;&gt;0,G72/H72,"")</f>
        <v>8.621640612128202</v>
      </c>
      <c r="J72" s="108">
        <v>1</v>
      </c>
      <c r="K72" s="622"/>
    </row>
    <row r="73" spans="1:11" ht="13.5" customHeight="1">
      <c r="A73" s="273">
        <v>69</v>
      </c>
      <c r="B73" s="421" t="s">
        <v>89</v>
      </c>
      <c r="C73" s="602">
        <v>40291</v>
      </c>
      <c r="D73" s="376" t="s">
        <v>325</v>
      </c>
      <c r="E73" s="377">
        <v>71</v>
      </c>
      <c r="F73" s="377">
        <v>16</v>
      </c>
      <c r="G73" s="370">
        <v>889332</v>
      </c>
      <c r="H73" s="371">
        <v>89718</v>
      </c>
      <c r="I73" s="423">
        <f>+G73/H73</f>
        <v>9.912525914532202</v>
      </c>
      <c r="J73" s="526"/>
      <c r="K73" s="622"/>
    </row>
    <row r="74" spans="1:11" ht="13.5" customHeight="1">
      <c r="A74" s="273">
        <v>70</v>
      </c>
      <c r="B74" s="421" t="s">
        <v>90</v>
      </c>
      <c r="C74" s="602">
        <v>40417</v>
      </c>
      <c r="D74" s="376" t="s">
        <v>325</v>
      </c>
      <c r="E74" s="377">
        <v>119</v>
      </c>
      <c r="F74" s="377">
        <v>14</v>
      </c>
      <c r="G74" s="370">
        <v>858912</v>
      </c>
      <c r="H74" s="371">
        <v>96673</v>
      </c>
      <c r="I74" s="423">
        <f>+G74/H74</f>
        <v>8.884714449742948</v>
      </c>
      <c r="J74" s="526"/>
      <c r="K74" s="622"/>
    </row>
    <row r="75" spans="1:11" ht="13.5" customHeight="1">
      <c r="A75" s="273">
        <v>71</v>
      </c>
      <c r="B75" s="421" t="s">
        <v>409</v>
      </c>
      <c r="C75" s="602">
        <v>40228</v>
      </c>
      <c r="D75" s="376" t="s">
        <v>326</v>
      </c>
      <c r="E75" s="377">
        <v>88</v>
      </c>
      <c r="F75" s="377">
        <v>24</v>
      </c>
      <c r="G75" s="370">
        <f>848677.55+469+99+661+35+1782</f>
        <v>851723.55</v>
      </c>
      <c r="H75" s="371">
        <f>99747+71+15+97+3+445</f>
        <v>100378</v>
      </c>
      <c r="I75" s="423">
        <f>G75/H75</f>
        <v>8.48516158919285</v>
      </c>
      <c r="J75" s="526"/>
      <c r="K75" s="622"/>
    </row>
    <row r="76" spans="1:11" ht="13.5" customHeight="1">
      <c r="A76" s="273">
        <v>72</v>
      </c>
      <c r="B76" s="421" t="s">
        <v>358</v>
      </c>
      <c r="C76" s="602">
        <v>40207</v>
      </c>
      <c r="D76" s="376" t="s">
        <v>324</v>
      </c>
      <c r="E76" s="377">
        <v>50</v>
      </c>
      <c r="F76" s="377">
        <v>28</v>
      </c>
      <c r="G76" s="370">
        <v>815675</v>
      </c>
      <c r="H76" s="371">
        <v>72645</v>
      </c>
      <c r="I76" s="423">
        <f>+G76/H76</f>
        <v>11.228233188794825</v>
      </c>
      <c r="J76" s="526"/>
      <c r="K76" s="622"/>
    </row>
    <row r="77" spans="1:11" ht="13.5" customHeight="1">
      <c r="A77" s="273">
        <v>73</v>
      </c>
      <c r="B77" s="421" t="s">
        <v>226</v>
      </c>
      <c r="C77" s="602">
        <v>40179</v>
      </c>
      <c r="D77" s="376" t="s">
        <v>326</v>
      </c>
      <c r="E77" s="377">
        <v>42</v>
      </c>
      <c r="F77" s="377">
        <v>27</v>
      </c>
      <c r="G77" s="370">
        <f>310442.5+275157.5+119153+26271.5+19971.5+13231+6468+3094+3122+818+3348+2300+3563+967.5+3712+860+1689+2039.5+386+1501+1918+1782+950.5+1188+40.5+1880.5+3564</f>
        <v>809418.5</v>
      </c>
      <c r="H77" s="371">
        <f>26771+24068+11328+2954+1983+1309+737+492+663+147+552+369+891+351+402+113+203+279+61+213+429+446+238+297+3+319+891</f>
        <v>76509</v>
      </c>
      <c r="I77" s="423">
        <f>G77/H77</f>
        <v>10.579389352886588</v>
      </c>
      <c r="J77" s="526"/>
      <c r="K77" s="622"/>
    </row>
    <row r="78" spans="1:11" ht="13.5" customHeight="1">
      <c r="A78" s="273">
        <v>74</v>
      </c>
      <c r="B78" s="529" t="s">
        <v>0</v>
      </c>
      <c r="C78" s="604">
        <v>40438</v>
      </c>
      <c r="D78" s="521" t="s">
        <v>324</v>
      </c>
      <c r="E78" s="524">
        <v>55</v>
      </c>
      <c r="F78" s="524">
        <v>8</v>
      </c>
      <c r="G78" s="392">
        <v>803926</v>
      </c>
      <c r="H78" s="408">
        <v>82740</v>
      </c>
      <c r="I78" s="425">
        <f>+G78/H78</f>
        <v>9.716291999033116</v>
      </c>
      <c r="J78" s="528"/>
      <c r="K78" s="622"/>
    </row>
    <row r="79" spans="1:11" ht="13.5" customHeight="1">
      <c r="A79" s="273">
        <v>75</v>
      </c>
      <c r="B79" s="421" t="s">
        <v>248</v>
      </c>
      <c r="C79" s="602">
        <v>40403</v>
      </c>
      <c r="D79" s="376" t="s">
        <v>325</v>
      </c>
      <c r="E79" s="377">
        <v>60</v>
      </c>
      <c r="F79" s="377">
        <v>11</v>
      </c>
      <c r="G79" s="370">
        <v>797420</v>
      </c>
      <c r="H79" s="371">
        <v>80151</v>
      </c>
      <c r="I79" s="423">
        <f>+G79/H79</f>
        <v>9.948971316639842</v>
      </c>
      <c r="J79" s="526"/>
      <c r="K79" s="622"/>
    </row>
    <row r="80" spans="1:11" ht="13.5" customHeight="1">
      <c r="A80" s="273">
        <v>76</v>
      </c>
      <c r="B80" s="548" t="s">
        <v>148</v>
      </c>
      <c r="C80" s="604">
        <v>40494</v>
      </c>
      <c r="D80" s="536" t="s">
        <v>326</v>
      </c>
      <c r="E80" s="385">
        <v>80</v>
      </c>
      <c r="F80" s="385">
        <v>6</v>
      </c>
      <c r="G80" s="386">
        <f>400584.5+260220.5+91588.5+26738.5+6598.5+10112.5</f>
        <v>795843</v>
      </c>
      <c r="H80" s="387">
        <f>34427+24318+9929+5066+1310+1866</f>
        <v>76916</v>
      </c>
      <c r="I80" s="424">
        <f>G80/H80</f>
        <v>10.346910915804253</v>
      </c>
      <c r="J80" s="108"/>
      <c r="K80" s="622"/>
    </row>
    <row r="81" spans="1:11" ht="13.5" customHeight="1">
      <c r="A81" s="273">
        <v>77</v>
      </c>
      <c r="B81" s="421" t="s">
        <v>330</v>
      </c>
      <c r="C81" s="602">
        <v>40319</v>
      </c>
      <c r="D81" s="376" t="s">
        <v>326</v>
      </c>
      <c r="E81" s="377">
        <v>40</v>
      </c>
      <c r="F81" s="377">
        <v>20</v>
      </c>
      <c r="G81" s="370">
        <f>711534+6511+3796+419.5+1506+964+288+504+98</f>
        <v>725620.5</v>
      </c>
      <c r="H81" s="371">
        <f>75498+1388+916+61+219+126+48+72+14</f>
        <v>78342</v>
      </c>
      <c r="I81" s="423">
        <f>G81/H81</f>
        <v>9.262215669755687</v>
      </c>
      <c r="J81" s="526"/>
      <c r="K81" s="622"/>
    </row>
    <row r="82" spans="1:11" ht="13.5" customHeight="1">
      <c r="A82" s="273">
        <v>78</v>
      </c>
      <c r="B82" s="548" t="s">
        <v>493</v>
      </c>
      <c r="C82" s="604">
        <v>40529</v>
      </c>
      <c r="D82" s="536" t="s">
        <v>326</v>
      </c>
      <c r="E82" s="385">
        <v>147</v>
      </c>
      <c r="F82" s="385">
        <v>1</v>
      </c>
      <c r="G82" s="386">
        <f>691567.5</f>
        <v>691567.5</v>
      </c>
      <c r="H82" s="387">
        <f>79327</f>
        <v>79327</v>
      </c>
      <c r="I82" s="424">
        <f>G82/H82</f>
        <v>8.717933364428253</v>
      </c>
      <c r="J82" s="108">
        <v>1</v>
      </c>
      <c r="K82" s="622">
        <v>1</v>
      </c>
    </row>
    <row r="83" spans="1:11" ht="13.5" customHeight="1">
      <c r="A83" s="273">
        <v>79</v>
      </c>
      <c r="B83" s="548" t="s">
        <v>456</v>
      </c>
      <c r="C83" s="604">
        <v>40515</v>
      </c>
      <c r="D83" s="536" t="s">
        <v>326</v>
      </c>
      <c r="E83" s="385">
        <v>62</v>
      </c>
      <c r="F83" s="385">
        <v>3</v>
      </c>
      <c r="G83" s="386">
        <f>353151+191248+132731.5</f>
        <v>677130.5</v>
      </c>
      <c r="H83" s="387">
        <f>34650+19352+14525</f>
        <v>68527</v>
      </c>
      <c r="I83" s="424">
        <f>G83/H83</f>
        <v>9.881222000087556</v>
      </c>
      <c r="J83" s="108"/>
      <c r="K83" s="622"/>
    </row>
    <row r="84" spans="1:15" s="96" customFormat="1" ht="13.5" customHeight="1">
      <c r="A84" s="271">
        <v>80</v>
      </c>
      <c r="B84" s="421" t="s">
        <v>343</v>
      </c>
      <c r="C84" s="604">
        <v>40235</v>
      </c>
      <c r="D84" s="376" t="s">
        <v>449</v>
      </c>
      <c r="E84" s="520">
        <v>29</v>
      </c>
      <c r="F84" s="520">
        <v>18</v>
      </c>
      <c r="G84" s="392">
        <v>666142</v>
      </c>
      <c r="H84" s="410">
        <v>54854</v>
      </c>
      <c r="I84" s="425">
        <f>IF(G84&lt;&gt;0,G84/H84,"")</f>
        <v>12.143909286469537</v>
      </c>
      <c r="J84" s="526"/>
      <c r="K84" s="622"/>
      <c r="L84" s="106"/>
      <c r="M84" s="105"/>
      <c r="N84" s="107"/>
      <c r="O84" s="107"/>
    </row>
    <row r="85" spans="1:11" ht="13.5" customHeight="1">
      <c r="A85" s="271">
        <v>81</v>
      </c>
      <c r="B85" s="529" t="s">
        <v>91</v>
      </c>
      <c r="C85" s="604">
        <v>40410</v>
      </c>
      <c r="D85" s="521" t="s">
        <v>452</v>
      </c>
      <c r="E85" s="520">
        <v>100</v>
      </c>
      <c r="F85" s="520">
        <v>17</v>
      </c>
      <c r="G85" s="386">
        <f>4793.5+233907+173006+95171+69286+22212.5+11921.5+10683+6473+5548+3621+5930+360+5346+2138.5+6058.5+4752</f>
        <v>661207.5</v>
      </c>
      <c r="H85" s="387">
        <f>312+25267+17706+10642+10638+3791+2335+2134+1501+1673+635+1434+72+1336+534+1515+1188</f>
        <v>82713</v>
      </c>
      <c r="I85" s="424">
        <f>G85/H85</f>
        <v>7.993997316020456</v>
      </c>
      <c r="J85" s="526"/>
      <c r="K85" s="622"/>
    </row>
    <row r="86" spans="1:11" ht="13.5" customHeight="1">
      <c r="A86" s="271">
        <v>82</v>
      </c>
      <c r="B86" s="615" t="s">
        <v>397</v>
      </c>
      <c r="C86" s="610">
        <v>40445</v>
      </c>
      <c r="D86" s="523" t="s">
        <v>326</v>
      </c>
      <c r="E86" s="522">
        <v>66</v>
      </c>
      <c r="F86" s="522">
        <v>8</v>
      </c>
      <c r="G86" s="412">
        <v>660763</v>
      </c>
      <c r="H86" s="413">
        <v>57298</v>
      </c>
      <c r="I86" s="425">
        <v>11.53204300324619</v>
      </c>
      <c r="J86" s="526"/>
      <c r="K86" s="622"/>
    </row>
    <row r="87" spans="1:11" ht="13.5" customHeight="1">
      <c r="A87" s="271">
        <v>83</v>
      </c>
      <c r="B87" s="529" t="s">
        <v>276</v>
      </c>
      <c r="C87" s="604">
        <v>40424</v>
      </c>
      <c r="D87" s="521" t="s">
        <v>326</v>
      </c>
      <c r="E87" s="520">
        <v>66</v>
      </c>
      <c r="F87" s="520">
        <v>10</v>
      </c>
      <c r="G87" s="386">
        <f>264785.5+196229+73062.5+45412.5+41454+14558.5+4120.5+4550.5+1195+461</f>
        <v>645829</v>
      </c>
      <c r="H87" s="387">
        <f>24937+20438+7883+6565+6065+2243+706+928+215+170</f>
        <v>70150</v>
      </c>
      <c r="I87" s="424">
        <f>G87/H87</f>
        <v>9.2064005702067</v>
      </c>
      <c r="J87" s="527"/>
      <c r="K87" s="622"/>
    </row>
    <row r="88" spans="1:11" ht="13.5" customHeight="1">
      <c r="A88" s="271">
        <v>84</v>
      </c>
      <c r="B88" s="421" t="s">
        <v>286</v>
      </c>
      <c r="C88" s="602">
        <v>40263</v>
      </c>
      <c r="D88" s="376" t="s">
        <v>337</v>
      </c>
      <c r="E88" s="377">
        <v>26</v>
      </c>
      <c r="F88" s="377">
        <v>16</v>
      </c>
      <c r="G88" s="370">
        <f>221307.25+165337+90601.5+71567+36580+10706+10295.5+5581+2374+1755+4236+0.5+204+3138+141+128+1211</f>
        <v>625162.75</v>
      </c>
      <c r="H88" s="371">
        <f>17930+13640+7523+6342+3464+1258+1309+637+273+215+422+32+492+25+22+134</f>
        <v>53718</v>
      </c>
      <c r="I88" s="423">
        <f aca="true" t="shared" si="4" ref="I88:I95">+G88/H88</f>
        <v>11.637863472206709</v>
      </c>
      <c r="J88" s="526"/>
      <c r="K88" s="622"/>
    </row>
    <row r="89" spans="1:11" ht="13.5" customHeight="1">
      <c r="A89" s="271">
        <v>85</v>
      </c>
      <c r="B89" s="529" t="s">
        <v>437</v>
      </c>
      <c r="C89" s="604">
        <v>40193</v>
      </c>
      <c r="D89" s="521" t="s">
        <v>324</v>
      </c>
      <c r="E89" s="524">
        <v>40</v>
      </c>
      <c r="F89" s="524">
        <v>24</v>
      </c>
      <c r="G89" s="407">
        <v>620741</v>
      </c>
      <c r="H89" s="393">
        <v>54728</v>
      </c>
      <c r="I89" s="425">
        <f t="shared" si="4"/>
        <v>11.34229279345125</v>
      </c>
      <c r="J89" s="526"/>
      <c r="K89" s="622"/>
    </row>
    <row r="90" spans="1:11" ht="13.5" customHeight="1">
      <c r="A90" s="271">
        <v>86</v>
      </c>
      <c r="B90" s="421" t="s">
        <v>344</v>
      </c>
      <c r="C90" s="602">
        <v>40298</v>
      </c>
      <c r="D90" s="376" t="s">
        <v>325</v>
      </c>
      <c r="E90" s="377">
        <v>73</v>
      </c>
      <c r="F90" s="377">
        <v>12</v>
      </c>
      <c r="G90" s="370">
        <v>605393</v>
      </c>
      <c r="H90" s="371">
        <v>67048</v>
      </c>
      <c r="I90" s="423">
        <f t="shared" si="4"/>
        <v>9.02924770313805</v>
      </c>
      <c r="J90" s="526"/>
      <c r="K90" s="622"/>
    </row>
    <row r="91" spans="1:11" ht="13.5" customHeight="1">
      <c r="A91" s="271">
        <v>87</v>
      </c>
      <c r="B91" s="421" t="s">
        <v>277</v>
      </c>
      <c r="C91" s="602">
        <v>40424</v>
      </c>
      <c r="D91" s="376" t="s">
        <v>339</v>
      </c>
      <c r="E91" s="377">
        <v>69</v>
      </c>
      <c r="F91" s="377">
        <v>9</v>
      </c>
      <c r="G91" s="378">
        <v>604794</v>
      </c>
      <c r="H91" s="379">
        <v>64132</v>
      </c>
      <c r="I91" s="422">
        <f t="shared" si="4"/>
        <v>9.430455934634816</v>
      </c>
      <c r="J91" s="526"/>
      <c r="K91" s="622"/>
    </row>
    <row r="92" spans="1:11" ht="13.5" customHeight="1">
      <c r="A92" s="271">
        <v>88</v>
      </c>
      <c r="B92" s="421" t="s">
        <v>293</v>
      </c>
      <c r="C92" s="602">
        <v>40200</v>
      </c>
      <c r="D92" s="376" t="s">
        <v>324</v>
      </c>
      <c r="E92" s="377">
        <v>100</v>
      </c>
      <c r="F92" s="377">
        <v>10</v>
      </c>
      <c r="G92" s="370">
        <v>602901</v>
      </c>
      <c r="H92" s="371">
        <v>63060</v>
      </c>
      <c r="I92" s="423">
        <f t="shared" si="4"/>
        <v>9.560751665080875</v>
      </c>
      <c r="J92" s="526"/>
      <c r="K92" s="622"/>
    </row>
    <row r="93" spans="1:11" ht="13.5" customHeight="1">
      <c r="A93" s="271">
        <v>89</v>
      </c>
      <c r="B93" s="549" t="s">
        <v>457</v>
      </c>
      <c r="C93" s="604">
        <v>40515</v>
      </c>
      <c r="D93" s="607" t="s">
        <v>324</v>
      </c>
      <c r="E93" s="385">
        <v>122</v>
      </c>
      <c r="F93" s="385">
        <v>3</v>
      </c>
      <c r="G93" s="392">
        <v>593143</v>
      </c>
      <c r="H93" s="410">
        <v>69420</v>
      </c>
      <c r="I93" s="425">
        <f t="shared" si="4"/>
        <v>8.54426678190723</v>
      </c>
      <c r="J93" s="108">
        <v>1</v>
      </c>
      <c r="K93" s="622"/>
    </row>
    <row r="94" spans="1:11" ht="13.5" customHeight="1">
      <c r="A94" s="271">
        <v>90</v>
      </c>
      <c r="B94" s="529" t="s">
        <v>71</v>
      </c>
      <c r="C94" s="604">
        <v>40270</v>
      </c>
      <c r="D94" s="521" t="s">
        <v>324</v>
      </c>
      <c r="E94" s="524">
        <v>77</v>
      </c>
      <c r="F94" s="524">
        <v>12</v>
      </c>
      <c r="G94" s="392">
        <v>574948</v>
      </c>
      <c r="H94" s="408">
        <v>63339</v>
      </c>
      <c r="I94" s="425">
        <f t="shared" si="4"/>
        <v>9.077314135051074</v>
      </c>
      <c r="J94" s="526">
        <v>1</v>
      </c>
      <c r="K94" s="622"/>
    </row>
    <row r="95" spans="1:11" ht="13.5" customHeight="1">
      <c r="A95" s="271">
        <v>91</v>
      </c>
      <c r="B95" s="421" t="s">
        <v>92</v>
      </c>
      <c r="C95" s="602">
        <v>40277</v>
      </c>
      <c r="D95" s="376" t="s">
        <v>339</v>
      </c>
      <c r="E95" s="377">
        <v>24</v>
      </c>
      <c r="F95" s="377">
        <v>22</v>
      </c>
      <c r="G95" s="370">
        <v>559113</v>
      </c>
      <c r="H95" s="371">
        <v>56515</v>
      </c>
      <c r="I95" s="423">
        <f t="shared" si="4"/>
        <v>9.893178802087942</v>
      </c>
      <c r="J95" s="526"/>
      <c r="K95" s="622"/>
    </row>
    <row r="96" spans="1:11" ht="13.5" customHeight="1">
      <c r="A96" s="271">
        <v>92</v>
      </c>
      <c r="B96" s="552" t="s">
        <v>180</v>
      </c>
      <c r="C96" s="608">
        <v>40347</v>
      </c>
      <c r="D96" s="536" t="s">
        <v>326</v>
      </c>
      <c r="E96" s="546">
        <v>66</v>
      </c>
      <c r="F96" s="546">
        <v>25</v>
      </c>
      <c r="G96" s="386">
        <f>478213+7083+3309.5+6055+4900+8378+4378.5+2349+3103+2074+7679.5+6108+2991.5+2180+2234+642+2775.5+1757</f>
        <v>546210.5</v>
      </c>
      <c r="H96" s="387">
        <f>55327+1259+553+1133+756+1285+650+408+682+334+1688+1394+539+483+475+201+677+260</f>
        <v>68104</v>
      </c>
      <c r="I96" s="424">
        <f>G96/H96</f>
        <v>8.020241101844238</v>
      </c>
      <c r="J96" s="108"/>
      <c r="K96" s="622"/>
    </row>
    <row r="97" spans="1:11" ht="13.5" customHeight="1">
      <c r="A97" s="271">
        <v>93</v>
      </c>
      <c r="B97" s="421" t="s">
        <v>442</v>
      </c>
      <c r="C97" s="602">
        <v>40242</v>
      </c>
      <c r="D97" s="376" t="s">
        <v>325</v>
      </c>
      <c r="E97" s="377">
        <v>53</v>
      </c>
      <c r="F97" s="377">
        <v>19</v>
      </c>
      <c r="G97" s="370">
        <v>539010</v>
      </c>
      <c r="H97" s="371">
        <v>55456</v>
      </c>
      <c r="I97" s="423">
        <f>+G97/H97</f>
        <v>9.719597518753606</v>
      </c>
      <c r="J97" s="526"/>
      <c r="K97" s="622"/>
    </row>
    <row r="98" spans="1:11" ht="13.5" customHeight="1">
      <c r="A98" s="271">
        <v>94</v>
      </c>
      <c r="B98" s="421" t="s">
        <v>93</v>
      </c>
      <c r="C98" s="604">
        <v>40193</v>
      </c>
      <c r="D98" s="521" t="s">
        <v>326</v>
      </c>
      <c r="E98" s="520">
        <v>55</v>
      </c>
      <c r="F98" s="520">
        <v>28</v>
      </c>
      <c r="G98" s="386">
        <f>197266+158498+94472.5+25746.5+5341+4975+4175+3550+3868+6158+8020+1277+951+3397+4599+198+566+1146+2247.5+174+31.5+2775.5+1188+735+2376+307+324+2613.5</f>
        <v>536976</v>
      </c>
      <c r="H98" s="387">
        <f>19567+17056+12441+3194+866+909+697+693+818+1478+1988+298+238+832+1154+55+212+207+411+57+12+610+297+71+594+46+71+653</f>
        <v>65525</v>
      </c>
      <c r="I98" s="424">
        <f>G98/H98</f>
        <v>8.194979015642884</v>
      </c>
      <c r="J98" s="526"/>
      <c r="K98" s="622"/>
    </row>
    <row r="99" spans="1:11" ht="13.5" customHeight="1">
      <c r="A99" s="271">
        <v>95</v>
      </c>
      <c r="B99" s="421" t="s">
        <v>95</v>
      </c>
      <c r="C99" s="602">
        <v>40375</v>
      </c>
      <c r="D99" s="376" t="s">
        <v>325</v>
      </c>
      <c r="E99" s="377">
        <v>67</v>
      </c>
      <c r="F99" s="377">
        <v>12</v>
      </c>
      <c r="G99" s="370">
        <v>523565</v>
      </c>
      <c r="H99" s="371">
        <v>54976</v>
      </c>
      <c r="I99" s="423">
        <f>+G99/H99</f>
        <v>9.523519353899884</v>
      </c>
      <c r="J99" s="526"/>
      <c r="K99" s="622"/>
    </row>
    <row r="100" spans="1:11" ht="13.5" customHeight="1">
      <c r="A100" s="271">
        <v>96</v>
      </c>
      <c r="B100" s="529" t="s">
        <v>387</v>
      </c>
      <c r="C100" s="604">
        <v>40298</v>
      </c>
      <c r="D100" s="521" t="s">
        <v>324</v>
      </c>
      <c r="E100" s="520">
        <v>55</v>
      </c>
      <c r="F100" s="520">
        <v>7</v>
      </c>
      <c r="G100" s="392">
        <v>491070</v>
      </c>
      <c r="H100" s="410">
        <v>50430</v>
      </c>
      <c r="I100" s="425">
        <f>+G100/H100</f>
        <v>9.737656157049376</v>
      </c>
      <c r="J100" s="526"/>
      <c r="K100" s="622"/>
    </row>
    <row r="101" spans="1:11" ht="13.5" customHeight="1">
      <c r="A101" s="271">
        <v>97</v>
      </c>
      <c r="B101" s="421" t="s">
        <v>227</v>
      </c>
      <c r="C101" s="602">
        <v>40179</v>
      </c>
      <c r="D101" s="376" t="s">
        <v>325</v>
      </c>
      <c r="E101" s="377">
        <v>60</v>
      </c>
      <c r="F101" s="377">
        <v>12</v>
      </c>
      <c r="G101" s="370">
        <v>477649</v>
      </c>
      <c r="H101" s="371">
        <v>47587</v>
      </c>
      <c r="I101" s="423">
        <f>+G101/H101</f>
        <v>10.03738415953937</v>
      </c>
      <c r="J101" s="526"/>
      <c r="K101" s="622"/>
    </row>
    <row r="102" spans="1:11" ht="13.5" customHeight="1">
      <c r="A102" s="271">
        <v>98</v>
      </c>
      <c r="B102" s="421" t="s">
        <v>438</v>
      </c>
      <c r="C102" s="602">
        <v>40200</v>
      </c>
      <c r="D102" s="376" t="s">
        <v>325</v>
      </c>
      <c r="E102" s="377">
        <v>50</v>
      </c>
      <c r="F102" s="377">
        <v>13</v>
      </c>
      <c r="G102" s="370">
        <v>477628</v>
      </c>
      <c r="H102" s="371">
        <v>43096</v>
      </c>
      <c r="I102" s="423">
        <f>+G102/H102</f>
        <v>11.082884722480044</v>
      </c>
      <c r="J102" s="526"/>
      <c r="K102" s="622"/>
    </row>
    <row r="103" spans="1:11" ht="13.5" customHeight="1">
      <c r="A103" s="271">
        <v>99</v>
      </c>
      <c r="B103" s="529" t="s">
        <v>96</v>
      </c>
      <c r="C103" s="604">
        <v>40438</v>
      </c>
      <c r="D103" s="521" t="s">
        <v>326</v>
      </c>
      <c r="E103" s="520">
        <v>36</v>
      </c>
      <c r="F103" s="520">
        <v>10</v>
      </c>
      <c r="G103" s="386">
        <f>160919+124657.5+84914.5+18163.5+22846.5+20846.5+29045.5+333+134+1782</f>
        <v>463642</v>
      </c>
      <c r="H103" s="387">
        <f>14016+10860+7535+2311+3106+2861+3466+39+19+445</f>
        <v>44658</v>
      </c>
      <c r="I103" s="424">
        <f>G103/H103</f>
        <v>10.38205920551749</v>
      </c>
      <c r="J103" s="526"/>
      <c r="K103" s="622"/>
    </row>
    <row r="104" spans="1:11" ht="13.5" customHeight="1">
      <c r="A104" s="271">
        <v>100</v>
      </c>
      <c r="B104" s="421" t="s">
        <v>72</v>
      </c>
      <c r="C104" s="602">
        <v>40193</v>
      </c>
      <c r="D104" s="376" t="s">
        <v>449</v>
      </c>
      <c r="E104" s="377">
        <v>124</v>
      </c>
      <c r="F104" s="377">
        <v>28</v>
      </c>
      <c r="G104" s="370">
        <v>462004.75</v>
      </c>
      <c r="H104" s="371">
        <v>58594</v>
      </c>
      <c r="I104" s="423">
        <f>IF(G104&lt;&gt;0,G104/H104,"")</f>
        <v>7.884847424650988</v>
      </c>
      <c r="J104" s="526">
        <v>1</v>
      </c>
      <c r="K104" s="622"/>
    </row>
    <row r="105" spans="1:11" ht="13.5" customHeight="1">
      <c r="A105" s="271">
        <v>101</v>
      </c>
      <c r="B105" s="547" t="s">
        <v>494</v>
      </c>
      <c r="C105" s="602">
        <v>40529</v>
      </c>
      <c r="D105" s="537" t="s">
        <v>325</v>
      </c>
      <c r="E105" s="369">
        <v>72</v>
      </c>
      <c r="F105" s="369">
        <v>1</v>
      </c>
      <c r="G105" s="370">
        <v>460354</v>
      </c>
      <c r="H105" s="371">
        <v>41857</v>
      </c>
      <c r="I105" s="423">
        <f>+G105/H105</f>
        <v>10.998255966743914</v>
      </c>
      <c r="J105" s="108"/>
      <c r="K105" s="622">
        <v>1</v>
      </c>
    </row>
    <row r="106" spans="1:11" ht="13.5" customHeight="1">
      <c r="A106" s="271">
        <v>102</v>
      </c>
      <c r="B106" s="529" t="s">
        <v>377</v>
      </c>
      <c r="C106" s="604">
        <v>40277</v>
      </c>
      <c r="D106" s="521" t="s">
        <v>324</v>
      </c>
      <c r="E106" s="520">
        <v>46</v>
      </c>
      <c r="F106" s="520">
        <v>11</v>
      </c>
      <c r="G106" s="392">
        <v>444402</v>
      </c>
      <c r="H106" s="410">
        <v>43201</v>
      </c>
      <c r="I106" s="425">
        <f>+G106/H106</f>
        <v>10.286845211916392</v>
      </c>
      <c r="J106" s="526"/>
      <c r="K106" s="622"/>
    </row>
    <row r="107" spans="1:11" ht="13.5" customHeight="1">
      <c r="A107" s="271">
        <v>103</v>
      </c>
      <c r="B107" s="421" t="s">
        <v>81</v>
      </c>
      <c r="C107" s="602">
        <v>40242</v>
      </c>
      <c r="D107" s="376" t="s">
        <v>326</v>
      </c>
      <c r="E107" s="377">
        <v>74</v>
      </c>
      <c r="F107" s="377">
        <v>28</v>
      </c>
      <c r="G107" s="370">
        <f>421210.25+356+162+4324+208+552+958+360</f>
        <v>428130.25</v>
      </c>
      <c r="H107" s="371">
        <f>55245+64+29+994+22+92+124+60</f>
        <v>56630</v>
      </c>
      <c r="I107" s="423">
        <f>G107/H107</f>
        <v>7.56013155571252</v>
      </c>
      <c r="J107" s="526">
        <v>1</v>
      </c>
      <c r="K107" s="622"/>
    </row>
    <row r="108" spans="1:11" ht="13.5" customHeight="1">
      <c r="A108" s="271">
        <v>104</v>
      </c>
      <c r="B108" s="529" t="s">
        <v>97</v>
      </c>
      <c r="C108" s="604">
        <v>40410</v>
      </c>
      <c r="D108" s="521" t="s">
        <v>324</v>
      </c>
      <c r="E108" s="520">
        <v>63</v>
      </c>
      <c r="F108" s="520">
        <v>11</v>
      </c>
      <c r="G108" s="392">
        <v>420104</v>
      </c>
      <c r="H108" s="410">
        <v>41095</v>
      </c>
      <c r="I108" s="425">
        <f>+G108/H108</f>
        <v>10.222752159630126</v>
      </c>
      <c r="J108" s="526"/>
      <c r="K108" s="622"/>
    </row>
    <row r="109" spans="1:11" ht="13.5" customHeight="1">
      <c r="A109" s="271">
        <v>105</v>
      </c>
      <c r="B109" s="421" t="s">
        <v>98</v>
      </c>
      <c r="C109" s="602">
        <v>40312</v>
      </c>
      <c r="D109" s="376" t="s">
        <v>449</v>
      </c>
      <c r="E109" s="377">
        <v>64</v>
      </c>
      <c r="F109" s="377">
        <v>21</v>
      </c>
      <c r="G109" s="403">
        <f>384993+315+150+24</f>
        <v>385482</v>
      </c>
      <c r="H109" s="393">
        <f>43717+38+25+4</f>
        <v>43784</v>
      </c>
      <c r="I109" s="422">
        <f>IF(G109&lt;&gt;0,G109/H109,"")</f>
        <v>8.804175041110907</v>
      </c>
      <c r="J109" s="525"/>
      <c r="K109" s="622"/>
    </row>
    <row r="110" spans="1:11" ht="13.5" customHeight="1">
      <c r="A110" s="271">
        <v>106</v>
      </c>
      <c r="B110" s="529" t="s">
        <v>99</v>
      </c>
      <c r="C110" s="604">
        <v>40291</v>
      </c>
      <c r="D110" s="521" t="s">
        <v>326</v>
      </c>
      <c r="E110" s="520">
        <v>54</v>
      </c>
      <c r="F110" s="520">
        <v>18</v>
      </c>
      <c r="G110" s="386">
        <f>176958+95672+38981+18151.5+6163+2998+21275.5+2116.5+2388+999.5+1168+372+497.5+323+2165+2352+2523+2019.5+1782</f>
        <v>378905</v>
      </c>
      <c r="H110" s="387">
        <f>18263+9908+5625+2922+979+506+4267+339+381+216+144+54+175+45+344+378+364+505+445</f>
        <v>45860</v>
      </c>
      <c r="I110" s="424">
        <f>G110/H110</f>
        <v>8.262211077191452</v>
      </c>
      <c r="J110" s="526">
        <v>1</v>
      </c>
      <c r="K110" s="622"/>
    </row>
    <row r="111" spans="1:11" ht="13.5" customHeight="1">
      <c r="A111" s="271">
        <v>107</v>
      </c>
      <c r="B111" s="421" t="s">
        <v>383</v>
      </c>
      <c r="C111" s="604">
        <v>40214</v>
      </c>
      <c r="D111" s="521" t="s">
        <v>324</v>
      </c>
      <c r="E111" s="520">
        <v>33</v>
      </c>
      <c r="F111" s="520">
        <v>14</v>
      </c>
      <c r="G111" s="392">
        <v>378715</v>
      </c>
      <c r="H111" s="410">
        <v>31429</v>
      </c>
      <c r="I111" s="425">
        <f>+G111/H111</f>
        <v>12.049858411021669</v>
      </c>
      <c r="J111" s="526"/>
      <c r="K111" s="622"/>
    </row>
    <row r="112" spans="1:11" ht="13.5" customHeight="1">
      <c r="A112" s="271">
        <v>108</v>
      </c>
      <c r="B112" s="421" t="s">
        <v>100</v>
      </c>
      <c r="C112" s="602">
        <v>40452</v>
      </c>
      <c r="D112" s="376" t="s">
        <v>325</v>
      </c>
      <c r="E112" s="377">
        <v>63</v>
      </c>
      <c r="F112" s="377">
        <v>7</v>
      </c>
      <c r="G112" s="370">
        <v>373090</v>
      </c>
      <c r="H112" s="371">
        <v>35772</v>
      </c>
      <c r="I112" s="423">
        <f>+G112/H112</f>
        <v>10.429665660292967</v>
      </c>
      <c r="J112" s="526"/>
      <c r="K112" s="622"/>
    </row>
    <row r="113" spans="1:11" ht="13.5" customHeight="1">
      <c r="A113" s="271">
        <v>109</v>
      </c>
      <c r="B113" s="421" t="s">
        <v>406</v>
      </c>
      <c r="C113" s="602">
        <v>40459</v>
      </c>
      <c r="D113" s="603" t="s">
        <v>339</v>
      </c>
      <c r="E113" s="377">
        <v>50</v>
      </c>
      <c r="F113" s="377">
        <v>11</v>
      </c>
      <c r="G113" s="378">
        <v>372089</v>
      </c>
      <c r="H113" s="379">
        <v>33633</v>
      </c>
      <c r="I113" s="422">
        <f>+G113/H113</f>
        <v>11.063211726578063</v>
      </c>
      <c r="J113" s="108"/>
      <c r="K113" s="622"/>
    </row>
    <row r="114" spans="1:11" ht="13.5" customHeight="1">
      <c r="A114" s="271">
        <v>110</v>
      </c>
      <c r="B114" s="421" t="s">
        <v>388</v>
      </c>
      <c r="C114" s="602">
        <v>40298</v>
      </c>
      <c r="D114" s="376" t="s">
        <v>324</v>
      </c>
      <c r="E114" s="377">
        <v>35</v>
      </c>
      <c r="F114" s="377">
        <v>11</v>
      </c>
      <c r="G114" s="370">
        <v>371097</v>
      </c>
      <c r="H114" s="371">
        <v>38345</v>
      </c>
      <c r="I114" s="423">
        <f>+G114/H114</f>
        <v>9.677845872995176</v>
      </c>
      <c r="J114" s="526"/>
      <c r="K114" s="622"/>
    </row>
    <row r="115" spans="1:11" ht="13.5" customHeight="1">
      <c r="A115" s="271">
        <v>111</v>
      </c>
      <c r="B115" s="421" t="s">
        <v>101</v>
      </c>
      <c r="C115" s="602">
        <v>40312</v>
      </c>
      <c r="D115" s="376" t="s">
        <v>449</v>
      </c>
      <c r="E115" s="377">
        <v>76</v>
      </c>
      <c r="F115" s="377">
        <v>26</v>
      </c>
      <c r="G115" s="403">
        <f>368451+307+100+121+229+326+178</f>
        <v>369712</v>
      </c>
      <c r="H115" s="393">
        <f>33019+57+16+18+35+48+25</f>
        <v>33218</v>
      </c>
      <c r="I115" s="422">
        <f>IF(G115&lt;&gt;0,G115/H115,"")</f>
        <v>11.129869347943886</v>
      </c>
      <c r="J115" s="525"/>
      <c r="K115" s="622"/>
    </row>
    <row r="116" spans="1:11" ht="13.5" customHeight="1">
      <c r="A116" s="271">
        <v>112</v>
      </c>
      <c r="B116" s="421" t="s">
        <v>102</v>
      </c>
      <c r="C116" s="602">
        <v>40277</v>
      </c>
      <c r="D116" s="376" t="s">
        <v>326</v>
      </c>
      <c r="E116" s="377">
        <v>32</v>
      </c>
      <c r="F116" s="377">
        <v>21</v>
      </c>
      <c r="G116" s="370">
        <f>123623+70914+52321.5+36022.5+20471+19766.5+8607.5+6454.5+5997+5816+5957.5+4106+4057+1721+797+784+203+228+300+294+150</f>
        <v>368591</v>
      </c>
      <c r="H116" s="371">
        <f>12717+7769+7500+5431+3494+3439+1495+1058+966+862+757+518+635+261+113+120+29+38+50+49+25</f>
        <v>47326</v>
      </c>
      <c r="I116" s="423">
        <f>G116/H116</f>
        <v>7.7883404471115245</v>
      </c>
      <c r="J116" s="526"/>
      <c r="K116" s="622"/>
    </row>
    <row r="117" spans="1:11" ht="13.5" customHeight="1">
      <c r="A117" s="271">
        <v>113</v>
      </c>
      <c r="B117" s="548" t="s">
        <v>281</v>
      </c>
      <c r="C117" s="604">
        <v>40430</v>
      </c>
      <c r="D117" s="536" t="s">
        <v>326</v>
      </c>
      <c r="E117" s="385">
        <v>57</v>
      </c>
      <c r="F117" s="385">
        <v>15</v>
      </c>
      <c r="G117" s="386">
        <f>15818.5+150711.5+75138.5+33591.5+30249.5+17415.5+8294.5+10566+6016+6121.5+888.5+2484+322+4243.5+950.5</f>
        <v>362811.5</v>
      </c>
      <c r="H117" s="387">
        <f>1512+15643+7345+4634+4073+2646+1136+2027+1109+1483+117+572+47+1041+237</f>
        <v>43622</v>
      </c>
      <c r="I117" s="424">
        <f>G117/H117</f>
        <v>8.317167942781165</v>
      </c>
      <c r="J117" s="108"/>
      <c r="K117" s="622"/>
    </row>
    <row r="118" spans="1:11" ht="13.5" customHeight="1">
      <c r="A118" s="271">
        <v>114</v>
      </c>
      <c r="B118" s="529" t="s">
        <v>103</v>
      </c>
      <c r="C118" s="604">
        <v>40333</v>
      </c>
      <c r="D118" s="521" t="s">
        <v>326</v>
      </c>
      <c r="E118" s="520">
        <v>20</v>
      </c>
      <c r="F118" s="520">
        <v>12</v>
      </c>
      <c r="G118" s="386">
        <f>323225+11633.5+4727+7021+3937+3808.5+2557+1297.5+236+594+340+1126+846</f>
        <v>361348.5</v>
      </c>
      <c r="H118" s="387">
        <f>37441+1670+699+1273+639+721+319+290+38+99+54+190+143</f>
        <v>43576</v>
      </c>
      <c r="I118" s="424">
        <f>G118/H118</f>
        <v>8.292374242702405</v>
      </c>
      <c r="J118" s="527"/>
      <c r="K118" s="622"/>
    </row>
    <row r="119" spans="1:11" ht="13.5" customHeight="1">
      <c r="A119" s="271">
        <v>115</v>
      </c>
      <c r="B119" s="421" t="s">
        <v>297</v>
      </c>
      <c r="C119" s="602">
        <v>40368</v>
      </c>
      <c r="D119" s="376" t="s">
        <v>324</v>
      </c>
      <c r="E119" s="377">
        <v>62</v>
      </c>
      <c r="F119" s="377">
        <v>13</v>
      </c>
      <c r="G119" s="370">
        <v>357884</v>
      </c>
      <c r="H119" s="371">
        <v>33438</v>
      </c>
      <c r="I119" s="423">
        <f aca="true" t="shared" si="5" ref="I119:I128">+G119/H119</f>
        <v>10.702912853639571</v>
      </c>
      <c r="J119" s="526"/>
      <c r="K119" s="622"/>
    </row>
    <row r="120" spans="1:11" ht="13.5" customHeight="1">
      <c r="A120" s="271">
        <v>116</v>
      </c>
      <c r="B120" s="421" t="s">
        <v>104</v>
      </c>
      <c r="C120" s="604">
        <v>40270</v>
      </c>
      <c r="D120" s="376" t="s">
        <v>324</v>
      </c>
      <c r="E120" s="520">
        <v>51</v>
      </c>
      <c r="F120" s="520">
        <v>10</v>
      </c>
      <c r="G120" s="392">
        <v>357238</v>
      </c>
      <c r="H120" s="410">
        <v>33792</v>
      </c>
      <c r="I120" s="425">
        <f t="shared" si="5"/>
        <v>10.571673768939394</v>
      </c>
      <c r="J120" s="526"/>
      <c r="K120" s="622"/>
    </row>
    <row r="121" spans="1:11" ht="13.5" customHeight="1">
      <c r="A121" s="271">
        <v>117</v>
      </c>
      <c r="B121" s="529" t="s">
        <v>181</v>
      </c>
      <c r="C121" s="605">
        <v>40347</v>
      </c>
      <c r="D121" s="521" t="s">
        <v>337</v>
      </c>
      <c r="E121" s="524">
        <v>45</v>
      </c>
      <c r="F121" s="524">
        <v>15</v>
      </c>
      <c r="G121" s="407">
        <f>163509.5+101167+33186.5+24021.5+13754+6432+0.5+3592+1727+471+4315+96+85.5+88.5+1066+282</f>
        <v>353794</v>
      </c>
      <c r="H121" s="410">
        <f>25673+3885+3462+2080+937+579+241+56+689+16+12+12+179+47</f>
        <v>37868</v>
      </c>
      <c r="I121" s="464">
        <f t="shared" si="5"/>
        <v>9.342822435829724</v>
      </c>
      <c r="J121" s="526"/>
      <c r="K121" s="622"/>
    </row>
    <row r="122" spans="1:11" ht="13.5" customHeight="1">
      <c r="A122" s="271">
        <v>118</v>
      </c>
      <c r="B122" s="421" t="s">
        <v>38</v>
      </c>
      <c r="C122" s="602">
        <v>40382</v>
      </c>
      <c r="D122" s="376" t="s">
        <v>234</v>
      </c>
      <c r="E122" s="377" t="s">
        <v>35</v>
      </c>
      <c r="F122" s="377" t="s">
        <v>359</v>
      </c>
      <c r="G122" s="370">
        <v>353617</v>
      </c>
      <c r="H122" s="371">
        <v>38620</v>
      </c>
      <c r="I122" s="423">
        <f t="shared" si="5"/>
        <v>9.15631796996375</v>
      </c>
      <c r="J122" s="526"/>
      <c r="K122" s="622"/>
    </row>
    <row r="123" spans="1:11" ht="13.5" customHeight="1">
      <c r="A123" s="271">
        <v>119</v>
      </c>
      <c r="B123" s="421" t="s">
        <v>43</v>
      </c>
      <c r="C123" s="602">
        <v>40284</v>
      </c>
      <c r="D123" s="376" t="s">
        <v>325</v>
      </c>
      <c r="E123" s="377">
        <v>50</v>
      </c>
      <c r="F123" s="377">
        <v>19</v>
      </c>
      <c r="G123" s="370">
        <v>352448</v>
      </c>
      <c r="H123" s="371">
        <v>46007</v>
      </c>
      <c r="I123" s="423">
        <f t="shared" si="5"/>
        <v>7.660747277588193</v>
      </c>
      <c r="J123" s="526"/>
      <c r="K123" s="622"/>
    </row>
    <row r="124" spans="1:11" ht="13.5" customHeight="1">
      <c r="A124" s="271">
        <v>120</v>
      </c>
      <c r="B124" s="421" t="s">
        <v>287</v>
      </c>
      <c r="C124" s="602">
        <v>40263</v>
      </c>
      <c r="D124" s="376" t="s">
        <v>324</v>
      </c>
      <c r="E124" s="377">
        <v>28</v>
      </c>
      <c r="F124" s="377">
        <v>24</v>
      </c>
      <c r="G124" s="370">
        <v>352029</v>
      </c>
      <c r="H124" s="371">
        <v>36402</v>
      </c>
      <c r="I124" s="423">
        <f t="shared" si="5"/>
        <v>9.670595022251524</v>
      </c>
      <c r="J124" s="526"/>
      <c r="K124" s="622"/>
    </row>
    <row r="125" spans="1:11" ht="13.5" customHeight="1">
      <c r="A125" s="271">
        <v>121</v>
      </c>
      <c r="B125" s="421" t="s">
        <v>74</v>
      </c>
      <c r="C125" s="602">
        <v>40309</v>
      </c>
      <c r="D125" s="376" t="s">
        <v>324</v>
      </c>
      <c r="E125" s="377">
        <v>71</v>
      </c>
      <c r="F125" s="377">
        <v>9</v>
      </c>
      <c r="G125" s="370">
        <v>330823</v>
      </c>
      <c r="H125" s="371">
        <v>34646</v>
      </c>
      <c r="I125" s="423">
        <f t="shared" si="5"/>
        <v>9.548663626392656</v>
      </c>
      <c r="J125" s="526"/>
      <c r="K125" s="622"/>
    </row>
    <row r="126" spans="1:11" ht="13.5" customHeight="1">
      <c r="A126" s="271">
        <v>122</v>
      </c>
      <c r="B126" s="421" t="s">
        <v>73</v>
      </c>
      <c r="C126" s="602">
        <v>40340</v>
      </c>
      <c r="D126" s="376" t="s">
        <v>337</v>
      </c>
      <c r="E126" s="377">
        <v>52</v>
      </c>
      <c r="F126" s="377">
        <v>16</v>
      </c>
      <c r="G126" s="370">
        <f>144139+109152+40981+11023.5+7232+3244+3575+474+519+592+94+116.5+883+1590+710+284</f>
        <v>324609</v>
      </c>
      <c r="H126" s="371">
        <f>14650+11055+5395+1581+974+426+476+53+94+99+13+16+143+284+88+47</f>
        <v>35394</v>
      </c>
      <c r="I126" s="423">
        <f t="shared" si="5"/>
        <v>9.171300220376335</v>
      </c>
      <c r="J126" s="526"/>
      <c r="K126" s="622"/>
    </row>
    <row r="127" spans="1:11" ht="13.5" customHeight="1">
      <c r="A127" s="271">
        <v>123</v>
      </c>
      <c r="B127" s="529" t="s">
        <v>398</v>
      </c>
      <c r="C127" s="604">
        <v>40445</v>
      </c>
      <c r="D127" s="521" t="s">
        <v>324</v>
      </c>
      <c r="E127" s="520">
        <v>45</v>
      </c>
      <c r="F127" s="520">
        <v>6</v>
      </c>
      <c r="G127" s="392">
        <v>321664</v>
      </c>
      <c r="H127" s="393">
        <v>31238</v>
      </c>
      <c r="I127" s="425">
        <f t="shared" si="5"/>
        <v>10.297202125616236</v>
      </c>
      <c r="J127" s="526"/>
      <c r="K127" s="622"/>
    </row>
    <row r="128" spans="1:11" ht="13.5" customHeight="1">
      <c r="A128" s="271">
        <v>124</v>
      </c>
      <c r="B128" s="421" t="s">
        <v>284</v>
      </c>
      <c r="C128" s="602">
        <v>40256</v>
      </c>
      <c r="D128" s="376" t="s">
        <v>339</v>
      </c>
      <c r="E128" s="377">
        <v>25</v>
      </c>
      <c r="F128" s="377">
        <v>20</v>
      </c>
      <c r="G128" s="370">
        <v>321144</v>
      </c>
      <c r="H128" s="371">
        <v>33567</v>
      </c>
      <c r="I128" s="423">
        <f t="shared" si="5"/>
        <v>9.5672535525963</v>
      </c>
      <c r="J128" s="526"/>
      <c r="K128" s="622"/>
    </row>
    <row r="129" spans="1:11" ht="13.5" customHeight="1">
      <c r="A129" s="271">
        <v>125</v>
      </c>
      <c r="B129" s="548" t="s">
        <v>412</v>
      </c>
      <c r="C129" s="604">
        <v>40473</v>
      </c>
      <c r="D129" s="536" t="s">
        <v>326</v>
      </c>
      <c r="E129" s="385">
        <v>28</v>
      </c>
      <c r="F129" s="385">
        <v>9</v>
      </c>
      <c r="G129" s="386">
        <f>152569.5+122205.5+10562+6863.5+9619+5655+1726.5+3593+4508</f>
        <v>317302</v>
      </c>
      <c r="H129" s="387">
        <f>12992+10278+1201+886+1535+877+246+644+1351</f>
        <v>30010</v>
      </c>
      <c r="I129" s="424">
        <f>G129/H129</f>
        <v>10.573208930356548</v>
      </c>
      <c r="J129" s="108"/>
      <c r="K129" s="622"/>
    </row>
    <row r="130" spans="1:11" ht="13.5" customHeight="1">
      <c r="A130" s="271">
        <v>126</v>
      </c>
      <c r="B130" s="465" t="s">
        <v>83</v>
      </c>
      <c r="C130" s="609">
        <v>40452</v>
      </c>
      <c r="D130" s="455" t="s">
        <v>290</v>
      </c>
      <c r="E130" s="456">
        <v>72</v>
      </c>
      <c r="F130" s="456">
        <v>8</v>
      </c>
      <c r="G130" s="398">
        <v>314629</v>
      </c>
      <c r="H130" s="399">
        <v>41081</v>
      </c>
      <c r="I130" s="466">
        <v>7.658747352790828</v>
      </c>
      <c r="J130" s="525">
        <v>1</v>
      </c>
      <c r="K130" s="622"/>
    </row>
    <row r="131" spans="1:11" ht="13.5" customHeight="1">
      <c r="A131" s="271">
        <v>127</v>
      </c>
      <c r="B131" s="421" t="s">
        <v>82</v>
      </c>
      <c r="C131" s="604">
        <v>40277</v>
      </c>
      <c r="D131" s="521" t="s">
        <v>325</v>
      </c>
      <c r="E131" s="520">
        <v>65</v>
      </c>
      <c r="F131" s="520">
        <v>9</v>
      </c>
      <c r="G131" s="392">
        <f>309621+745</f>
        <v>310366</v>
      </c>
      <c r="H131" s="410">
        <f>37154+142</f>
        <v>37296</v>
      </c>
      <c r="I131" s="425">
        <f>+G131/H131</f>
        <v>8.321696696696696</v>
      </c>
      <c r="J131" s="526">
        <v>1</v>
      </c>
      <c r="K131" s="622"/>
    </row>
    <row r="132" spans="1:11" ht="13.5" customHeight="1">
      <c r="A132" s="271">
        <v>128</v>
      </c>
      <c r="B132" s="529" t="s">
        <v>105</v>
      </c>
      <c r="C132" s="604">
        <v>40305</v>
      </c>
      <c r="D132" s="521" t="s">
        <v>326</v>
      </c>
      <c r="E132" s="520">
        <v>22</v>
      </c>
      <c r="F132" s="520">
        <v>21</v>
      </c>
      <c r="G132" s="386">
        <f>296367.5+1334+979+1882+2688+504.5+938+784</f>
        <v>305477</v>
      </c>
      <c r="H132" s="387">
        <f>30471+150+155+200+326+84+136+232</f>
        <v>31754</v>
      </c>
      <c r="I132" s="424">
        <f>G132/H132</f>
        <v>9.620110852176104</v>
      </c>
      <c r="J132" s="527"/>
      <c r="K132" s="622"/>
    </row>
    <row r="133" spans="1:11" ht="13.5" customHeight="1">
      <c r="A133" s="271">
        <v>129</v>
      </c>
      <c r="B133" s="421" t="s">
        <v>106</v>
      </c>
      <c r="C133" s="602">
        <v>40256</v>
      </c>
      <c r="D133" s="376" t="s">
        <v>326</v>
      </c>
      <c r="E133" s="377">
        <v>64</v>
      </c>
      <c r="F133" s="377">
        <v>11</v>
      </c>
      <c r="G133" s="370">
        <f>200154.75+75068.75+5354.5+7056.5+4518+1434+3806.5+2237+701+90+161</f>
        <v>300582</v>
      </c>
      <c r="H133" s="371">
        <f>18560+6806+580+1084+703+200+609+357+115+15+25</f>
        <v>29054</v>
      </c>
      <c r="I133" s="423">
        <f>G133/H133</f>
        <v>10.34563227094376</v>
      </c>
      <c r="J133" s="526"/>
      <c r="K133" s="622"/>
    </row>
    <row r="134" spans="1:11" ht="13.5" customHeight="1">
      <c r="A134" s="271">
        <v>130</v>
      </c>
      <c r="B134" s="529" t="s">
        <v>107</v>
      </c>
      <c r="C134" s="604">
        <v>40228</v>
      </c>
      <c r="D134" s="521" t="s">
        <v>326</v>
      </c>
      <c r="E134" s="520">
        <v>17</v>
      </c>
      <c r="F134" s="520">
        <v>32</v>
      </c>
      <c r="G134" s="386">
        <f>289107+1009.5+669+336+323+699+1238+121+1782+1782</f>
        <v>297066.5</v>
      </c>
      <c r="H134" s="387">
        <f>30560+127+85+56+54+123+217+22+445+445</f>
        <v>32134</v>
      </c>
      <c r="I134" s="424">
        <f>G134/H134</f>
        <v>9.244616294267754</v>
      </c>
      <c r="J134" s="526"/>
      <c r="K134" s="622"/>
    </row>
    <row r="135" spans="1:11" ht="13.5" customHeight="1">
      <c r="A135" s="271">
        <v>131</v>
      </c>
      <c r="B135" s="421" t="s">
        <v>84</v>
      </c>
      <c r="C135" s="604">
        <v>40277</v>
      </c>
      <c r="D135" s="521" t="s">
        <v>327</v>
      </c>
      <c r="E135" s="520">
        <v>32</v>
      </c>
      <c r="F135" s="520">
        <v>10</v>
      </c>
      <c r="G135" s="392">
        <v>293343.25</v>
      </c>
      <c r="H135" s="410">
        <v>31910</v>
      </c>
      <c r="I135" s="425">
        <f>+G135/H135</f>
        <v>9.192831400814791</v>
      </c>
      <c r="J135" s="526">
        <v>1</v>
      </c>
      <c r="K135" s="622"/>
    </row>
    <row r="136" spans="1:11" ht="13.5" customHeight="1">
      <c r="A136" s="271">
        <v>132</v>
      </c>
      <c r="B136" s="548" t="s">
        <v>413</v>
      </c>
      <c r="C136" s="604">
        <v>40473</v>
      </c>
      <c r="D136" s="536" t="s">
        <v>326</v>
      </c>
      <c r="E136" s="385">
        <v>30</v>
      </c>
      <c r="F136" s="385">
        <v>9</v>
      </c>
      <c r="G136" s="386">
        <f>140269+106844+7979+4849+4700.5+7059+2232+1390+2769</f>
        <v>278091.5</v>
      </c>
      <c r="H136" s="387">
        <f>11518+8629+641+577+660+1341+325+348+324</f>
        <v>24363</v>
      </c>
      <c r="I136" s="424">
        <f>G136/H136</f>
        <v>11.41450149817346</v>
      </c>
      <c r="J136" s="108"/>
      <c r="K136" s="622">
        <v>1</v>
      </c>
    </row>
    <row r="137" spans="1:11" ht="13.5" customHeight="1">
      <c r="A137" s="271">
        <v>133</v>
      </c>
      <c r="B137" s="421" t="s">
        <v>112</v>
      </c>
      <c r="C137" s="602">
        <v>40480</v>
      </c>
      <c r="D137" s="603" t="s">
        <v>339</v>
      </c>
      <c r="E137" s="377">
        <v>21</v>
      </c>
      <c r="F137" s="377">
        <v>8</v>
      </c>
      <c r="G137" s="378">
        <v>277149</v>
      </c>
      <c r="H137" s="379">
        <v>23846</v>
      </c>
      <c r="I137" s="422">
        <f>+G137/H137</f>
        <v>11.622452402918729</v>
      </c>
      <c r="J137" s="108"/>
      <c r="K137" s="622"/>
    </row>
    <row r="138" spans="1:11" ht="13.5" customHeight="1">
      <c r="A138" s="271">
        <v>134</v>
      </c>
      <c r="B138" s="548" t="s">
        <v>421</v>
      </c>
      <c r="C138" s="604">
        <v>40417</v>
      </c>
      <c r="D138" s="536" t="s">
        <v>326</v>
      </c>
      <c r="E138" s="385">
        <v>25</v>
      </c>
      <c r="F138" s="385">
        <v>13</v>
      </c>
      <c r="G138" s="386">
        <f>87475.5+57473+42134+23624+14854.5+21662+13363.5+5246+6057+2099+300.5+763+292.5</f>
        <v>275344.5</v>
      </c>
      <c r="H138" s="387">
        <f>7817+5228+5394+3109+2109+2845+2026+770+762+416+44+111+45</f>
        <v>30676</v>
      </c>
      <c r="I138" s="424">
        <f>G138/H138</f>
        <v>8.975893206415439</v>
      </c>
      <c r="J138" s="108"/>
      <c r="K138" s="622"/>
    </row>
    <row r="139" spans="1:11" ht="13.5" customHeight="1">
      <c r="A139" s="271">
        <v>135</v>
      </c>
      <c r="B139" s="421" t="s">
        <v>332</v>
      </c>
      <c r="C139" s="602">
        <v>40291</v>
      </c>
      <c r="D139" s="376" t="s">
        <v>326</v>
      </c>
      <c r="E139" s="377">
        <v>40</v>
      </c>
      <c r="F139" s="377">
        <v>16</v>
      </c>
      <c r="G139" s="370">
        <v>272412</v>
      </c>
      <c r="H139" s="371">
        <v>35341</v>
      </c>
      <c r="I139" s="423">
        <v>7.708101072408817</v>
      </c>
      <c r="J139" s="526"/>
      <c r="K139" s="622"/>
    </row>
    <row r="140" spans="1:11" ht="13.5" customHeight="1">
      <c r="A140" s="271">
        <v>136</v>
      </c>
      <c r="B140" s="421" t="s">
        <v>185</v>
      </c>
      <c r="C140" s="602">
        <v>40235</v>
      </c>
      <c r="D140" s="376" t="s">
        <v>325</v>
      </c>
      <c r="E140" s="377">
        <v>91</v>
      </c>
      <c r="F140" s="377">
        <v>12</v>
      </c>
      <c r="G140" s="370">
        <v>272173</v>
      </c>
      <c r="H140" s="371">
        <v>34380</v>
      </c>
      <c r="I140" s="423">
        <f aca="true" t="shared" si="6" ref="I140:I146">+G140/H140</f>
        <v>7.916608493310064</v>
      </c>
      <c r="J140" s="526"/>
      <c r="K140" s="622"/>
    </row>
    <row r="141" spans="1:11" ht="13.5" customHeight="1">
      <c r="A141" s="271">
        <v>137</v>
      </c>
      <c r="B141" s="421" t="s">
        <v>108</v>
      </c>
      <c r="C141" s="602">
        <v>40284</v>
      </c>
      <c r="D141" s="376" t="s">
        <v>339</v>
      </c>
      <c r="E141" s="377">
        <v>30</v>
      </c>
      <c r="F141" s="377">
        <v>21</v>
      </c>
      <c r="G141" s="370">
        <v>269283</v>
      </c>
      <c r="H141" s="371">
        <v>30684</v>
      </c>
      <c r="I141" s="423">
        <f t="shared" si="6"/>
        <v>8.776007039499413</v>
      </c>
      <c r="J141" s="526"/>
      <c r="K141" s="622"/>
    </row>
    <row r="142" spans="1:11" ht="13.5" customHeight="1">
      <c r="A142" s="271">
        <v>138</v>
      </c>
      <c r="B142" s="529" t="s">
        <v>405</v>
      </c>
      <c r="C142" s="604">
        <v>40459</v>
      </c>
      <c r="D142" s="521" t="s">
        <v>324</v>
      </c>
      <c r="E142" s="520">
        <v>56</v>
      </c>
      <c r="F142" s="520">
        <v>4</v>
      </c>
      <c r="G142" s="392">
        <v>268209</v>
      </c>
      <c r="H142" s="410">
        <v>28812</v>
      </c>
      <c r="I142" s="425">
        <f t="shared" si="6"/>
        <v>9.308933777592669</v>
      </c>
      <c r="J142" s="526"/>
      <c r="K142" s="622"/>
    </row>
    <row r="143" spans="1:11" ht="13.5" customHeight="1">
      <c r="A143" s="271">
        <v>139</v>
      </c>
      <c r="B143" s="529" t="s">
        <v>109</v>
      </c>
      <c r="C143" s="604">
        <v>40228</v>
      </c>
      <c r="D143" s="521" t="s">
        <v>324</v>
      </c>
      <c r="E143" s="520">
        <v>70</v>
      </c>
      <c r="F143" s="520">
        <v>17</v>
      </c>
      <c r="G143" s="392">
        <v>266528</v>
      </c>
      <c r="H143" s="410">
        <v>29571</v>
      </c>
      <c r="I143" s="425">
        <f t="shared" si="6"/>
        <v>9.013154780020967</v>
      </c>
      <c r="J143" s="526"/>
      <c r="K143" s="622"/>
    </row>
    <row r="144" spans="1:11" ht="13.5" customHeight="1">
      <c r="A144" s="271">
        <v>140</v>
      </c>
      <c r="B144" s="421" t="s">
        <v>186</v>
      </c>
      <c r="C144" s="602">
        <v>40333</v>
      </c>
      <c r="D144" s="376" t="s">
        <v>339</v>
      </c>
      <c r="E144" s="377">
        <v>90</v>
      </c>
      <c r="F144" s="377">
        <v>14</v>
      </c>
      <c r="G144" s="370">
        <v>263209</v>
      </c>
      <c r="H144" s="371">
        <v>32238</v>
      </c>
      <c r="I144" s="423">
        <f t="shared" si="6"/>
        <v>8.164557354674608</v>
      </c>
      <c r="J144" s="526">
        <v>1</v>
      </c>
      <c r="K144" s="622"/>
    </row>
    <row r="145" spans="1:11" ht="13.5" customHeight="1">
      <c r="A145" s="271">
        <v>141</v>
      </c>
      <c r="B145" s="529" t="s">
        <v>439</v>
      </c>
      <c r="C145" s="604">
        <v>40186</v>
      </c>
      <c r="D145" s="521" t="s">
        <v>325</v>
      </c>
      <c r="E145" s="520">
        <v>59</v>
      </c>
      <c r="F145" s="520">
        <v>6</v>
      </c>
      <c r="G145" s="392">
        <v>261553</v>
      </c>
      <c r="H145" s="410">
        <v>25914</v>
      </c>
      <c r="I145" s="425">
        <f t="shared" si="6"/>
        <v>10.093115690360422</v>
      </c>
      <c r="J145" s="526"/>
      <c r="K145" s="622"/>
    </row>
    <row r="146" spans="1:11" ht="13.5" customHeight="1">
      <c r="A146" s="271">
        <v>142</v>
      </c>
      <c r="B146" s="421" t="s">
        <v>110</v>
      </c>
      <c r="C146" s="602">
        <v>40235</v>
      </c>
      <c r="D146" s="376" t="s">
        <v>324</v>
      </c>
      <c r="E146" s="377">
        <v>46</v>
      </c>
      <c r="F146" s="377">
        <v>24</v>
      </c>
      <c r="G146" s="370">
        <v>259737</v>
      </c>
      <c r="H146" s="371">
        <v>25502</v>
      </c>
      <c r="I146" s="423">
        <f t="shared" si="6"/>
        <v>10.184965885028625</v>
      </c>
      <c r="J146" s="526"/>
      <c r="K146" s="622"/>
    </row>
    <row r="147" spans="1:11" ht="13.5" customHeight="1">
      <c r="A147" s="271">
        <v>143</v>
      </c>
      <c r="B147" s="548" t="s">
        <v>3</v>
      </c>
      <c r="C147" s="604">
        <v>40508</v>
      </c>
      <c r="D147" s="536" t="s">
        <v>326</v>
      </c>
      <c r="E147" s="385">
        <v>34</v>
      </c>
      <c r="F147" s="385">
        <v>4</v>
      </c>
      <c r="G147" s="386">
        <f>122173+87330+23120+25637</f>
        <v>258260</v>
      </c>
      <c r="H147" s="387">
        <f>10588+8153+2702+3877</f>
        <v>25320</v>
      </c>
      <c r="I147" s="424">
        <f>G147/H147</f>
        <v>10.199842022116904</v>
      </c>
      <c r="J147" s="108"/>
      <c r="K147" s="622"/>
    </row>
    <row r="148" spans="1:11" ht="13.5" customHeight="1">
      <c r="A148" s="271">
        <v>144</v>
      </c>
      <c r="B148" s="421" t="s">
        <v>187</v>
      </c>
      <c r="C148" s="602">
        <v>40277</v>
      </c>
      <c r="D148" s="521" t="s">
        <v>353</v>
      </c>
      <c r="E148" s="377">
        <v>101</v>
      </c>
      <c r="F148" s="377">
        <v>11</v>
      </c>
      <c r="G148" s="370">
        <f>139056.25+65096+32553+8586+0.5+3919+0.5+4271+1102+240+828+70+409</f>
        <v>256131.25</v>
      </c>
      <c r="H148" s="371">
        <f>17232+8920+4923+1282+584+699+215+38+132+12+63</f>
        <v>34100</v>
      </c>
      <c r="I148" s="423">
        <f>+G148/H148</f>
        <v>7.511180351906158</v>
      </c>
      <c r="J148" s="526">
        <v>1</v>
      </c>
      <c r="K148" s="622"/>
    </row>
    <row r="149" spans="1:11" ht="13.5" customHeight="1">
      <c r="A149" s="271">
        <v>145</v>
      </c>
      <c r="B149" s="421" t="s">
        <v>301</v>
      </c>
      <c r="C149" s="604">
        <v>40256</v>
      </c>
      <c r="D149" s="521" t="s">
        <v>324</v>
      </c>
      <c r="E149" s="524">
        <v>77</v>
      </c>
      <c r="F149" s="524">
        <v>10</v>
      </c>
      <c r="G149" s="392">
        <v>254220</v>
      </c>
      <c r="H149" s="408">
        <v>30104</v>
      </c>
      <c r="I149" s="425">
        <f>+G149/H149</f>
        <v>8.444724953494552</v>
      </c>
      <c r="J149" s="526">
        <v>1</v>
      </c>
      <c r="K149" s="622"/>
    </row>
    <row r="150" spans="1:11" ht="13.5" customHeight="1">
      <c r="A150" s="271">
        <v>146</v>
      </c>
      <c r="B150" s="421" t="s">
        <v>335</v>
      </c>
      <c r="C150" s="602">
        <v>40326</v>
      </c>
      <c r="D150" s="376" t="s">
        <v>449</v>
      </c>
      <c r="E150" s="377">
        <v>45</v>
      </c>
      <c r="F150" s="377">
        <v>17</v>
      </c>
      <c r="G150" s="370">
        <v>250439.5</v>
      </c>
      <c r="H150" s="371">
        <v>30508</v>
      </c>
      <c r="I150" s="423">
        <f>IF(G150&lt;&gt;0,G150/H150,"")</f>
        <v>8.208977972990692</v>
      </c>
      <c r="J150" s="526"/>
      <c r="K150" s="622"/>
    </row>
    <row r="151" spans="1:11" ht="13.5" customHeight="1">
      <c r="A151" s="271">
        <v>147</v>
      </c>
      <c r="B151" s="547" t="s">
        <v>495</v>
      </c>
      <c r="C151" s="602">
        <v>40529</v>
      </c>
      <c r="D151" s="537" t="s">
        <v>449</v>
      </c>
      <c r="E151" s="369">
        <v>134</v>
      </c>
      <c r="F151" s="369">
        <v>1</v>
      </c>
      <c r="G151" s="403">
        <v>244174</v>
      </c>
      <c r="H151" s="393">
        <v>29518</v>
      </c>
      <c r="I151" s="422">
        <f>IF(G151&lt;&gt;0,G151/H151,"")</f>
        <v>8.272037400907921</v>
      </c>
      <c r="J151" s="108">
        <v>1</v>
      </c>
      <c r="K151" s="622">
        <v>1</v>
      </c>
    </row>
    <row r="152" spans="1:11" ht="13.5" customHeight="1">
      <c r="A152" s="271">
        <v>148</v>
      </c>
      <c r="B152" s="529" t="s">
        <v>78</v>
      </c>
      <c r="C152" s="604">
        <v>40480</v>
      </c>
      <c r="D152" s="536" t="s">
        <v>337</v>
      </c>
      <c r="E152" s="385">
        <v>135</v>
      </c>
      <c r="F152" s="385">
        <v>8</v>
      </c>
      <c r="G152" s="392">
        <f>151771.5+44278.5+20156+4831.5+5960.5+2697+3743.5+81+2518</f>
        <v>236037.5</v>
      </c>
      <c r="H152" s="393">
        <f>19003+7410+3277+795+995+475+746+11+433</f>
        <v>33145</v>
      </c>
      <c r="I152" s="466">
        <f>+G152/H152</f>
        <v>7.121360687886559</v>
      </c>
      <c r="J152" s="108">
        <v>1</v>
      </c>
      <c r="K152" s="622"/>
    </row>
    <row r="153" spans="1:11" ht="13.5" customHeight="1">
      <c r="A153" s="271">
        <v>149</v>
      </c>
      <c r="B153" s="421" t="s">
        <v>496</v>
      </c>
      <c r="C153" s="602">
        <v>40529</v>
      </c>
      <c r="D153" s="376" t="s">
        <v>327</v>
      </c>
      <c r="E153" s="377">
        <v>81</v>
      </c>
      <c r="F153" s="377">
        <v>1</v>
      </c>
      <c r="G153" s="398">
        <v>225881.5</v>
      </c>
      <c r="H153" s="399">
        <v>26556</v>
      </c>
      <c r="I153" s="466">
        <f>+G153/H153</f>
        <v>8.505855550534719</v>
      </c>
      <c r="J153" s="108">
        <v>1</v>
      </c>
      <c r="K153" s="622">
        <v>1</v>
      </c>
    </row>
    <row r="154" spans="1:11" ht="13.5" customHeight="1">
      <c r="A154" s="271">
        <v>150</v>
      </c>
      <c r="B154" s="529" t="s">
        <v>230</v>
      </c>
      <c r="C154" s="604">
        <v>40186</v>
      </c>
      <c r="D154" s="521" t="s">
        <v>328</v>
      </c>
      <c r="E154" s="520">
        <v>19</v>
      </c>
      <c r="F154" s="520">
        <v>11</v>
      </c>
      <c r="G154" s="392">
        <v>223915</v>
      </c>
      <c r="H154" s="410">
        <v>19044</v>
      </c>
      <c r="I154" s="425">
        <f>+G154/H154</f>
        <v>11.757771476580551</v>
      </c>
      <c r="J154" s="526"/>
      <c r="K154" s="622"/>
    </row>
    <row r="155" spans="1:11" ht="13.5" customHeight="1">
      <c r="A155" s="271">
        <v>151</v>
      </c>
      <c r="B155" s="548" t="s">
        <v>305</v>
      </c>
      <c r="C155" s="604">
        <v>40466</v>
      </c>
      <c r="D155" s="536" t="s">
        <v>337</v>
      </c>
      <c r="E155" s="385">
        <v>22</v>
      </c>
      <c r="F155" s="385">
        <v>10</v>
      </c>
      <c r="G155" s="392">
        <f>75899.5+52129.5+37227.5+14454+10905+6815+10220.5+4115+4193+1577.5+113</f>
        <v>217649.5</v>
      </c>
      <c r="H155" s="393">
        <f>7028+5164+3832+1471+1190+1095+1727+519+460+216+17</f>
        <v>22719</v>
      </c>
      <c r="I155" s="466">
        <f>+G155/H155</f>
        <v>9.58006514371231</v>
      </c>
      <c r="J155" s="108">
        <v>1</v>
      </c>
      <c r="K155" s="622"/>
    </row>
    <row r="156" spans="1:11" ht="13.5" customHeight="1">
      <c r="A156" s="271">
        <v>152</v>
      </c>
      <c r="B156" s="421" t="s">
        <v>302</v>
      </c>
      <c r="C156" s="604">
        <v>40277</v>
      </c>
      <c r="D156" s="521" t="s">
        <v>339</v>
      </c>
      <c r="E156" s="520">
        <v>107</v>
      </c>
      <c r="F156" s="520">
        <v>10</v>
      </c>
      <c r="G156" s="392">
        <v>216076</v>
      </c>
      <c r="H156" s="410">
        <v>28261</v>
      </c>
      <c r="I156" s="425">
        <f>+G156/H156</f>
        <v>7.6457308658575425</v>
      </c>
      <c r="J156" s="526">
        <v>1</v>
      </c>
      <c r="K156" s="622"/>
    </row>
    <row r="157" spans="1:11" ht="13.5" customHeight="1">
      <c r="A157" s="271">
        <v>153</v>
      </c>
      <c r="B157" s="421" t="s">
        <v>303</v>
      </c>
      <c r="C157" s="602">
        <v>40207</v>
      </c>
      <c r="D157" s="376" t="s">
        <v>326</v>
      </c>
      <c r="E157" s="377">
        <v>43</v>
      </c>
      <c r="F157" s="377">
        <v>20</v>
      </c>
      <c r="G157" s="370">
        <f>197921.25+1391+1783+2124+372</f>
        <v>203591.25</v>
      </c>
      <c r="H157" s="371">
        <f>28461+236+288+312+46</f>
        <v>29343</v>
      </c>
      <c r="I157" s="423">
        <f>G157/H157</f>
        <v>6.938324302218587</v>
      </c>
      <c r="J157" s="526">
        <v>1</v>
      </c>
      <c r="K157" s="622"/>
    </row>
    <row r="158" spans="1:11" ht="13.5" customHeight="1">
      <c r="A158" s="271">
        <v>154</v>
      </c>
      <c r="B158" s="421" t="s">
        <v>76</v>
      </c>
      <c r="C158" s="602">
        <v>40309</v>
      </c>
      <c r="D158" s="376" t="s">
        <v>324</v>
      </c>
      <c r="E158" s="377">
        <v>13</v>
      </c>
      <c r="F158" s="377">
        <v>12</v>
      </c>
      <c r="G158" s="370">
        <v>198720</v>
      </c>
      <c r="H158" s="371">
        <v>18926</v>
      </c>
      <c r="I158" s="423">
        <f>+G158/H158</f>
        <v>10.499841487900243</v>
      </c>
      <c r="J158" s="526"/>
      <c r="K158" s="622"/>
    </row>
    <row r="159" spans="1:11" ht="13.5" customHeight="1">
      <c r="A159" s="271">
        <v>155</v>
      </c>
      <c r="B159" s="421" t="s">
        <v>77</v>
      </c>
      <c r="C159" s="602">
        <v>40263</v>
      </c>
      <c r="D159" s="376" t="s">
        <v>326</v>
      </c>
      <c r="E159" s="377">
        <v>30</v>
      </c>
      <c r="F159" s="377">
        <v>14</v>
      </c>
      <c r="G159" s="370">
        <v>196431.5</v>
      </c>
      <c r="H159" s="371">
        <v>22673</v>
      </c>
      <c r="I159" s="423">
        <v>8.663674855555065</v>
      </c>
      <c r="J159" s="526"/>
      <c r="K159" s="622"/>
    </row>
    <row r="160" spans="1:11" ht="13.5" customHeight="1">
      <c r="A160" s="271">
        <v>156</v>
      </c>
      <c r="B160" s="421" t="s">
        <v>434</v>
      </c>
      <c r="C160" s="604">
        <v>40291</v>
      </c>
      <c r="D160" s="521" t="s">
        <v>326</v>
      </c>
      <c r="E160" s="520">
        <v>12</v>
      </c>
      <c r="F160" s="520">
        <v>22</v>
      </c>
      <c r="G160" s="386">
        <f>177949.5+5454.5+2200.5+1155+210+2752+1313+2970</f>
        <v>194004.5</v>
      </c>
      <c r="H160" s="387">
        <f>19461+622+289+165+33+656+218+743</f>
        <v>22187</v>
      </c>
      <c r="I160" s="424">
        <f>G160/H160</f>
        <v>8.74406183801325</v>
      </c>
      <c r="J160" s="526"/>
      <c r="K160" s="622"/>
    </row>
    <row r="161" spans="1:11" ht="13.5" customHeight="1">
      <c r="A161" s="271">
        <v>157</v>
      </c>
      <c r="B161" s="421" t="s">
        <v>79</v>
      </c>
      <c r="C161" s="602">
        <v>40354</v>
      </c>
      <c r="D161" s="376" t="s">
        <v>339</v>
      </c>
      <c r="E161" s="377">
        <v>19</v>
      </c>
      <c r="F161" s="377">
        <v>13</v>
      </c>
      <c r="G161" s="370">
        <v>190895</v>
      </c>
      <c r="H161" s="371">
        <v>17697</v>
      </c>
      <c r="I161" s="423">
        <f>+G161/H161</f>
        <v>10.786856529355259</v>
      </c>
      <c r="J161" s="526"/>
      <c r="K161" s="622"/>
    </row>
    <row r="162" spans="1:11" ht="13.5" customHeight="1">
      <c r="A162" s="271">
        <v>158</v>
      </c>
      <c r="B162" s="549" t="s">
        <v>149</v>
      </c>
      <c r="C162" s="604">
        <v>40494</v>
      </c>
      <c r="D162" s="607" t="s">
        <v>324</v>
      </c>
      <c r="E162" s="385">
        <v>51</v>
      </c>
      <c r="F162" s="385">
        <v>6</v>
      </c>
      <c r="G162" s="392">
        <v>182154</v>
      </c>
      <c r="H162" s="410">
        <v>20697</v>
      </c>
      <c r="I162" s="425">
        <f>+G162/H162</f>
        <v>8.800985650094217</v>
      </c>
      <c r="J162" s="108"/>
      <c r="K162" s="622"/>
    </row>
    <row r="163" spans="1:11" ht="13.5" customHeight="1">
      <c r="A163" s="271">
        <v>159</v>
      </c>
      <c r="B163" s="421" t="s">
        <v>231</v>
      </c>
      <c r="C163" s="602">
        <v>40235</v>
      </c>
      <c r="D163" s="376" t="s">
        <v>325</v>
      </c>
      <c r="E163" s="377">
        <v>27</v>
      </c>
      <c r="F163" s="377">
        <v>14</v>
      </c>
      <c r="G163" s="370">
        <v>179663</v>
      </c>
      <c r="H163" s="371">
        <v>15565</v>
      </c>
      <c r="I163" s="423">
        <f>+G163/H163</f>
        <v>11.542756183745583</v>
      </c>
      <c r="J163" s="526"/>
      <c r="K163" s="622"/>
    </row>
    <row r="164" spans="1:11" ht="13.5" customHeight="1">
      <c r="A164" s="271">
        <v>160</v>
      </c>
      <c r="B164" s="421" t="s">
        <v>304</v>
      </c>
      <c r="C164" s="602">
        <v>40452</v>
      </c>
      <c r="D164" s="376" t="s">
        <v>449</v>
      </c>
      <c r="E164" s="377">
        <v>67</v>
      </c>
      <c r="F164" s="377">
        <v>9</v>
      </c>
      <c r="G164" s="403">
        <f>148907+7057+8529+4040+573.5+1227+412+727</f>
        <v>171472.5</v>
      </c>
      <c r="H164" s="393">
        <f>14954+1128+1323+621+141+331+59+105</f>
        <v>18662</v>
      </c>
      <c r="I164" s="422">
        <f>IF(G164&lt;&gt;0,G164/H164,"")</f>
        <v>9.188323866680957</v>
      </c>
      <c r="J164" s="525">
        <v>1</v>
      </c>
      <c r="K164" s="622"/>
    </row>
    <row r="165" spans="1:11" ht="13.5" customHeight="1">
      <c r="A165" s="271">
        <v>161</v>
      </c>
      <c r="B165" s="547" t="s">
        <v>196</v>
      </c>
      <c r="C165" s="602">
        <v>40480</v>
      </c>
      <c r="D165" s="537" t="s">
        <v>449</v>
      </c>
      <c r="E165" s="369">
        <v>71</v>
      </c>
      <c r="F165" s="369">
        <v>8</v>
      </c>
      <c r="G165" s="403">
        <f>72774.5+23673+5827+3625+7534.5+38620+936+11563</f>
        <v>164553</v>
      </c>
      <c r="H165" s="393">
        <f>8533+3652+916+601+1795+7393+145+2290</f>
        <v>25325</v>
      </c>
      <c r="I165" s="422">
        <f>IF(G165&lt;&gt;0,G165/H165,"")</f>
        <v>6.4976505429417575</v>
      </c>
      <c r="J165" s="108">
        <v>1</v>
      </c>
      <c r="K165" s="622"/>
    </row>
    <row r="166" spans="1:11" ht="13.5" customHeight="1">
      <c r="A166" s="271">
        <v>162</v>
      </c>
      <c r="B166" s="529" t="s">
        <v>80</v>
      </c>
      <c r="C166" s="604">
        <v>40284</v>
      </c>
      <c r="D166" s="521" t="s">
        <v>326</v>
      </c>
      <c r="E166" s="520">
        <v>61</v>
      </c>
      <c r="F166" s="520">
        <v>8</v>
      </c>
      <c r="G166" s="370">
        <f>79187.5+46608+16142.5+7651.5+6684+2420+3260.5+1046</f>
        <v>163000</v>
      </c>
      <c r="H166" s="371">
        <f>8877+5736+2665+1508+1216+433+578+184</f>
        <v>21197</v>
      </c>
      <c r="I166" s="423">
        <f>G166/H166</f>
        <v>7.689767419917913</v>
      </c>
      <c r="J166" s="526"/>
      <c r="K166" s="622"/>
    </row>
    <row r="167" spans="1:11" ht="13.5" customHeight="1">
      <c r="A167" s="271">
        <v>163</v>
      </c>
      <c r="B167" s="615" t="s">
        <v>294</v>
      </c>
      <c r="C167" s="604">
        <v>40354</v>
      </c>
      <c r="D167" s="523" t="s">
        <v>326</v>
      </c>
      <c r="E167" s="520">
        <v>20</v>
      </c>
      <c r="F167" s="520">
        <v>20</v>
      </c>
      <c r="G167" s="412">
        <v>162202</v>
      </c>
      <c r="H167" s="413">
        <v>21129</v>
      </c>
      <c r="I167" s="425">
        <v>7.48588906460956</v>
      </c>
      <c r="J167" s="526"/>
      <c r="K167" s="622"/>
    </row>
    <row r="168" spans="1:11" ht="13.5" customHeight="1">
      <c r="A168" s="271">
        <v>164</v>
      </c>
      <c r="B168" s="421" t="s">
        <v>188</v>
      </c>
      <c r="C168" s="604">
        <v>40277</v>
      </c>
      <c r="D168" s="521" t="s">
        <v>289</v>
      </c>
      <c r="E168" s="520">
        <v>9</v>
      </c>
      <c r="F168" s="520">
        <v>11</v>
      </c>
      <c r="G168" s="392">
        <v>158450</v>
      </c>
      <c r="H168" s="410">
        <v>23720</v>
      </c>
      <c r="I168" s="425">
        <f>+G168/H168</f>
        <v>6.680016863406408</v>
      </c>
      <c r="J168" s="526"/>
      <c r="K168" s="622"/>
    </row>
    <row r="169" spans="1:11" ht="13.5" customHeight="1">
      <c r="A169" s="271">
        <v>165</v>
      </c>
      <c r="B169" s="421" t="s">
        <v>189</v>
      </c>
      <c r="C169" s="602">
        <v>40410</v>
      </c>
      <c r="D169" s="376" t="s">
        <v>337</v>
      </c>
      <c r="E169" s="377">
        <v>40</v>
      </c>
      <c r="F169" s="377">
        <v>10</v>
      </c>
      <c r="G169" s="370">
        <f>61140.5+34139+18315.5+20997.5+10821+3068+3153+2528+1267+763</f>
        <v>156192.5</v>
      </c>
      <c r="H169" s="371">
        <f>6231+3812+2421+2950+1621+481+481+388+341+139</f>
        <v>18865</v>
      </c>
      <c r="I169" s="423">
        <f>+G169/H169</f>
        <v>8.279485820302147</v>
      </c>
      <c r="J169" s="526"/>
      <c r="K169" s="622"/>
    </row>
    <row r="170" spans="1:11" ht="13.5" customHeight="1">
      <c r="A170" s="271">
        <v>166</v>
      </c>
      <c r="B170" s="421" t="s">
        <v>190</v>
      </c>
      <c r="C170" s="602">
        <v>40319</v>
      </c>
      <c r="D170" s="376" t="s">
        <v>337</v>
      </c>
      <c r="E170" s="377">
        <v>55</v>
      </c>
      <c r="F170" s="377">
        <v>17</v>
      </c>
      <c r="G170" s="370">
        <f>65145+41204+28599.5+10743+2405+0.5+2368+274+127+891+124+545+573+114+1943+465+416+216</f>
        <v>156153</v>
      </c>
      <c r="H170" s="371">
        <f>6350+4165+3879+1659+455+341+36+22+135+21+109+98+19+321+74+58+35</f>
        <v>17777</v>
      </c>
      <c r="I170" s="423">
        <f>+G170/H170</f>
        <v>8.783990549586544</v>
      </c>
      <c r="J170" s="526"/>
      <c r="K170" s="622"/>
    </row>
    <row r="171" spans="1:11" ht="13.5" customHeight="1">
      <c r="A171" s="271">
        <v>167</v>
      </c>
      <c r="B171" s="421" t="s">
        <v>191</v>
      </c>
      <c r="C171" s="602">
        <v>40431</v>
      </c>
      <c r="D171" s="376" t="s">
        <v>324</v>
      </c>
      <c r="E171" s="377">
        <v>50</v>
      </c>
      <c r="F171" s="377">
        <v>5</v>
      </c>
      <c r="G171" s="370">
        <v>156001</v>
      </c>
      <c r="H171" s="371">
        <v>16091</v>
      </c>
      <c r="I171" s="423">
        <f>+G171/H171</f>
        <v>9.694922627555776</v>
      </c>
      <c r="J171" s="526"/>
      <c r="K171" s="622"/>
    </row>
    <row r="172" spans="1:11" ht="13.5" customHeight="1">
      <c r="A172" s="271">
        <v>168</v>
      </c>
      <c r="B172" s="548" t="s">
        <v>320</v>
      </c>
      <c r="C172" s="604">
        <v>40193</v>
      </c>
      <c r="D172" s="536" t="s">
        <v>326</v>
      </c>
      <c r="E172" s="385">
        <v>17</v>
      </c>
      <c r="F172" s="385">
        <v>16</v>
      </c>
      <c r="G172" s="386">
        <f>1080+95415+33267.75+2666+272+903+421+2653+1780+747+58+1376+1549+190+3317+520.5+1188</f>
        <v>147403.25</v>
      </c>
      <c r="H172" s="387">
        <f>108+7515+2837+363+32+176+93+719+445+99+9+205+217+27+387+69+297</f>
        <v>13598</v>
      </c>
      <c r="I172" s="424">
        <f>G172/H172</f>
        <v>10.840068392410648</v>
      </c>
      <c r="J172" s="108"/>
      <c r="K172" s="622"/>
    </row>
    <row r="173" spans="1:11" ht="13.5" customHeight="1">
      <c r="A173" s="271">
        <v>169</v>
      </c>
      <c r="B173" s="421" t="s">
        <v>192</v>
      </c>
      <c r="C173" s="602">
        <v>40284</v>
      </c>
      <c r="D173" s="376" t="s">
        <v>326</v>
      </c>
      <c r="E173" s="377">
        <v>14</v>
      </c>
      <c r="F173" s="377">
        <v>15</v>
      </c>
      <c r="G173" s="370">
        <f>76493+31029+16263+2973.5+5950+1072+478+1719+278+273+129+687+448+1139+1522</f>
        <v>140453.5</v>
      </c>
      <c r="H173" s="371">
        <f>5580+2331+1364+295+742+216+64+225+39+39+18+75+68+125+169</f>
        <v>11350</v>
      </c>
      <c r="I173" s="423">
        <f>G173/H173</f>
        <v>12.374757709251101</v>
      </c>
      <c r="J173" s="526"/>
      <c r="K173" s="622"/>
    </row>
    <row r="174" spans="1:11" ht="13.5" customHeight="1">
      <c r="A174" s="271">
        <v>170</v>
      </c>
      <c r="B174" s="529" t="s">
        <v>193</v>
      </c>
      <c r="C174" s="604">
        <v>40438</v>
      </c>
      <c r="D174" s="521" t="s">
        <v>326</v>
      </c>
      <c r="E174" s="520">
        <v>19</v>
      </c>
      <c r="F174" s="520">
        <v>11</v>
      </c>
      <c r="G174" s="386">
        <f>56752.5+38871+22868.5+4839+2786+2829.5+8012+670+1368+140+42</f>
        <v>139178.5</v>
      </c>
      <c r="H174" s="387">
        <f>4639+3072+2103+531+316+368+936+83+203+20+6</f>
        <v>12277</v>
      </c>
      <c r="I174" s="424">
        <f>G174/H174</f>
        <v>11.33652358067932</v>
      </c>
      <c r="J174" s="526"/>
      <c r="K174" s="622"/>
    </row>
    <row r="175" spans="1:11" ht="13.5" customHeight="1">
      <c r="A175" s="271">
        <v>171</v>
      </c>
      <c r="B175" s="421" t="s">
        <v>139</v>
      </c>
      <c r="C175" s="602">
        <v>40389</v>
      </c>
      <c r="D175" s="376" t="s">
        <v>326</v>
      </c>
      <c r="E175" s="377">
        <v>19</v>
      </c>
      <c r="F175" s="377">
        <v>12</v>
      </c>
      <c r="G175" s="370">
        <f>69032+15425.5+9802+4755.5+7049.5+3610.5+8536+6024.5+2322+245+405.5</f>
        <v>127208</v>
      </c>
      <c r="H175" s="371">
        <f>5509+1589+1417+704+842+602+1038+829+323+37+46</f>
        <v>12936</v>
      </c>
      <c r="I175" s="423">
        <f>G175/H175</f>
        <v>9.833642547928262</v>
      </c>
      <c r="J175" s="526"/>
      <c r="K175" s="622"/>
    </row>
    <row r="176" spans="1:11" ht="13.5" customHeight="1">
      <c r="A176" s="271">
        <v>172</v>
      </c>
      <c r="B176" s="548" t="s">
        <v>306</v>
      </c>
      <c r="C176" s="604">
        <v>40284</v>
      </c>
      <c r="D176" s="536" t="s">
        <v>326</v>
      </c>
      <c r="E176" s="385">
        <v>14</v>
      </c>
      <c r="F176" s="385">
        <v>21</v>
      </c>
      <c r="G176" s="386">
        <f>45403.5+26416+19522+5885+5520+2576+2604+1325+840+957.5+196+2970+1095+960+1330+1159+1173+1901+475+2019.5+1188</f>
        <v>125515.5</v>
      </c>
      <c r="H176" s="387">
        <f>4053+2594+2599+732+962+495+470+215+146+347+28+743+229+194+270+236+188+475+119+505+297</f>
        <v>15897</v>
      </c>
      <c r="I176" s="424">
        <f>G176/H176</f>
        <v>7.895546329496131</v>
      </c>
      <c r="J176" s="108">
        <v>1</v>
      </c>
      <c r="K176" s="622"/>
    </row>
    <row r="177" spans="1:11" ht="13.5" customHeight="1">
      <c r="A177" s="271">
        <v>173</v>
      </c>
      <c r="B177" s="421" t="s">
        <v>307</v>
      </c>
      <c r="C177" s="602">
        <v>40431</v>
      </c>
      <c r="D177" s="376" t="s">
        <v>449</v>
      </c>
      <c r="E177" s="377">
        <v>60</v>
      </c>
      <c r="F177" s="377">
        <v>9</v>
      </c>
      <c r="G177" s="403">
        <f>115481+1579+1872+812+4011</f>
        <v>123755</v>
      </c>
      <c r="H177" s="393">
        <f>15601+273+303+123+745</f>
        <v>17045</v>
      </c>
      <c r="I177" s="422">
        <f>IF(G177&lt;&gt;0,G177/H177,"")</f>
        <v>7.260486946318569</v>
      </c>
      <c r="J177" s="526">
        <v>1</v>
      </c>
      <c r="K177" s="622"/>
    </row>
    <row r="178" spans="1:11" ht="13.5" customHeight="1">
      <c r="A178" s="271">
        <v>174</v>
      </c>
      <c r="B178" s="529" t="s">
        <v>247</v>
      </c>
      <c r="C178" s="605">
        <v>40438</v>
      </c>
      <c r="D178" s="521" t="s">
        <v>337</v>
      </c>
      <c r="E178" s="524">
        <v>30</v>
      </c>
      <c r="F178" s="524">
        <v>8</v>
      </c>
      <c r="G178" s="407">
        <f>49044.5+31343.5+17567+9183+6613.5+3233+3011+150</f>
        <v>120145.5</v>
      </c>
      <c r="H178" s="410">
        <f>4738+3026+2241+1330+1032+509+474+25</f>
        <v>13375</v>
      </c>
      <c r="I178" s="464">
        <f>+G178/H178</f>
        <v>8.982841121495326</v>
      </c>
      <c r="J178" s="526"/>
      <c r="K178" s="622"/>
    </row>
    <row r="179" spans="1:11" ht="13.5" customHeight="1">
      <c r="A179" s="271">
        <v>175</v>
      </c>
      <c r="B179" s="529" t="s">
        <v>407</v>
      </c>
      <c r="C179" s="605">
        <v>40459</v>
      </c>
      <c r="D179" s="521" t="s">
        <v>337</v>
      </c>
      <c r="E179" s="524">
        <v>40</v>
      </c>
      <c r="F179" s="524">
        <v>5</v>
      </c>
      <c r="G179" s="407">
        <f>52866+28653.5+23569+12232.5+380</f>
        <v>117701</v>
      </c>
      <c r="H179" s="410">
        <f>5047+3320+3230+1605+45</f>
        <v>13247</v>
      </c>
      <c r="I179" s="425">
        <f>+G179/H179</f>
        <v>8.88510606174983</v>
      </c>
      <c r="J179" s="526"/>
      <c r="K179" s="622"/>
    </row>
    <row r="180" spans="1:11" ht="13.5" customHeight="1">
      <c r="A180" s="271">
        <v>176</v>
      </c>
      <c r="B180" s="421" t="s">
        <v>440</v>
      </c>
      <c r="C180" s="602">
        <v>40179</v>
      </c>
      <c r="D180" s="376" t="s">
        <v>326</v>
      </c>
      <c r="E180" s="377">
        <v>8</v>
      </c>
      <c r="F180" s="377">
        <v>19</v>
      </c>
      <c r="G180" s="370">
        <f>61026+19560+4475+1071+144+9277.5+1552+556+2995+1900+2085+1949.5+2324+773+1997+890+271+143+460</f>
        <v>113449</v>
      </c>
      <c r="H180" s="371">
        <f>4540+1674+518+171+26+988+221+91+392+265+285+283+369+141+477+103+49+20+46</f>
        <v>10659</v>
      </c>
      <c r="I180" s="423">
        <f>G180/H180</f>
        <v>10.64349376114082</v>
      </c>
      <c r="J180" s="526"/>
      <c r="K180" s="622"/>
    </row>
    <row r="181" spans="1:11" ht="13.5" customHeight="1">
      <c r="A181" s="271">
        <v>177</v>
      </c>
      <c r="B181" s="421" t="s">
        <v>194</v>
      </c>
      <c r="C181" s="602">
        <v>40291</v>
      </c>
      <c r="D181" s="376" t="s">
        <v>339</v>
      </c>
      <c r="E181" s="377">
        <v>30</v>
      </c>
      <c r="F181" s="377">
        <v>18</v>
      </c>
      <c r="G181" s="370">
        <v>108880</v>
      </c>
      <c r="H181" s="371">
        <v>11922</v>
      </c>
      <c r="I181" s="423">
        <f>+G181/H181</f>
        <v>9.132695856399932</v>
      </c>
      <c r="J181" s="526"/>
      <c r="K181" s="622"/>
    </row>
    <row r="182" spans="1:11" ht="13.5" customHeight="1">
      <c r="A182" s="271">
        <v>178</v>
      </c>
      <c r="B182" s="421" t="s">
        <v>138</v>
      </c>
      <c r="C182" s="602">
        <v>40396</v>
      </c>
      <c r="D182" s="376" t="s">
        <v>324</v>
      </c>
      <c r="E182" s="377">
        <v>20</v>
      </c>
      <c r="F182" s="377">
        <v>10</v>
      </c>
      <c r="G182" s="370">
        <v>108069</v>
      </c>
      <c r="H182" s="371">
        <v>10120</v>
      </c>
      <c r="I182" s="423">
        <f>+G182/H182</f>
        <v>10.678754940711462</v>
      </c>
      <c r="J182" s="526"/>
      <c r="K182" s="622"/>
    </row>
    <row r="183" spans="1:11" ht="13.5" customHeight="1">
      <c r="A183" s="271">
        <v>179</v>
      </c>
      <c r="B183" s="549" t="s">
        <v>4</v>
      </c>
      <c r="C183" s="604">
        <v>40508</v>
      </c>
      <c r="D183" s="607" t="s">
        <v>324</v>
      </c>
      <c r="E183" s="385">
        <v>11</v>
      </c>
      <c r="F183" s="385">
        <v>4</v>
      </c>
      <c r="G183" s="392">
        <v>103802</v>
      </c>
      <c r="H183" s="410">
        <v>8018</v>
      </c>
      <c r="I183" s="425">
        <f>+G183/H183</f>
        <v>12.946121227238713</v>
      </c>
      <c r="J183" s="108"/>
      <c r="K183" s="622"/>
    </row>
    <row r="184" spans="1:11" ht="13.5" customHeight="1">
      <c r="A184" s="271">
        <v>180</v>
      </c>
      <c r="B184" s="547" t="s">
        <v>308</v>
      </c>
      <c r="C184" s="602">
        <v>40249</v>
      </c>
      <c r="D184" s="537" t="s">
        <v>325</v>
      </c>
      <c r="E184" s="369">
        <v>26</v>
      </c>
      <c r="F184" s="369">
        <v>15</v>
      </c>
      <c r="G184" s="370">
        <v>97808</v>
      </c>
      <c r="H184" s="371">
        <v>12141</v>
      </c>
      <c r="I184" s="423">
        <f>+G184/H184</f>
        <v>8.05600856601598</v>
      </c>
      <c r="J184" s="108">
        <v>1</v>
      </c>
      <c r="K184" s="622"/>
    </row>
    <row r="185" spans="1:11" ht="13.5" customHeight="1">
      <c r="A185" s="271">
        <v>181</v>
      </c>
      <c r="B185" s="529" t="s">
        <v>195</v>
      </c>
      <c r="C185" s="604">
        <v>40396</v>
      </c>
      <c r="D185" s="521" t="s">
        <v>326</v>
      </c>
      <c r="E185" s="520">
        <v>9</v>
      </c>
      <c r="F185" s="520">
        <v>13</v>
      </c>
      <c r="G185" s="386">
        <f>35838.5+19069+5228+4095+10576+4310+8041+6431+902.5+301+689.5+1849+82</f>
        <v>97412.5</v>
      </c>
      <c r="H185" s="387">
        <f>2652+1665+667+612+1102+466+1297+767+123+49+191+458+16</f>
        <v>10065</v>
      </c>
      <c r="I185" s="424">
        <f>G185/H185</f>
        <v>9.678340784898161</v>
      </c>
      <c r="J185" s="527"/>
      <c r="K185" s="622"/>
    </row>
    <row r="186" spans="1:11" ht="13.5" customHeight="1">
      <c r="A186" s="271">
        <v>182</v>
      </c>
      <c r="B186" s="552" t="s">
        <v>490</v>
      </c>
      <c r="C186" s="608">
        <v>40396</v>
      </c>
      <c r="D186" s="536" t="s">
        <v>326</v>
      </c>
      <c r="E186" s="546">
        <v>4</v>
      </c>
      <c r="F186" s="546">
        <v>18</v>
      </c>
      <c r="G186" s="386">
        <f>14959+9646+7725+4386+3960+14571+6049+4818+2605+3811+4797+6372+2996+165+950.5+1598.5+276+381</f>
        <v>90066</v>
      </c>
      <c r="H186" s="387">
        <f>1646+1123+1125+547+522+2218+896+595+438+656+743+1047+452+23+148+219+42+85</f>
        <v>12525</v>
      </c>
      <c r="I186" s="424">
        <f>G186/H186</f>
        <v>7.190898203592814</v>
      </c>
      <c r="J186" s="108"/>
      <c r="K186" s="622"/>
    </row>
    <row r="187" spans="1:11" ht="13.5" customHeight="1">
      <c r="A187" s="271">
        <v>183</v>
      </c>
      <c r="B187" s="529" t="s">
        <v>390</v>
      </c>
      <c r="C187" s="604">
        <v>40298</v>
      </c>
      <c r="D187" s="521" t="s">
        <v>326</v>
      </c>
      <c r="E187" s="520">
        <v>10</v>
      </c>
      <c r="F187" s="520">
        <v>20</v>
      </c>
      <c r="G187" s="386">
        <f>83892.5+865+192+477+220.5+1901+2138.5</f>
        <v>89686.5</v>
      </c>
      <c r="H187" s="387">
        <f>10300+144+24+59+48+475+534</f>
        <v>11584</v>
      </c>
      <c r="I187" s="424">
        <f>G187/H187</f>
        <v>7.74227382596685</v>
      </c>
      <c r="J187" s="527"/>
      <c r="K187" s="622"/>
    </row>
    <row r="188" spans="1:11" ht="13.5" customHeight="1">
      <c r="A188" s="271">
        <v>184</v>
      </c>
      <c r="B188" s="529" t="s">
        <v>197</v>
      </c>
      <c r="C188" s="604">
        <v>40396</v>
      </c>
      <c r="D188" s="521" t="s">
        <v>326</v>
      </c>
      <c r="E188" s="520">
        <v>4</v>
      </c>
      <c r="F188" s="520">
        <v>17</v>
      </c>
      <c r="G188" s="386">
        <f>14959+9646+7725+4386+3960+14571+6049+4818+2605+3811+4797+6372+2996+165+950.5+1598.5+276</f>
        <v>89685</v>
      </c>
      <c r="H188" s="387">
        <f>1646+1123+1125+547+522+2218+896+595+438+656+743+1047+452+23+148+219+42</f>
        <v>12440</v>
      </c>
      <c r="I188" s="424">
        <f>G188/H188</f>
        <v>7.209405144694534</v>
      </c>
      <c r="J188" s="526"/>
      <c r="K188" s="622"/>
    </row>
    <row r="189" spans="1:11" ht="13.5" customHeight="1">
      <c r="A189" s="271">
        <v>185</v>
      </c>
      <c r="B189" s="549" t="s">
        <v>394</v>
      </c>
      <c r="C189" s="604">
        <v>40438</v>
      </c>
      <c r="D189" s="607" t="s">
        <v>324</v>
      </c>
      <c r="E189" s="385">
        <v>9</v>
      </c>
      <c r="F189" s="385">
        <v>14</v>
      </c>
      <c r="G189" s="392">
        <v>89656</v>
      </c>
      <c r="H189" s="410">
        <v>10558</v>
      </c>
      <c r="I189" s="425">
        <f>+G189/H189</f>
        <v>8.491759802992991</v>
      </c>
      <c r="J189" s="108"/>
      <c r="K189" s="622"/>
    </row>
    <row r="190" spans="1:11" ht="13.5" customHeight="1">
      <c r="A190" s="271">
        <v>186</v>
      </c>
      <c r="B190" s="421" t="s">
        <v>436</v>
      </c>
      <c r="C190" s="602">
        <v>40186</v>
      </c>
      <c r="D190" s="376" t="s">
        <v>326</v>
      </c>
      <c r="E190" s="377">
        <v>4</v>
      </c>
      <c r="F190" s="377">
        <v>35</v>
      </c>
      <c r="G190" s="370">
        <f>83443.75+1230+270+181+132+1991+2160.5</f>
        <v>89408.25</v>
      </c>
      <c r="H190" s="371">
        <f>11555+209+47+34+22+311+532</f>
        <v>12710</v>
      </c>
      <c r="I190" s="423">
        <f>G190/H190</f>
        <v>7.034480723839496</v>
      </c>
      <c r="J190" s="526"/>
      <c r="K190" s="622"/>
    </row>
    <row r="191" spans="1:11" ht="13.5" customHeight="1">
      <c r="A191" s="271">
        <v>187</v>
      </c>
      <c r="B191" s="421" t="s">
        <v>445</v>
      </c>
      <c r="C191" s="604">
        <v>40249</v>
      </c>
      <c r="D191" s="521" t="s">
        <v>234</v>
      </c>
      <c r="E191" s="520" t="s">
        <v>55</v>
      </c>
      <c r="F191" s="520" t="s">
        <v>359</v>
      </c>
      <c r="G191" s="392">
        <v>88294</v>
      </c>
      <c r="H191" s="410">
        <v>7677</v>
      </c>
      <c r="I191" s="425">
        <f>+G191/H191</f>
        <v>11.501107203334636</v>
      </c>
      <c r="J191" s="526"/>
      <c r="K191" s="622"/>
    </row>
    <row r="192" spans="1:11" ht="13.5" customHeight="1">
      <c r="A192" s="271">
        <v>188</v>
      </c>
      <c r="B192" s="421" t="s">
        <v>309</v>
      </c>
      <c r="C192" s="602">
        <v>40438</v>
      </c>
      <c r="D192" s="376" t="s">
        <v>325</v>
      </c>
      <c r="E192" s="377">
        <v>27</v>
      </c>
      <c r="F192" s="377">
        <v>7</v>
      </c>
      <c r="G192" s="370">
        <v>74574</v>
      </c>
      <c r="H192" s="371">
        <v>9431</v>
      </c>
      <c r="I192" s="423">
        <f>+G192/H192</f>
        <v>7.907326900646803</v>
      </c>
      <c r="J192" s="526">
        <v>1</v>
      </c>
      <c r="K192" s="622"/>
    </row>
    <row r="193" spans="1:11" ht="13.5" customHeight="1">
      <c r="A193" s="271">
        <v>189</v>
      </c>
      <c r="B193" s="529" t="s">
        <v>198</v>
      </c>
      <c r="C193" s="604">
        <v>40361</v>
      </c>
      <c r="D193" s="521" t="s">
        <v>326</v>
      </c>
      <c r="E193" s="520">
        <v>6</v>
      </c>
      <c r="F193" s="520">
        <v>21</v>
      </c>
      <c r="G193" s="386">
        <f>31734.5+2495+3417.5+2230+4253.5+6248.5+6645.5+2963+2460+1992+953+1041+5017.5+952.5+785+319</f>
        <v>73507.5</v>
      </c>
      <c r="H193" s="387">
        <f>4397+343+476+344+617+862+852+433+387+315+184+181+719+153+109+46</f>
        <v>10418</v>
      </c>
      <c r="I193" s="424">
        <f>G193/H193</f>
        <v>7.055816855442504</v>
      </c>
      <c r="J193" s="526"/>
      <c r="K193" s="622"/>
    </row>
    <row r="194" spans="1:11" ht="13.5" customHeight="1">
      <c r="A194" s="271">
        <v>190</v>
      </c>
      <c r="B194" s="548" t="s">
        <v>497</v>
      </c>
      <c r="C194" s="604">
        <v>40529</v>
      </c>
      <c r="D194" s="536" t="s">
        <v>326</v>
      </c>
      <c r="E194" s="385">
        <v>27</v>
      </c>
      <c r="F194" s="385">
        <v>1</v>
      </c>
      <c r="G194" s="386">
        <f>68045</f>
        <v>68045</v>
      </c>
      <c r="H194" s="387">
        <f>5442</f>
        <v>5442</v>
      </c>
      <c r="I194" s="424">
        <f>G194/H194</f>
        <v>12.503675119441382</v>
      </c>
      <c r="J194" s="108"/>
      <c r="K194" s="622">
        <v>1</v>
      </c>
    </row>
    <row r="195" spans="1:11" ht="13.5" customHeight="1">
      <c r="A195" s="271">
        <v>191</v>
      </c>
      <c r="B195" s="421" t="s">
        <v>199</v>
      </c>
      <c r="C195" s="602">
        <v>40312</v>
      </c>
      <c r="D195" s="376" t="s">
        <v>339</v>
      </c>
      <c r="E195" s="377">
        <v>10</v>
      </c>
      <c r="F195" s="377">
        <v>15</v>
      </c>
      <c r="G195" s="370">
        <v>68043</v>
      </c>
      <c r="H195" s="371">
        <v>7658</v>
      </c>
      <c r="I195" s="423">
        <f>+G195/H195</f>
        <v>8.885218072603813</v>
      </c>
      <c r="J195" s="526">
        <v>1</v>
      </c>
      <c r="K195" s="622"/>
    </row>
    <row r="196" spans="1:11" ht="13.5" customHeight="1">
      <c r="A196" s="271">
        <v>192</v>
      </c>
      <c r="B196" s="548" t="s">
        <v>5</v>
      </c>
      <c r="C196" s="604">
        <v>40508</v>
      </c>
      <c r="D196" s="536" t="s">
        <v>326</v>
      </c>
      <c r="E196" s="385">
        <v>44</v>
      </c>
      <c r="F196" s="385">
        <v>4</v>
      </c>
      <c r="G196" s="386">
        <f>49086+11854+1926+2212.5</f>
        <v>65078.5</v>
      </c>
      <c r="H196" s="387">
        <f>5689+1635+274+420</f>
        <v>8018</v>
      </c>
      <c r="I196" s="424">
        <f>G196/H196</f>
        <v>8.116550261910701</v>
      </c>
      <c r="J196" s="108">
        <v>1</v>
      </c>
      <c r="K196" s="622"/>
    </row>
    <row r="197" spans="1:11" ht="13.5" customHeight="1">
      <c r="A197" s="271">
        <v>193</v>
      </c>
      <c r="B197" s="421" t="s">
        <v>298</v>
      </c>
      <c r="C197" s="602">
        <v>40361</v>
      </c>
      <c r="D197" s="376" t="s">
        <v>299</v>
      </c>
      <c r="E197" s="377">
        <v>15</v>
      </c>
      <c r="F197" s="377">
        <v>12</v>
      </c>
      <c r="G197" s="370">
        <v>63749</v>
      </c>
      <c r="H197" s="371">
        <v>6354</v>
      </c>
      <c r="I197" s="423">
        <f>+G197/H197</f>
        <v>10.032892666037142</v>
      </c>
      <c r="J197" s="526"/>
      <c r="K197" s="622"/>
    </row>
    <row r="198" spans="1:11" ht="13.5" customHeight="1">
      <c r="A198" s="271">
        <v>194</v>
      </c>
      <c r="B198" s="421" t="s">
        <v>200</v>
      </c>
      <c r="C198" s="602">
        <v>40284</v>
      </c>
      <c r="D198" s="376" t="s">
        <v>337</v>
      </c>
      <c r="E198" s="377">
        <v>32</v>
      </c>
      <c r="F198" s="377">
        <v>14</v>
      </c>
      <c r="G198" s="370">
        <f>25031+15339.5+12428.5+2261+270+108+687+1676+451+1016+1919+460+410+98</f>
        <v>62155</v>
      </c>
      <c r="H198" s="371">
        <f>2922+2015+1892+316+45+18+122+301+88+170+320+79+71+17</f>
        <v>8376</v>
      </c>
      <c r="I198" s="423">
        <f>+G198/H198</f>
        <v>7.420606494746896</v>
      </c>
      <c r="J198" s="526">
        <v>1</v>
      </c>
      <c r="K198" s="622"/>
    </row>
    <row r="199" spans="1:11" ht="13.5" customHeight="1">
      <c r="A199" s="271">
        <v>195</v>
      </c>
      <c r="B199" s="529" t="s">
        <v>201</v>
      </c>
      <c r="C199" s="605">
        <v>40473</v>
      </c>
      <c r="D199" s="521" t="s">
        <v>337</v>
      </c>
      <c r="E199" s="524">
        <v>36</v>
      </c>
      <c r="F199" s="524">
        <v>7</v>
      </c>
      <c r="G199" s="407">
        <f>34961.5+23009.5+1351+805+533+530+156</f>
        <v>61346</v>
      </c>
      <c r="H199" s="410">
        <f>4408+3132+214+122+62+78+26</f>
        <v>8042</v>
      </c>
      <c r="I199" s="425">
        <f>+G199/H199</f>
        <v>7.628201939815966</v>
      </c>
      <c r="J199" s="526"/>
      <c r="K199" s="622"/>
    </row>
    <row r="200" spans="1:11" ht="13.5" customHeight="1">
      <c r="A200" s="271">
        <v>196</v>
      </c>
      <c r="B200" s="421" t="s">
        <v>446</v>
      </c>
      <c r="C200" s="602">
        <v>40249</v>
      </c>
      <c r="D200" s="376" t="s">
        <v>326</v>
      </c>
      <c r="E200" s="377">
        <v>1</v>
      </c>
      <c r="F200" s="377">
        <v>17</v>
      </c>
      <c r="G200" s="370">
        <f>13599.5+20829+12139+2892+1300+2783.5+2376+910+865.5+135.5+307+704+665+619+402+128+13.5+224</f>
        <v>60892.5</v>
      </c>
      <c r="H200" s="371">
        <f>894+1348+783+335+154+243+594+81+119+17+54+80+88+69+48+18+2+32</f>
        <v>4959</v>
      </c>
      <c r="I200" s="423">
        <f>G200/H200</f>
        <v>12.279189352692075</v>
      </c>
      <c r="J200" s="526"/>
      <c r="K200" s="622"/>
    </row>
    <row r="201" spans="1:11" ht="13.5" customHeight="1">
      <c r="A201" s="271">
        <v>197</v>
      </c>
      <c r="B201" s="551" t="s">
        <v>288</v>
      </c>
      <c r="C201" s="611">
        <v>40263</v>
      </c>
      <c r="D201" s="544" t="s">
        <v>328</v>
      </c>
      <c r="E201" s="479">
        <v>10</v>
      </c>
      <c r="F201" s="479">
        <v>12</v>
      </c>
      <c r="G201" s="480">
        <v>59185</v>
      </c>
      <c r="H201" s="484">
        <v>5600</v>
      </c>
      <c r="I201" s="511">
        <v>10.56875</v>
      </c>
      <c r="J201" s="108"/>
      <c r="K201" s="622"/>
    </row>
    <row r="202" spans="1:11" ht="13.5" customHeight="1">
      <c r="A202" s="271">
        <v>198</v>
      </c>
      <c r="B202" s="421" t="s">
        <v>249</v>
      </c>
      <c r="C202" s="602">
        <v>40361</v>
      </c>
      <c r="D202" s="376" t="s">
        <v>184</v>
      </c>
      <c r="E202" s="377" t="s">
        <v>235</v>
      </c>
      <c r="F202" s="377" t="s">
        <v>425</v>
      </c>
      <c r="G202" s="370">
        <v>56991</v>
      </c>
      <c r="H202" s="371">
        <v>7439</v>
      </c>
      <c r="I202" s="423">
        <f>+G202/H202</f>
        <v>7.661110364296277</v>
      </c>
      <c r="J202" s="526"/>
      <c r="K202" s="622"/>
    </row>
    <row r="203" spans="1:11" ht="13.5" customHeight="1">
      <c r="A203" s="271">
        <v>199</v>
      </c>
      <c r="B203" s="551" t="s">
        <v>318</v>
      </c>
      <c r="C203" s="611">
        <v>40480</v>
      </c>
      <c r="D203" s="544" t="s">
        <v>328</v>
      </c>
      <c r="E203" s="479">
        <v>15</v>
      </c>
      <c r="F203" s="479">
        <v>6</v>
      </c>
      <c r="G203" s="480">
        <v>55734</v>
      </c>
      <c r="H203" s="484">
        <v>5843</v>
      </c>
      <c r="I203" s="511">
        <v>9.538593188430601</v>
      </c>
      <c r="J203" s="108"/>
      <c r="K203" s="622"/>
    </row>
    <row r="204" spans="1:11" ht="13.5" customHeight="1">
      <c r="A204" s="271">
        <v>200</v>
      </c>
      <c r="B204" s="421" t="s">
        <v>202</v>
      </c>
      <c r="C204" s="602">
        <v>40424</v>
      </c>
      <c r="D204" s="376" t="s">
        <v>449</v>
      </c>
      <c r="E204" s="377">
        <v>10</v>
      </c>
      <c r="F204" s="377">
        <v>9</v>
      </c>
      <c r="G204" s="403">
        <f>52135.5+872+542+402</f>
        <v>53951.5</v>
      </c>
      <c r="H204" s="411">
        <f>6807+129+91+65</f>
        <v>7092</v>
      </c>
      <c r="I204" s="422">
        <f>IF(G204&lt;&gt;0,G204/H204,"")</f>
        <v>7.607374506486182</v>
      </c>
      <c r="J204" s="525">
        <v>1</v>
      </c>
      <c r="K204" s="622"/>
    </row>
    <row r="205" spans="1:11" ht="13.5" customHeight="1">
      <c r="A205" s="271">
        <v>201</v>
      </c>
      <c r="B205" s="421" t="s">
        <v>228</v>
      </c>
      <c r="C205" s="604">
        <v>40228</v>
      </c>
      <c r="D205" s="521" t="s">
        <v>329</v>
      </c>
      <c r="E205" s="520">
        <v>15</v>
      </c>
      <c r="F205" s="520">
        <v>13</v>
      </c>
      <c r="G205" s="392">
        <v>52635</v>
      </c>
      <c r="H205" s="410">
        <v>5884</v>
      </c>
      <c r="I205" s="425">
        <f>G205/H205</f>
        <v>8.945445275322909</v>
      </c>
      <c r="J205" s="526"/>
      <c r="K205" s="622"/>
    </row>
    <row r="206" spans="1:11" ht="13.5" customHeight="1">
      <c r="A206" s="271">
        <v>202</v>
      </c>
      <c r="B206" s="529" t="s">
        <v>75</v>
      </c>
      <c r="C206" s="604">
        <v>40340</v>
      </c>
      <c r="D206" s="521" t="s">
        <v>326</v>
      </c>
      <c r="E206" s="520">
        <v>4</v>
      </c>
      <c r="F206" s="520">
        <v>19</v>
      </c>
      <c r="G206" s="386">
        <f>44210.5+417.5+781.5+1518+318+953+533+2552.5+180+94+85</f>
        <v>51643</v>
      </c>
      <c r="H206" s="387">
        <f>5336+57+129+237+46+126+97+699+50+18+17</f>
        <v>6812</v>
      </c>
      <c r="I206" s="424">
        <f>G206/H206</f>
        <v>7.581180270111568</v>
      </c>
      <c r="J206" s="527"/>
      <c r="K206" s="622"/>
    </row>
    <row r="207" spans="1:11" ht="13.5" customHeight="1">
      <c r="A207" s="271">
        <v>203</v>
      </c>
      <c r="B207" s="421" t="s">
        <v>435</v>
      </c>
      <c r="C207" s="602">
        <v>40186</v>
      </c>
      <c r="D207" s="376" t="s">
        <v>326</v>
      </c>
      <c r="E207" s="377">
        <v>4</v>
      </c>
      <c r="F207" s="377">
        <v>29</v>
      </c>
      <c r="G207" s="370">
        <f>47709+373+476+303</f>
        <v>48861</v>
      </c>
      <c r="H207" s="371">
        <f>6734+51+90+55</f>
        <v>6930</v>
      </c>
      <c r="I207" s="423">
        <v>7.084793584793585</v>
      </c>
      <c r="J207" s="526"/>
      <c r="K207" s="622"/>
    </row>
    <row r="208" spans="1:11" ht="13.5" customHeight="1">
      <c r="A208" s="271">
        <v>204</v>
      </c>
      <c r="B208" s="421" t="s">
        <v>203</v>
      </c>
      <c r="C208" s="602">
        <v>40284</v>
      </c>
      <c r="D208" s="376" t="s">
        <v>339</v>
      </c>
      <c r="E208" s="377">
        <v>1</v>
      </c>
      <c r="F208" s="377">
        <v>21</v>
      </c>
      <c r="G208" s="378">
        <v>47577</v>
      </c>
      <c r="H208" s="379">
        <v>4083</v>
      </c>
      <c r="I208" s="422">
        <f>+G208/H208</f>
        <v>11.652461425422484</v>
      </c>
      <c r="J208" s="526"/>
      <c r="K208" s="622"/>
    </row>
    <row r="209" spans="1:11" ht="13.5" customHeight="1">
      <c r="A209" s="271">
        <v>205</v>
      </c>
      <c r="B209" s="421" t="s">
        <v>341</v>
      </c>
      <c r="C209" s="602">
        <v>40333</v>
      </c>
      <c r="D209" s="376" t="s">
        <v>326</v>
      </c>
      <c r="E209" s="377">
        <v>5</v>
      </c>
      <c r="F209" s="377">
        <v>16</v>
      </c>
      <c r="G209" s="370">
        <f>36730.5+564+1413+1445+1680+605+2036+437</f>
        <v>44910.5</v>
      </c>
      <c r="H209" s="371">
        <f>3877+97+237+234+280+110+317+78</f>
        <v>5230</v>
      </c>
      <c r="I209" s="423">
        <f>G209/H209</f>
        <v>8.587093690248565</v>
      </c>
      <c r="J209" s="526"/>
      <c r="K209" s="622"/>
    </row>
    <row r="210" spans="1:11" ht="13.5" customHeight="1">
      <c r="A210" s="271">
        <v>206</v>
      </c>
      <c r="B210" s="529" t="s">
        <v>322</v>
      </c>
      <c r="C210" s="604">
        <v>40312</v>
      </c>
      <c r="D210" s="521" t="s">
        <v>326</v>
      </c>
      <c r="E210" s="524">
        <v>8</v>
      </c>
      <c r="F210" s="524">
        <v>17</v>
      </c>
      <c r="G210" s="386">
        <f>41764.5+663+13.5+1901+220.5</f>
        <v>44562.5</v>
      </c>
      <c r="H210" s="387">
        <f>4847+89+1+475+63</f>
        <v>5475</v>
      </c>
      <c r="I210" s="424">
        <f>G210/H210</f>
        <v>8.139269406392694</v>
      </c>
      <c r="J210" s="527"/>
      <c r="K210" s="622"/>
    </row>
    <row r="211" spans="1:11" ht="13.5" customHeight="1">
      <c r="A211" s="271">
        <v>207</v>
      </c>
      <c r="B211" s="421" t="s">
        <v>204</v>
      </c>
      <c r="C211" s="602">
        <v>40312</v>
      </c>
      <c r="D211" s="376" t="s">
        <v>326</v>
      </c>
      <c r="E211" s="377">
        <v>8</v>
      </c>
      <c r="F211" s="377">
        <v>13</v>
      </c>
      <c r="G211" s="370">
        <f>11419+8785+5156+2785+1106+3896+1423+288+1100+1758+52+1782+1901</f>
        <v>41451</v>
      </c>
      <c r="H211" s="371">
        <f>1790+1231+837+402+194+550+230+52+227+418+8+445+475</f>
        <v>6859</v>
      </c>
      <c r="I211" s="423">
        <f>G211/H211</f>
        <v>6.043300772707392</v>
      </c>
      <c r="J211" s="526">
        <v>1</v>
      </c>
      <c r="K211" s="622"/>
    </row>
    <row r="212" spans="1:11" ht="13.5" customHeight="1">
      <c r="A212" s="271">
        <v>208</v>
      </c>
      <c r="B212" s="529">
        <v>9</v>
      </c>
      <c r="C212" s="604">
        <v>40284</v>
      </c>
      <c r="D212" s="521" t="s">
        <v>452</v>
      </c>
      <c r="E212" s="520">
        <v>1</v>
      </c>
      <c r="F212" s="520">
        <v>13</v>
      </c>
      <c r="G212" s="386">
        <f>19938+4162+2098+2376+845+1608+833.5+361+161+101+2019.5+2019.5+2019.5+2138.5</f>
        <v>40680.5</v>
      </c>
      <c r="H212" s="387">
        <f>2614+350+241+594+102+138+113+48+26+20+505+505+505+535</f>
        <v>6296</v>
      </c>
      <c r="I212" s="424">
        <f>G212/H212</f>
        <v>6.461324650571791</v>
      </c>
      <c r="J212" s="526"/>
      <c r="K212" s="622"/>
    </row>
    <row r="213" spans="1:11" ht="13.5" customHeight="1">
      <c r="A213" s="271">
        <v>209</v>
      </c>
      <c r="B213" s="421" t="s">
        <v>310</v>
      </c>
      <c r="C213" s="602">
        <v>40347</v>
      </c>
      <c r="D213" s="376" t="s">
        <v>449</v>
      </c>
      <c r="E213" s="377">
        <v>10</v>
      </c>
      <c r="F213" s="377">
        <v>17</v>
      </c>
      <c r="G213" s="370">
        <f>39374+759+170</f>
        <v>40303</v>
      </c>
      <c r="H213" s="371">
        <f>5757+152+34</f>
        <v>5943</v>
      </c>
      <c r="I213" s="423">
        <f>IF(G213&lt;&gt;0,G213/H213,"")</f>
        <v>6.781591788658926</v>
      </c>
      <c r="J213" s="526">
        <v>1</v>
      </c>
      <c r="K213" s="622"/>
    </row>
    <row r="214" spans="1:11" ht="13.5" customHeight="1">
      <c r="A214" s="271">
        <v>210</v>
      </c>
      <c r="B214" s="421" t="s">
        <v>389</v>
      </c>
      <c r="C214" s="604">
        <v>40298</v>
      </c>
      <c r="D214" s="521" t="s">
        <v>384</v>
      </c>
      <c r="E214" s="520">
        <v>6</v>
      </c>
      <c r="F214" s="377">
        <v>7</v>
      </c>
      <c r="G214" s="412">
        <v>38823</v>
      </c>
      <c r="H214" s="413">
        <v>3279</v>
      </c>
      <c r="I214" s="464">
        <f>+G214/H214</f>
        <v>11.83989021043001</v>
      </c>
      <c r="J214" s="526"/>
      <c r="K214" s="622"/>
    </row>
    <row r="215" spans="1:11" ht="13.5" customHeight="1">
      <c r="A215" s="271">
        <v>211</v>
      </c>
      <c r="B215" s="421" t="s">
        <v>441</v>
      </c>
      <c r="C215" s="602">
        <v>40186</v>
      </c>
      <c r="D215" s="376" t="s">
        <v>326</v>
      </c>
      <c r="E215" s="377">
        <v>1</v>
      </c>
      <c r="F215" s="377">
        <v>20</v>
      </c>
      <c r="G215" s="370">
        <f>9061+11823.5+5543+523+1044+255+746+557+1780+515+96+66+549+475.5+1082+190+353+2376+207+1521+43</f>
        <v>38806</v>
      </c>
      <c r="H215" s="371">
        <f>906+798+439+43+88+22+127+99+445+134+32+22+94+63+112+25+49+594+31+149+6</f>
        <v>4278</v>
      </c>
      <c r="I215" s="423">
        <f>G215/H215</f>
        <v>9.071061243571762</v>
      </c>
      <c r="J215" s="526"/>
      <c r="K215" s="622"/>
    </row>
    <row r="216" spans="1:11" ht="13.5" customHeight="1">
      <c r="A216" s="271">
        <v>212</v>
      </c>
      <c r="B216" s="421" t="s">
        <v>205</v>
      </c>
      <c r="C216" s="605">
        <v>40256</v>
      </c>
      <c r="D216" s="376" t="s">
        <v>339</v>
      </c>
      <c r="E216" s="377">
        <v>20</v>
      </c>
      <c r="F216" s="377">
        <v>15</v>
      </c>
      <c r="G216" s="412">
        <v>34341</v>
      </c>
      <c r="H216" s="413">
        <v>4277</v>
      </c>
      <c r="I216" s="422">
        <f>IF(G216&lt;&gt;0,G216/H216,"")</f>
        <v>8.02922609305588</v>
      </c>
      <c r="J216" s="526">
        <v>1</v>
      </c>
      <c r="K216" s="622"/>
    </row>
    <row r="217" spans="1:11" ht="13.5" customHeight="1">
      <c r="A217" s="271">
        <v>213</v>
      </c>
      <c r="B217" s="421" t="s">
        <v>285</v>
      </c>
      <c r="C217" s="602">
        <v>40263</v>
      </c>
      <c r="D217" s="376" t="s">
        <v>326</v>
      </c>
      <c r="E217" s="377">
        <v>8</v>
      </c>
      <c r="F217" s="377">
        <v>14</v>
      </c>
      <c r="G217" s="370">
        <f>18741.5+4264.5+736+360+159+3593.5+2958.5+457+37+669+299+184+117+1188</f>
        <v>33764</v>
      </c>
      <c r="H217" s="371">
        <f>1439+373+103+44+20+789+274+62+5+105+54+31+20+297</f>
        <v>3616</v>
      </c>
      <c r="I217" s="423">
        <f aca="true" t="shared" si="7" ref="I217:I222">G217/H217</f>
        <v>9.337389380530974</v>
      </c>
      <c r="J217" s="526"/>
      <c r="K217" s="622"/>
    </row>
    <row r="218" spans="1:11" ht="13.5" customHeight="1">
      <c r="A218" s="271">
        <v>214</v>
      </c>
      <c r="B218" s="529" t="s">
        <v>278</v>
      </c>
      <c r="C218" s="604">
        <v>40424</v>
      </c>
      <c r="D218" s="521" t="s">
        <v>326</v>
      </c>
      <c r="E218" s="520">
        <v>5</v>
      </c>
      <c r="F218" s="520">
        <v>9</v>
      </c>
      <c r="G218" s="386">
        <f>11822.5+3468.5+3273+3742.5+3152+1092+927+1058+2153.5</f>
        <v>30689</v>
      </c>
      <c r="H218" s="387">
        <f>827+293+410+398+368+137+124+170+462</f>
        <v>3189</v>
      </c>
      <c r="I218" s="424">
        <f t="shared" si="7"/>
        <v>9.623392913138915</v>
      </c>
      <c r="J218" s="527"/>
      <c r="K218" s="622"/>
    </row>
    <row r="219" spans="1:11" ht="13.5" customHeight="1">
      <c r="A219" s="271">
        <v>215</v>
      </c>
      <c r="B219" s="529" t="s">
        <v>207</v>
      </c>
      <c r="C219" s="604">
        <v>40361</v>
      </c>
      <c r="D219" s="521" t="s">
        <v>452</v>
      </c>
      <c r="E219" s="520">
        <v>3</v>
      </c>
      <c r="F219" s="520">
        <v>18</v>
      </c>
      <c r="G219" s="386">
        <f>15313.5+921+1611.5+584+536+1202+3345.5+450+535+332+334+2970+1782</f>
        <v>29916.5</v>
      </c>
      <c r="H219" s="387">
        <f>1730+119+201+73+74+136+662+59+77+38+37+743+445</f>
        <v>4394</v>
      </c>
      <c r="I219" s="424">
        <f t="shared" si="7"/>
        <v>6.808488848429677</v>
      </c>
      <c r="J219" s="526"/>
      <c r="K219" s="622"/>
    </row>
    <row r="220" spans="1:11" ht="13.5" customHeight="1">
      <c r="A220" s="271">
        <v>216</v>
      </c>
      <c r="B220" s="421" t="s">
        <v>376</v>
      </c>
      <c r="C220" s="602">
        <v>40277</v>
      </c>
      <c r="D220" s="376" t="s">
        <v>326</v>
      </c>
      <c r="E220" s="377">
        <v>9</v>
      </c>
      <c r="F220" s="377">
        <v>16</v>
      </c>
      <c r="G220" s="370">
        <f>6266+1436.5+3621+3651+3608+2288.5+1885+266+1068+566+2662+169+84+447+101+276</f>
        <v>28395</v>
      </c>
      <c r="H220" s="371">
        <f>501+153+379+764+538+320+382+38+205+112+349+28+15+146+14+74</f>
        <v>4018</v>
      </c>
      <c r="I220" s="423">
        <f t="shared" si="7"/>
        <v>7.066948730711797</v>
      </c>
      <c r="J220" s="526"/>
      <c r="K220" s="622"/>
    </row>
    <row r="221" spans="1:11" ht="13.5" customHeight="1">
      <c r="A221" s="271">
        <v>217</v>
      </c>
      <c r="B221" s="529" t="s">
        <v>206</v>
      </c>
      <c r="C221" s="604">
        <v>40333</v>
      </c>
      <c r="D221" s="521" t="s">
        <v>326</v>
      </c>
      <c r="E221" s="520">
        <v>2</v>
      </c>
      <c r="F221" s="520">
        <v>17</v>
      </c>
      <c r="G221" s="386">
        <f>20966+1047+769+1091.5+1901+1090.5+330+94+107</f>
        <v>27396</v>
      </c>
      <c r="H221" s="387">
        <f>2304+127+92+121+475+146+92+18+21</f>
        <v>3396</v>
      </c>
      <c r="I221" s="424">
        <f t="shared" si="7"/>
        <v>8.06713780918728</v>
      </c>
      <c r="J221" s="527"/>
      <c r="K221" s="622"/>
    </row>
    <row r="222" spans="1:11" ht="13.5" customHeight="1">
      <c r="A222" s="271">
        <v>218</v>
      </c>
      <c r="B222" s="529" t="s">
        <v>316</v>
      </c>
      <c r="C222" s="604">
        <v>40389</v>
      </c>
      <c r="D222" s="521" t="s">
        <v>326</v>
      </c>
      <c r="E222" s="520">
        <v>3</v>
      </c>
      <c r="F222" s="520">
        <v>16</v>
      </c>
      <c r="G222" s="386">
        <f>6803+1310+2816.5+1204+2027.5+558+3083+1424+376+221+454+660+2019.5+2019.5+2019.5</f>
        <v>26995.5</v>
      </c>
      <c r="H222" s="387">
        <f>678+171+330+139+248+58+625+214+60+80+74+107+505+505+505</f>
        <v>4299</v>
      </c>
      <c r="I222" s="424">
        <f t="shared" si="7"/>
        <v>6.279483600837404</v>
      </c>
      <c r="J222" s="527"/>
      <c r="K222" s="622"/>
    </row>
    <row r="223" spans="1:11" ht="13.5" customHeight="1">
      <c r="A223" s="271">
        <v>219</v>
      </c>
      <c r="B223" s="529" t="s">
        <v>311</v>
      </c>
      <c r="C223" s="604">
        <v>40277</v>
      </c>
      <c r="D223" s="521" t="s">
        <v>221</v>
      </c>
      <c r="E223" s="520">
        <v>10</v>
      </c>
      <c r="F223" s="520">
        <v>5</v>
      </c>
      <c r="G223" s="392">
        <v>26692</v>
      </c>
      <c r="H223" s="410">
        <v>3511</v>
      </c>
      <c r="I223" s="425">
        <f>+G223/H223</f>
        <v>7.602392480774708</v>
      </c>
      <c r="J223" s="526">
        <v>1</v>
      </c>
      <c r="K223" s="622"/>
    </row>
    <row r="224" spans="1:11" ht="13.5" customHeight="1">
      <c r="A224" s="271">
        <v>220</v>
      </c>
      <c r="B224" s="421" t="s">
        <v>208</v>
      </c>
      <c r="C224" s="602">
        <v>40333</v>
      </c>
      <c r="D224" s="376" t="s">
        <v>326</v>
      </c>
      <c r="E224" s="377">
        <v>4</v>
      </c>
      <c r="F224" s="377">
        <v>11</v>
      </c>
      <c r="G224" s="370">
        <f>24273.7+308+483</f>
        <v>25064.7</v>
      </c>
      <c r="H224" s="371">
        <f>2830+67+68</f>
        <v>2965</v>
      </c>
      <c r="I224" s="423">
        <f>G224/H224</f>
        <v>8.453524451939291</v>
      </c>
      <c r="J224" s="526"/>
      <c r="K224" s="622"/>
    </row>
    <row r="225" spans="1:11" ht="13.5" customHeight="1">
      <c r="A225" s="271">
        <v>221</v>
      </c>
      <c r="B225" s="421" t="s">
        <v>321</v>
      </c>
      <c r="C225" s="602">
        <v>40312</v>
      </c>
      <c r="D225" s="376" t="s">
        <v>184</v>
      </c>
      <c r="E225" s="377" t="s">
        <v>235</v>
      </c>
      <c r="F225" s="377" t="s">
        <v>359</v>
      </c>
      <c r="G225" s="378">
        <v>24551</v>
      </c>
      <c r="H225" s="379">
        <v>2795</v>
      </c>
      <c r="I225" s="467">
        <f>+G225/H225</f>
        <v>8.783899821109124</v>
      </c>
      <c r="J225" s="526"/>
      <c r="K225" s="622"/>
    </row>
    <row r="226" spans="1:11" ht="13.5" customHeight="1">
      <c r="A226" s="271">
        <v>222</v>
      </c>
      <c r="B226" s="548" t="s">
        <v>312</v>
      </c>
      <c r="C226" s="604">
        <v>40319</v>
      </c>
      <c r="D226" s="536" t="s">
        <v>337</v>
      </c>
      <c r="E226" s="385">
        <v>11</v>
      </c>
      <c r="F226" s="385">
        <v>6</v>
      </c>
      <c r="G226" s="392">
        <f>8285+3406+28+3025+4479.5+3407+1919</f>
        <v>24549.5</v>
      </c>
      <c r="H226" s="393">
        <f>916+411+4+449+692+505+320</f>
        <v>3297</v>
      </c>
      <c r="I226" s="466">
        <f>+G226/H226</f>
        <v>7.44601152562936</v>
      </c>
      <c r="J226" s="108">
        <v>1</v>
      </c>
      <c r="K226" s="622"/>
    </row>
    <row r="227" spans="1:11" ht="13.5" customHeight="1">
      <c r="A227" s="271">
        <v>223</v>
      </c>
      <c r="B227" s="421" t="s">
        <v>399</v>
      </c>
      <c r="C227" s="602">
        <v>40445</v>
      </c>
      <c r="D227" s="376" t="s">
        <v>414</v>
      </c>
      <c r="E227" s="377">
        <v>3</v>
      </c>
      <c r="F227" s="377">
        <v>10</v>
      </c>
      <c r="G227" s="412">
        <v>23875</v>
      </c>
      <c r="H227" s="413">
        <v>2293</v>
      </c>
      <c r="I227" s="464">
        <f>+G227/H227</f>
        <v>10.412123855211513</v>
      </c>
      <c r="J227" s="108"/>
      <c r="K227" s="622"/>
    </row>
    <row r="228" spans="1:11" ht="13.5" customHeight="1">
      <c r="A228" s="271">
        <v>224</v>
      </c>
      <c r="B228" s="421" t="s">
        <v>182</v>
      </c>
      <c r="C228" s="602">
        <v>40347</v>
      </c>
      <c r="D228" s="376" t="s">
        <v>326</v>
      </c>
      <c r="E228" s="377">
        <v>2</v>
      </c>
      <c r="F228" s="377">
        <v>18</v>
      </c>
      <c r="G228" s="370">
        <f>15693+762+1031+1133+707+492+1323.5+1397+447+357+524</f>
        <v>23866.5</v>
      </c>
      <c r="H228" s="371">
        <f>1559+119+194+179+86+57+150+195+165+58+85</f>
        <v>2847</v>
      </c>
      <c r="I228" s="423">
        <f>G228/H228</f>
        <v>8.383034773445733</v>
      </c>
      <c r="J228" s="526"/>
      <c r="K228" s="622"/>
    </row>
    <row r="229" spans="1:11" ht="13.5" customHeight="1">
      <c r="A229" s="271">
        <v>225</v>
      </c>
      <c r="B229" s="421" t="s">
        <v>313</v>
      </c>
      <c r="C229" s="604">
        <v>40193</v>
      </c>
      <c r="D229" s="521" t="s">
        <v>324</v>
      </c>
      <c r="E229" s="520">
        <v>35</v>
      </c>
      <c r="F229" s="520">
        <v>3</v>
      </c>
      <c r="G229" s="392">
        <v>21393</v>
      </c>
      <c r="H229" s="410">
        <v>2214</v>
      </c>
      <c r="I229" s="425">
        <f>+G229/H229</f>
        <v>9.66260162601626</v>
      </c>
      <c r="J229" s="526">
        <v>1</v>
      </c>
      <c r="K229" s="622"/>
    </row>
    <row r="230" spans="1:11" ht="13.5" customHeight="1">
      <c r="A230" s="271">
        <v>226</v>
      </c>
      <c r="B230" s="421" t="s">
        <v>314</v>
      </c>
      <c r="C230" s="602">
        <v>40256</v>
      </c>
      <c r="D230" s="376" t="s">
        <v>337</v>
      </c>
      <c r="E230" s="377">
        <v>10</v>
      </c>
      <c r="F230" s="377">
        <v>9</v>
      </c>
      <c r="G230" s="370">
        <f>11841.5+3199+707+856.5+521+3603+303+108+126</f>
        <v>21265</v>
      </c>
      <c r="H230" s="371">
        <f>1220+372+104+120+78+721+48+18+21</f>
        <v>2702</v>
      </c>
      <c r="I230" s="423">
        <f>+G230/H230</f>
        <v>7.8700962250185045</v>
      </c>
      <c r="J230" s="526"/>
      <c r="K230" s="622"/>
    </row>
    <row r="231" spans="1:11" ht="13.5" customHeight="1">
      <c r="A231" s="271">
        <v>227</v>
      </c>
      <c r="B231" s="421" t="s">
        <v>395</v>
      </c>
      <c r="C231" s="602">
        <v>40438</v>
      </c>
      <c r="D231" s="376" t="s">
        <v>449</v>
      </c>
      <c r="E231" s="377">
        <v>4</v>
      </c>
      <c r="F231" s="377">
        <v>7</v>
      </c>
      <c r="G231" s="403">
        <f>15725.5+236+266+537</f>
        <v>16764.5</v>
      </c>
      <c r="H231" s="393">
        <f>1363+27+36+84</f>
        <v>1510</v>
      </c>
      <c r="I231" s="422">
        <f>IF(G231&lt;&gt;0,G231/H231,"")</f>
        <v>11.102317880794702</v>
      </c>
      <c r="J231" s="525"/>
      <c r="K231" s="622"/>
    </row>
    <row r="232" spans="1:11" ht="13.5" customHeight="1">
      <c r="A232" s="271">
        <v>228</v>
      </c>
      <c r="B232" s="529" t="s">
        <v>114</v>
      </c>
      <c r="C232" s="604">
        <v>40452</v>
      </c>
      <c r="D232" s="521" t="s">
        <v>326</v>
      </c>
      <c r="E232" s="520">
        <v>3</v>
      </c>
      <c r="F232" s="520">
        <v>5</v>
      </c>
      <c r="G232" s="386">
        <f>8509+2430+1878+289+2970</f>
        <v>16076</v>
      </c>
      <c r="H232" s="387">
        <f>696+238+219+33+743</f>
        <v>1929</v>
      </c>
      <c r="I232" s="424">
        <f>G232/H232</f>
        <v>8.333851736651114</v>
      </c>
      <c r="J232" s="526"/>
      <c r="K232" s="622"/>
    </row>
    <row r="233" spans="1:11" ht="13.5" customHeight="1">
      <c r="A233" s="271">
        <v>229</v>
      </c>
      <c r="B233" s="421" t="s">
        <v>498</v>
      </c>
      <c r="C233" s="602">
        <v>40529</v>
      </c>
      <c r="D233" s="603" t="s">
        <v>339</v>
      </c>
      <c r="E233" s="377">
        <v>32</v>
      </c>
      <c r="F233" s="377">
        <v>1</v>
      </c>
      <c r="G233" s="378">
        <v>15552</v>
      </c>
      <c r="H233" s="379">
        <v>1361</v>
      </c>
      <c r="I233" s="422">
        <f>+G233/H233</f>
        <v>11.426891991182954</v>
      </c>
      <c r="J233" s="108">
        <v>1</v>
      </c>
      <c r="K233" s="622">
        <v>1</v>
      </c>
    </row>
    <row r="234" spans="1:11" ht="13.5" customHeight="1">
      <c r="A234" s="271">
        <v>230</v>
      </c>
      <c r="B234" s="421" t="s">
        <v>319</v>
      </c>
      <c r="C234" s="602">
        <v>40480</v>
      </c>
      <c r="D234" s="603" t="s">
        <v>339</v>
      </c>
      <c r="E234" s="377">
        <v>1</v>
      </c>
      <c r="F234" s="377">
        <v>6</v>
      </c>
      <c r="G234" s="378">
        <v>13703</v>
      </c>
      <c r="H234" s="379">
        <v>961</v>
      </c>
      <c r="I234" s="422">
        <f>+G234/H234</f>
        <v>14.25910509885536</v>
      </c>
      <c r="J234" s="108"/>
      <c r="K234" s="622"/>
    </row>
    <row r="235" spans="1:11" ht="13.5" customHeight="1">
      <c r="A235" s="271">
        <v>231</v>
      </c>
      <c r="B235" s="421" t="s">
        <v>209</v>
      </c>
      <c r="C235" s="602">
        <v>40319</v>
      </c>
      <c r="D235" s="376" t="s">
        <v>326</v>
      </c>
      <c r="E235" s="377">
        <v>2</v>
      </c>
      <c r="F235" s="377">
        <v>15</v>
      </c>
      <c r="G235" s="370">
        <f>4143+1077+726+775+2269+1451+561+189+370+613+538+181+79+246+238</f>
        <v>13456</v>
      </c>
      <c r="H235" s="371">
        <f>330+90+108+118+312+209+62+36+139+104+67+25+11+37+68</f>
        <v>1716</v>
      </c>
      <c r="I235" s="423">
        <f>G235/H235</f>
        <v>7.841491841491841</v>
      </c>
      <c r="J235" s="526"/>
      <c r="K235" s="622"/>
    </row>
    <row r="236" spans="1:11" ht="13.5" customHeight="1">
      <c r="A236" s="271">
        <v>232</v>
      </c>
      <c r="B236" s="421" t="s">
        <v>315</v>
      </c>
      <c r="C236" s="602">
        <v>40319</v>
      </c>
      <c r="D236" s="376" t="s">
        <v>326</v>
      </c>
      <c r="E236" s="377">
        <v>6</v>
      </c>
      <c r="F236" s="377">
        <v>11</v>
      </c>
      <c r="G236" s="370">
        <f>8650.5+1568+2970</f>
        <v>13188.5</v>
      </c>
      <c r="H236" s="371">
        <f>1104+389+743</f>
        <v>2236</v>
      </c>
      <c r="I236" s="423">
        <v>7.835597826086956</v>
      </c>
      <c r="J236" s="526">
        <v>1</v>
      </c>
      <c r="K236" s="622"/>
    </row>
    <row r="237" spans="1:11" ht="13.5" customHeight="1">
      <c r="A237" s="271">
        <v>233</v>
      </c>
      <c r="B237" s="529" t="s">
        <v>113</v>
      </c>
      <c r="C237" s="604">
        <v>40326</v>
      </c>
      <c r="D237" s="521" t="s">
        <v>326</v>
      </c>
      <c r="E237" s="520">
        <v>5</v>
      </c>
      <c r="F237" s="520">
        <v>11</v>
      </c>
      <c r="G237" s="386">
        <f>3131+1807+4733+164+167+162+679.5+104+89+124+2019.5</f>
        <v>13180</v>
      </c>
      <c r="H237" s="387">
        <f>295+188+834+31+27+31+102+18+15+20+505</f>
        <v>2066</v>
      </c>
      <c r="I237" s="424">
        <f>G237/H237</f>
        <v>6.37947725072604</v>
      </c>
      <c r="J237" s="527">
        <v>1</v>
      </c>
      <c r="K237" s="622"/>
    </row>
    <row r="238" spans="1:11" ht="13.5" customHeight="1">
      <c r="A238" s="271">
        <v>234</v>
      </c>
      <c r="B238" s="529" t="s">
        <v>115</v>
      </c>
      <c r="C238" s="604">
        <v>40473</v>
      </c>
      <c r="D238" s="521" t="s">
        <v>326</v>
      </c>
      <c r="E238" s="520">
        <v>2</v>
      </c>
      <c r="F238" s="520">
        <v>3</v>
      </c>
      <c r="G238" s="386">
        <f>6832+2665+3612</f>
        <v>13109</v>
      </c>
      <c r="H238" s="387">
        <f>659+312+817</f>
        <v>1788</v>
      </c>
      <c r="I238" s="424">
        <f>G238/H238</f>
        <v>7.33165548098434</v>
      </c>
      <c r="J238" s="526"/>
      <c r="K238" s="622"/>
    </row>
    <row r="239" spans="1:11" ht="13.5" customHeight="1">
      <c r="A239" s="271">
        <v>235</v>
      </c>
      <c r="B239" s="529" t="s">
        <v>37</v>
      </c>
      <c r="C239" s="604">
        <v>40375</v>
      </c>
      <c r="D239" s="521" t="s">
        <v>326</v>
      </c>
      <c r="E239" s="520">
        <v>2</v>
      </c>
      <c r="F239" s="520">
        <v>9</v>
      </c>
      <c r="G239" s="386">
        <f>5961+952+178+912.5+84.5+1901+1782</f>
        <v>11771</v>
      </c>
      <c r="H239" s="387">
        <f>700+123+22+121+11+475+445</f>
        <v>1897</v>
      </c>
      <c r="I239" s="424">
        <f>G239/H239</f>
        <v>6.205060622034792</v>
      </c>
      <c r="J239" s="527"/>
      <c r="K239" s="622"/>
    </row>
    <row r="240" spans="1:11" ht="13.5" customHeight="1">
      <c r="A240" s="271">
        <v>236</v>
      </c>
      <c r="B240" s="421" t="s">
        <v>408</v>
      </c>
      <c r="C240" s="602">
        <v>40466</v>
      </c>
      <c r="D240" s="376" t="s">
        <v>449</v>
      </c>
      <c r="E240" s="377">
        <v>10</v>
      </c>
      <c r="F240" s="377">
        <v>5</v>
      </c>
      <c r="G240" s="403">
        <f>7088+2486+815+33+201</f>
        <v>10623</v>
      </c>
      <c r="H240" s="393">
        <f>735+318+126+5+29</f>
        <v>1213</v>
      </c>
      <c r="I240" s="422">
        <f>IF(G240&lt;&gt;0,G240/H240,"")</f>
        <v>8.757625721352019</v>
      </c>
      <c r="J240" s="525"/>
      <c r="K240" s="622"/>
    </row>
    <row r="241" spans="1:11" ht="13.5" customHeight="1">
      <c r="A241" s="271">
        <v>237</v>
      </c>
      <c r="B241" s="549" t="s">
        <v>499</v>
      </c>
      <c r="C241" s="605">
        <v>40529</v>
      </c>
      <c r="D241" s="539" t="s">
        <v>466</v>
      </c>
      <c r="E241" s="406">
        <v>5</v>
      </c>
      <c r="F241" s="406">
        <v>1</v>
      </c>
      <c r="G241" s="407">
        <v>10175</v>
      </c>
      <c r="H241" s="410">
        <v>888</v>
      </c>
      <c r="I241" s="511">
        <v>12.096546832749679</v>
      </c>
      <c r="J241" s="562"/>
      <c r="K241" s="622">
        <v>1</v>
      </c>
    </row>
    <row r="242" spans="1:11" ht="13.5" customHeight="1">
      <c r="A242" s="271">
        <v>238</v>
      </c>
      <c r="B242" s="548" t="s">
        <v>500</v>
      </c>
      <c r="C242" s="604">
        <v>40529</v>
      </c>
      <c r="D242" s="536" t="s">
        <v>337</v>
      </c>
      <c r="E242" s="385">
        <v>5</v>
      </c>
      <c r="F242" s="385">
        <v>1</v>
      </c>
      <c r="G242" s="392">
        <f>9892.5</f>
        <v>9892.5</v>
      </c>
      <c r="H242" s="393">
        <f>1037</f>
        <v>1037</v>
      </c>
      <c r="I242" s="466">
        <f>+G242/H242</f>
        <v>9.539537126325941</v>
      </c>
      <c r="J242" s="108">
        <v>1</v>
      </c>
      <c r="K242" s="622">
        <v>1</v>
      </c>
    </row>
    <row r="243" spans="1:11" ht="13.5" customHeight="1">
      <c r="A243" s="271">
        <v>239</v>
      </c>
      <c r="B243" s="421" t="s">
        <v>116</v>
      </c>
      <c r="C243" s="605">
        <v>40514</v>
      </c>
      <c r="D243" s="376" t="s">
        <v>326</v>
      </c>
      <c r="E243" s="377">
        <v>2</v>
      </c>
      <c r="F243" s="377">
        <v>11</v>
      </c>
      <c r="G243" s="412">
        <v>7636</v>
      </c>
      <c r="H243" s="413">
        <v>1084</v>
      </c>
      <c r="I243" s="464">
        <f>+G243/H243</f>
        <v>7.044280442804428</v>
      </c>
      <c r="J243" s="526"/>
      <c r="K243" s="622"/>
    </row>
    <row r="244" spans="1:11" ht="13.5" customHeight="1">
      <c r="A244" s="271">
        <v>240</v>
      </c>
      <c r="B244" s="421" t="s">
        <v>117</v>
      </c>
      <c r="C244" s="605">
        <v>40333</v>
      </c>
      <c r="D244" s="376" t="s">
        <v>118</v>
      </c>
      <c r="E244" s="377">
        <v>1</v>
      </c>
      <c r="F244" s="377">
        <v>1</v>
      </c>
      <c r="G244" s="412">
        <v>5611</v>
      </c>
      <c r="H244" s="413">
        <v>502</v>
      </c>
      <c r="I244" s="423">
        <f>G244/H244</f>
        <v>11.177290836653386</v>
      </c>
      <c r="J244" s="526"/>
      <c r="K244" s="622"/>
    </row>
    <row r="245" spans="1:11" ht="13.5" customHeight="1">
      <c r="A245" s="271">
        <v>241</v>
      </c>
      <c r="B245" s="547" t="s">
        <v>501</v>
      </c>
      <c r="C245" s="602">
        <v>40529</v>
      </c>
      <c r="D245" s="537" t="s">
        <v>478</v>
      </c>
      <c r="E245" s="369">
        <v>2</v>
      </c>
      <c r="F245" s="369">
        <v>1</v>
      </c>
      <c r="G245" s="412">
        <v>2854</v>
      </c>
      <c r="H245" s="413">
        <v>388</v>
      </c>
      <c r="I245" s="464">
        <f>+G245/H245</f>
        <v>7.355670103092783</v>
      </c>
      <c r="J245" s="108"/>
      <c r="K245" s="622"/>
    </row>
    <row r="246" spans="1:11" ht="13.5" customHeight="1" thickBot="1">
      <c r="A246" s="271">
        <v>242</v>
      </c>
      <c r="B246" s="468" t="s">
        <v>6</v>
      </c>
      <c r="C246" s="616">
        <v>40508</v>
      </c>
      <c r="D246" s="617" t="s">
        <v>7</v>
      </c>
      <c r="E246" s="469">
        <v>1</v>
      </c>
      <c r="F246" s="469">
        <v>1</v>
      </c>
      <c r="G246" s="470">
        <v>739</v>
      </c>
      <c r="H246" s="471">
        <v>93</v>
      </c>
      <c r="I246" s="472">
        <f>+G246/H246</f>
        <v>7.946236559139785</v>
      </c>
      <c r="J246" s="526">
        <v>1</v>
      </c>
      <c r="K246" s="622"/>
    </row>
    <row r="247" spans="2:9" ht="12.75">
      <c r="B247" s="96"/>
      <c r="C247" s="534"/>
      <c r="D247" s="97"/>
      <c r="E247" s="242"/>
      <c r="F247" s="242"/>
      <c r="G247" s="98"/>
      <c r="H247" s="99"/>
      <c r="I247" s="100"/>
    </row>
    <row r="248" spans="1:52" s="291" customFormat="1" ht="21.75" customHeight="1">
      <c r="A248" s="647" t="s">
        <v>13</v>
      </c>
      <c r="B248" s="648"/>
      <c r="C248" s="648"/>
      <c r="D248" s="648"/>
      <c r="E248" s="648"/>
      <c r="F248" s="648"/>
      <c r="G248" s="648"/>
      <c r="H248" s="648"/>
      <c r="I248" s="648"/>
      <c r="J248" s="648"/>
      <c r="K248" s="648"/>
      <c r="L248" s="648"/>
      <c r="M248" s="648"/>
      <c r="N248" s="648"/>
      <c r="O248" s="295"/>
      <c r="P248" s="296"/>
      <c r="Q248" s="296"/>
      <c r="R248" s="296"/>
      <c r="S248" s="296"/>
      <c r="T248" s="296"/>
      <c r="U248" s="296"/>
      <c r="V248" s="296"/>
      <c r="W248" s="317"/>
      <c r="X248" s="318"/>
      <c r="Y248" s="318"/>
      <c r="Z248" s="318"/>
      <c r="AA248" s="318"/>
      <c r="AB248" s="318"/>
      <c r="AC248" s="318"/>
      <c r="AD248" s="318"/>
      <c r="AE248" s="318"/>
      <c r="AF248" s="318"/>
      <c r="AG248" s="318"/>
      <c r="AH248" s="318"/>
      <c r="AI248" s="318"/>
      <c r="AJ248" s="318"/>
      <c r="AK248" s="318"/>
      <c r="AL248" s="318"/>
      <c r="AM248" s="318"/>
      <c r="AN248" s="318"/>
      <c r="AO248" s="318"/>
      <c r="AP248" s="318"/>
      <c r="AQ248" s="318"/>
      <c r="AR248" s="318"/>
      <c r="AS248" s="318"/>
      <c r="AT248" s="318"/>
      <c r="AU248" s="318"/>
      <c r="AV248" s="318"/>
      <c r="AW248" s="318"/>
      <c r="AX248" s="318"/>
      <c r="AY248" s="318"/>
      <c r="AZ248" s="314"/>
    </row>
    <row r="249" spans="1:256" s="291" customFormat="1" ht="18" customHeight="1">
      <c r="A249" s="647" t="s">
        <v>16</v>
      </c>
      <c r="B249" s="648"/>
      <c r="C249" s="648"/>
      <c r="D249" s="648"/>
      <c r="E249" s="648"/>
      <c r="F249" s="648"/>
      <c r="G249" s="648"/>
      <c r="H249" s="648"/>
      <c r="I249" s="648"/>
      <c r="J249" s="648"/>
      <c r="K249" s="648"/>
      <c r="L249" s="648"/>
      <c r="M249" s="648"/>
      <c r="N249" s="648"/>
      <c r="O249" s="295"/>
      <c r="P249" s="296"/>
      <c r="Q249" s="296"/>
      <c r="R249" s="296"/>
      <c r="S249" s="296"/>
      <c r="T249" s="296"/>
      <c r="U249" s="296"/>
      <c r="V249" s="296"/>
      <c r="W249" s="319"/>
      <c r="X249" s="320"/>
      <c r="Y249" s="320"/>
      <c r="Z249" s="320"/>
      <c r="AA249" s="320"/>
      <c r="AB249" s="320"/>
      <c r="AC249" s="320"/>
      <c r="AD249" s="320"/>
      <c r="AE249" s="320"/>
      <c r="AF249" s="320"/>
      <c r="AG249" s="320"/>
      <c r="AH249" s="320"/>
      <c r="AI249" s="320"/>
      <c r="AJ249" s="320"/>
      <c r="AK249" s="320"/>
      <c r="AL249" s="320"/>
      <c r="AM249" s="320"/>
      <c r="AN249" s="320"/>
      <c r="AO249" s="320"/>
      <c r="AP249" s="320"/>
      <c r="AQ249" s="320"/>
      <c r="AR249" s="320"/>
      <c r="AS249" s="319"/>
      <c r="AT249" s="320"/>
      <c r="AU249" s="320"/>
      <c r="AV249" s="320"/>
      <c r="AW249" s="320"/>
      <c r="AX249" s="320"/>
      <c r="AY249" s="320"/>
      <c r="AZ249" s="315"/>
      <c r="BA249" s="293"/>
      <c r="BB249" s="293"/>
      <c r="BC249" s="293"/>
      <c r="BD249" s="293"/>
      <c r="BE249" s="293"/>
      <c r="BF249" s="293"/>
      <c r="BG249" s="293"/>
      <c r="BH249" s="293"/>
      <c r="BI249" s="293"/>
      <c r="BJ249" s="293"/>
      <c r="BK249" s="293"/>
      <c r="BL249" s="293"/>
      <c r="BM249" s="293"/>
      <c r="BN249" s="293"/>
      <c r="BO249" s="292"/>
      <c r="BP249" s="293"/>
      <c r="BQ249" s="293"/>
      <c r="BR249" s="293"/>
      <c r="BS249" s="293"/>
      <c r="BT249" s="293"/>
      <c r="BU249" s="293"/>
      <c r="BV249" s="293"/>
      <c r="BW249" s="293"/>
      <c r="BX249" s="293"/>
      <c r="BY249" s="293"/>
      <c r="BZ249" s="293"/>
      <c r="CA249" s="293"/>
      <c r="CB249" s="293"/>
      <c r="CC249" s="293"/>
      <c r="CD249" s="293"/>
      <c r="CE249" s="293"/>
      <c r="CF249" s="293"/>
      <c r="CG249" s="293"/>
      <c r="CH249" s="293"/>
      <c r="CI249" s="293"/>
      <c r="CJ249" s="293"/>
      <c r="CK249" s="292"/>
      <c r="CL249" s="293"/>
      <c r="CM249" s="293"/>
      <c r="CN249" s="293"/>
      <c r="CO249" s="293"/>
      <c r="CP249" s="293"/>
      <c r="CQ249" s="293"/>
      <c r="CR249" s="293"/>
      <c r="CS249" s="293"/>
      <c r="CT249" s="293"/>
      <c r="CU249" s="293"/>
      <c r="CV249" s="293"/>
      <c r="CW249" s="293"/>
      <c r="CX249" s="293"/>
      <c r="CY249" s="293"/>
      <c r="CZ249" s="293"/>
      <c r="DA249" s="293"/>
      <c r="DB249" s="293"/>
      <c r="DC249" s="293"/>
      <c r="DD249" s="293"/>
      <c r="DE249" s="293"/>
      <c r="DF249" s="293"/>
      <c r="DG249" s="292"/>
      <c r="DH249" s="293"/>
      <c r="DI249" s="293"/>
      <c r="DJ249" s="293"/>
      <c r="DK249" s="293"/>
      <c r="DL249" s="293"/>
      <c r="DM249" s="293"/>
      <c r="DN249" s="293"/>
      <c r="DO249" s="293"/>
      <c r="DP249" s="293"/>
      <c r="DQ249" s="293"/>
      <c r="DR249" s="293"/>
      <c r="DS249" s="293"/>
      <c r="DT249" s="293"/>
      <c r="DU249" s="293"/>
      <c r="DV249" s="293"/>
      <c r="DW249" s="293"/>
      <c r="DX249" s="293"/>
      <c r="DY249" s="293"/>
      <c r="DZ249" s="293"/>
      <c r="EA249" s="293"/>
      <c r="EB249" s="293"/>
      <c r="EC249" s="292"/>
      <c r="ED249" s="293"/>
      <c r="EE249" s="293"/>
      <c r="EF249" s="293"/>
      <c r="EG249" s="293"/>
      <c r="EH249" s="293"/>
      <c r="EI249" s="293"/>
      <c r="EJ249" s="293"/>
      <c r="EK249" s="293"/>
      <c r="EL249" s="293"/>
      <c r="EM249" s="293"/>
      <c r="EN249" s="293"/>
      <c r="EO249" s="293"/>
      <c r="EP249" s="293"/>
      <c r="EQ249" s="293"/>
      <c r="ER249" s="293"/>
      <c r="ES249" s="293"/>
      <c r="ET249" s="293"/>
      <c r="EU249" s="293"/>
      <c r="EV249" s="293"/>
      <c r="EW249" s="293"/>
      <c r="EX249" s="293"/>
      <c r="EY249" s="292"/>
      <c r="EZ249" s="293"/>
      <c r="FA249" s="293"/>
      <c r="FB249" s="293"/>
      <c r="FC249" s="293"/>
      <c r="FD249" s="293"/>
      <c r="FE249" s="293"/>
      <c r="FF249" s="293"/>
      <c r="FG249" s="293"/>
      <c r="FH249" s="293"/>
      <c r="FI249" s="293"/>
      <c r="FJ249" s="293"/>
      <c r="FK249" s="293"/>
      <c r="FL249" s="293"/>
      <c r="FM249" s="293"/>
      <c r="FN249" s="293"/>
      <c r="FO249" s="293"/>
      <c r="FP249" s="293"/>
      <c r="FQ249" s="293"/>
      <c r="FR249" s="293"/>
      <c r="FS249" s="293"/>
      <c r="FT249" s="293"/>
      <c r="FU249" s="292"/>
      <c r="FV249" s="293"/>
      <c r="FW249" s="293"/>
      <c r="FX249" s="293"/>
      <c r="FY249" s="293"/>
      <c r="FZ249" s="293"/>
      <c r="GA249" s="293"/>
      <c r="GB249" s="293"/>
      <c r="GC249" s="293"/>
      <c r="GD249" s="293"/>
      <c r="GE249" s="293"/>
      <c r="GF249" s="293"/>
      <c r="GG249" s="293"/>
      <c r="GH249" s="293"/>
      <c r="GI249" s="293"/>
      <c r="GJ249" s="293"/>
      <c r="GK249" s="293"/>
      <c r="GL249" s="293"/>
      <c r="GM249" s="293"/>
      <c r="GN249" s="293"/>
      <c r="GO249" s="293"/>
      <c r="GP249" s="293"/>
      <c r="GQ249" s="292"/>
      <c r="GR249" s="293"/>
      <c r="GS249" s="293"/>
      <c r="GT249" s="293"/>
      <c r="GU249" s="293"/>
      <c r="GV249" s="293"/>
      <c r="GW249" s="293"/>
      <c r="GX249" s="293"/>
      <c r="GY249" s="293"/>
      <c r="GZ249" s="293"/>
      <c r="HA249" s="293"/>
      <c r="HB249" s="293"/>
      <c r="HC249" s="293"/>
      <c r="HD249" s="293"/>
      <c r="HE249" s="293"/>
      <c r="HF249" s="293"/>
      <c r="HG249" s="293"/>
      <c r="HH249" s="293"/>
      <c r="HI249" s="293"/>
      <c r="HJ249" s="293"/>
      <c r="HK249" s="293"/>
      <c r="HL249" s="293"/>
      <c r="HM249" s="292"/>
      <c r="HN249" s="293"/>
      <c r="HO249" s="293"/>
      <c r="HP249" s="293"/>
      <c r="HQ249" s="293"/>
      <c r="HR249" s="293"/>
      <c r="HS249" s="293"/>
      <c r="HT249" s="293"/>
      <c r="HU249" s="293"/>
      <c r="HV249" s="293"/>
      <c r="HW249" s="293"/>
      <c r="HX249" s="293"/>
      <c r="HY249" s="293"/>
      <c r="HZ249" s="293"/>
      <c r="IA249" s="293"/>
      <c r="IB249" s="293"/>
      <c r="IC249" s="293"/>
      <c r="ID249" s="293"/>
      <c r="IE249" s="293"/>
      <c r="IF249" s="293"/>
      <c r="IG249" s="293"/>
      <c r="IH249" s="293"/>
      <c r="II249" s="292"/>
      <c r="IJ249" s="293"/>
      <c r="IK249" s="293"/>
      <c r="IL249" s="293"/>
      <c r="IM249" s="293"/>
      <c r="IN249" s="293"/>
      <c r="IO249" s="293"/>
      <c r="IP249" s="293"/>
      <c r="IQ249" s="293"/>
      <c r="IR249" s="293"/>
      <c r="IS249" s="293"/>
      <c r="IT249" s="293"/>
      <c r="IU249" s="293"/>
      <c r="IV249" s="293"/>
    </row>
    <row r="250" spans="1:256" s="291" customFormat="1" ht="18" customHeight="1">
      <c r="A250" s="648"/>
      <c r="B250" s="648"/>
      <c r="C250" s="648"/>
      <c r="D250" s="648"/>
      <c r="E250" s="648"/>
      <c r="F250" s="648"/>
      <c r="G250" s="648"/>
      <c r="H250" s="648"/>
      <c r="I250" s="648"/>
      <c r="J250" s="648"/>
      <c r="K250" s="648"/>
      <c r="L250" s="648"/>
      <c r="M250" s="648"/>
      <c r="N250" s="648"/>
      <c r="O250" s="295"/>
      <c r="P250" s="296"/>
      <c r="Q250" s="296"/>
      <c r="R250" s="296"/>
      <c r="S250" s="296"/>
      <c r="T250" s="296"/>
      <c r="U250" s="296"/>
      <c r="V250" s="296"/>
      <c r="W250" s="319"/>
      <c r="X250" s="320"/>
      <c r="Y250" s="320"/>
      <c r="Z250" s="320"/>
      <c r="AA250" s="320"/>
      <c r="AB250" s="320"/>
      <c r="AC250" s="320"/>
      <c r="AD250" s="320"/>
      <c r="AE250" s="320"/>
      <c r="AF250" s="320"/>
      <c r="AG250" s="320"/>
      <c r="AH250" s="320"/>
      <c r="AI250" s="320"/>
      <c r="AJ250" s="320"/>
      <c r="AK250" s="320"/>
      <c r="AL250" s="320"/>
      <c r="AM250" s="320"/>
      <c r="AN250" s="320"/>
      <c r="AO250" s="320"/>
      <c r="AP250" s="320"/>
      <c r="AQ250" s="320"/>
      <c r="AR250" s="320"/>
      <c r="AS250" s="319"/>
      <c r="AT250" s="320"/>
      <c r="AU250" s="320"/>
      <c r="AV250" s="320"/>
      <c r="AW250" s="320"/>
      <c r="AX250" s="320"/>
      <c r="AY250" s="320"/>
      <c r="AZ250" s="315"/>
      <c r="BA250" s="293"/>
      <c r="BB250" s="293"/>
      <c r="BC250" s="293"/>
      <c r="BD250" s="293"/>
      <c r="BE250" s="293"/>
      <c r="BF250" s="293"/>
      <c r="BG250" s="293"/>
      <c r="BH250" s="293"/>
      <c r="BI250" s="293"/>
      <c r="BJ250" s="293"/>
      <c r="BK250" s="293"/>
      <c r="BL250" s="293"/>
      <c r="BM250" s="293"/>
      <c r="BN250" s="293"/>
      <c r="BO250" s="292"/>
      <c r="BP250" s="293"/>
      <c r="BQ250" s="293"/>
      <c r="BR250" s="293"/>
      <c r="BS250" s="293"/>
      <c r="BT250" s="293"/>
      <c r="BU250" s="293"/>
      <c r="BV250" s="293"/>
      <c r="BW250" s="293"/>
      <c r="BX250" s="293"/>
      <c r="BY250" s="293"/>
      <c r="BZ250" s="293"/>
      <c r="CA250" s="293"/>
      <c r="CB250" s="293"/>
      <c r="CC250" s="293"/>
      <c r="CD250" s="293"/>
      <c r="CE250" s="293"/>
      <c r="CF250" s="293"/>
      <c r="CG250" s="293"/>
      <c r="CH250" s="293"/>
      <c r="CI250" s="293"/>
      <c r="CJ250" s="293"/>
      <c r="CK250" s="292"/>
      <c r="CL250" s="293"/>
      <c r="CM250" s="293"/>
      <c r="CN250" s="293"/>
      <c r="CO250" s="293"/>
      <c r="CP250" s="293"/>
      <c r="CQ250" s="293"/>
      <c r="CR250" s="293"/>
      <c r="CS250" s="293"/>
      <c r="CT250" s="293"/>
      <c r="CU250" s="293"/>
      <c r="CV250" s="293"/>
      <c r="CW250" s="293"/>
      <c r="CX250" s="293"/>
      <c r="CY250" s="293"/>
      <c r="CZ250" s="293"/>
      <c r="DA250" s="293"/>
      <c r="DB250" s="293"/>
      <c r="DC250" s="293"/>
      <c r="DD250" s="293"/>
      <c r="DE250" s="293"/>
      <c r="DF250" s="293"/>
      <c r="DG250" s="292"/>
      <c r="DH250" s="293"/>
      <c r="DI250" s="293"/>
      <c r="DJ250" s="293"/>
      <c r="DK250" s="293"/>
      <c r="DL250" s="293"/>
      <c r="DM250" s="293"/>
      <c r="DN250" s="293"/>
      <c r="DO250" s="293"/>
      <c r="DP250" s="293"/>
      <c r="DQ250" s="293"/>
      <c r="DR250" s="293"/>
      <c r="DS250" s="293"/>
      <c r="DT250" s="293"/>
      <c r="DU250" s="293"/>
      <c r="DV250" s="293"/>
      <c r="DW250" s="293"/>
      <c r="DX250" s="293"/>
      <c r="DY250" s="293"/>
      <c r="DZ250" s="293"/>
      <c r="EA250" s="293"/>
      <c r="EB250" s="293"/>
      <c r="EC250" s="292"/>
      <c r="ED250" s="293"/>
      <c r="EE250" s="293"/>
      <c r="EF250" s="293"/>
      <c r="EG250" s="293"/>
      <c r="EH250" s="293"/>
      <c r="EI250" s="293"/>
      <c r="EJ250" s="293"/>
      <c r="EK250" s="293"/>
      <c r="EL250" s="293"/>
      <c r="EM250" s="293"/>
      <c r="EN250" s="293"/>
      <c r="EO250" s="293"/>
      <c r="EP250" s="293"/>
      <c r="EQ250" s="293"/>
      <c r="ER250" s="293"/>
      <c r="ES250" s="293"/>
      <c r="ET250" s="293"/>
      <c r="EU250" s="293"/>
      <c r="EV250" s="293"/>
      <c r="EW250" s="293"/>
      <c r="EX250" s="293"/>
      <c r="EY250" s="292"/>
      <c r="EZ250" s="293"/>
      <c r="FA250" s="293"/>
      <c r="FB250" s="293"/>
      <c r="FC250" s="293"/>
      <c r="FD250" s="293"/>
      <c r="FE250" s="293"/>
      <c r="FF250" s="293"/>
      <c r="FG250" s="293"/>
      <c r="FH250" s="293"/>
      <c r="FI250" s="293"/>
      <c r="FJ250" s="293"/>
      <c r="FK250" s="293"/>
      <c r="FL250" s="293"/>
      <c r="FM250" s="293"/>
      <c r="FN250" s="293"/>
      <c r="FO250" s="293"/>
      <c r="FP250" s="293"/>
      <c r="FQ250" s="293"/>
      <c r="FR250" s="293"/>
      <c r="FS250" s="293"/>
      <c r="FT250" s="293"/>
      <c r="FU250" s="292"/>
      <c r="FV250" s="293"/>
      <c r="FW250" s="293"/>
      <c r="FX250" s="293"/>
      <c r="FY250" s="293"/>
      <c r="FZ250" s="293"/>
      <c r="GA250" s="293"/>
      <c r="GB250" s="293"/>
      <c r="GC250" s="293"/>
      <c r="GD250" s="293"/>
      <c r="GE250" s="293"/>
      <c r="GF250" s="293"/>
      <c r="GG250" s="293"/>
      <c r="GH250" s="293"/>
      <c r="GI250" s="293"/>
      <c r="GJ250" s="293"/>
      <c r="GK250" s="293"/>
      <c r="GL250" s="293"/>
      <c r="GM250" s="293"/>
      <c r="GN250" s="293"/>
      <c r="GO250" s="293"/>
      <c r="GP250" s="293"/>
      <c r="GQ250" s="292"/>
      <c r="GR250" s="293"/>
      <c r="GS250" s="293"/>
      <c r="GT250" s="293"/>
      <c r="GU250" s="293"/>
      <c r="GV250" s="293"/>
      <c r="GW250" s="293"/>
      <c r="GX250" s="293"/>
      <c r="GY250" s="293"/>
      <c r="GZ250" s="293"/>
      <c r="HA250" s="293"/>
      <c r="HB250" s="293"/>
      <c r="HC250" s="293"/>
      <c r="HD250" s="293"/>
      <c r="HE250" s="293"/>
      <c r="HF250" s="293"/>
      <c r="HG250" s="293"/>
      <c r="HH250" s="293"/>
      <c r="HI250" s="293"/>
      <c r="HJ250" s="293"/>
      <c r="HK250" s="293"/>
      <c r="HL250" s="293"/>
      <c r="HM250" s="292"/>
      <c r="HN250" s="293"/>
      <c r="HO250" s="293"/>
      <c r="HP250" s="293"/>
      <c r="HQ250" s="293"/>
      <c r="HR250" s="293"/>
      <c r="HS250" s="293"/>
      <c r="HT250" s="293"/>
      <c r="HU250" s="293"/>
      <c r="HV250" s="293"/>
      <c r="HW250" s="293"/>
      <c r="HX250" s="293"/>
      <c r="HY250" s="293"/>
      <c r="HZ250" s="293"/>
      <c r="IA250" s="293"/>
      <c r="IB250" s="293"/>
      <c r="IC250" s="293"/>
      <c r="ID250" s="293"/>
      <c r="IE250" s="293"/>
      <c r="IF250" s="293"/>
      <c r="IG250" s="293"/>
      <c r="IH250" s="293"/>
      <c r="II250" s="292"/>
      <c r="IJ250" s="293"/>
      <c r="IK250" s="293"/>
      <c r="IL250" s="293"/>
      <c r="IM250" s="293"/>
      <c r="IN250" s="293"/>
      <c r="IO250" s="293"/>
      <c r="IP250" s="293"/>
      <c r="IQ250" s="293"/>
      <c r="IR250" s="293"/>
      <c r="IS250" s="293"/>
      <c r="IT250" s="293"/>
      <c r="IU250" s="293"/>
      <c r="IV250" s="293"/>
    </row>
    <row r="251" spans="1:256" s="291" customFormat="1" ht="18" customHeight="1">
      <c r="A251" s="648"/>
      <c r="B251" s="648"/>
      <c r="C251" s="648"/>
      <c r="D251" s="648"/>
      <c r="E251" s="648"/>
      <c r="F251" s="648"/>
      <c r="G251" s="648"/>
      <c r="H251" s="648"/>
      <c r="I251" s="648"/>
      <c r="J251" s="648"/>
      <c r="K251" s="648"/>
      <c r="L251" s="648"/>
      <c r="M251" s="648"/>
      <c r="N251" s="648"/>
      <c r="O251" s="295"/>
      <c r="P251" s="296"/>
      <c r="Q251" s="296"/>
      <c r="R251" s="296"/>
      <c r="S251" s="296"/>
      <c r="T251" s="296"/>
      <c r="U251" s="296"/>
      <c r="V251" s="296"/>
      <c r="W251" s="319"/>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19"/>
      <c r="AT251" s="320"/>
      <c r="AU251" s="320"/>
      <c r="AV251" s="320"/>
      <c r="AW251" s="320"/>
      <c r="AX251" s="320"/>
      <c r="AY251" s="320"/>
      <c r="AZ251" s="315"/>
      <c r="BA251" s="293"/>
      <c r="BB251" s="293"/>
      <c r="BC251" s="293"/>
      <c r="BD251" s="293"/>
      <c r="BE251" s="293"/>
      <c r="BF251" s="293"/>
      <c r="BG251" s="293"/>
      <c r="BH251" s="293"/>
      <c r="BI251" s="293"/>
      <c r="BJ251" s="293"/>
      <c r="BK251" s="293"/>
      <c r="BL251" s="293"/>
      <c r="BM251" s="293"/>
      <c r="BN251" s="293"/>
      <c r="BO251" s="292"/>
      <c r="BP251" s="293"/>
      <c r="BQ251" s="293"/>
      <c r="BR251" s="293"/>
      <c r="BS251" s="293"/>
      <c r="BT251" s="293"/>
      <c r="BU251" s="293"/>
      <c r="BV251" s="293"/>
      <c r="BW251" s="293"/>
      <c r="BX251" s="293"/>
      <c r="BY251" s="293"/>
      <c r="BZ251" s="293"/>
      <c r="CA251" s="293"/>
      <c r="CB251" s="293"/>
      <c r="CC251" s="293"/>
      <c r="CD251" s="293"/>
      <c r="CE251" s="293"/>
      <c r="CF251" s="293"/>
      <c r="CG251" s="293"/>
      <c r="CH251" s="293"/>
      <c r="CI251" s="293"/>
      <c r="CJ251" s="293"/>
      <c r="CK251" s="292"/>
      <c r="CL251" s="293"/>
      <c r="CM251" s="293"/>
      <c r="CN251" s="293"/>
      <c r="CO251" s="293"/>
      <c r="CP251" s="293"/>
      <c r="CQ251" s="293"/>
      <c r="CR251" s="293"/>
      <c r="CS251" s="293"/>
      <c r="CT251" s="293"/>
      <c r="CU251" s="293"/>
      <c r="CV251" s="293"/>
      <c r="CW251" s="293"/>
      <c r="CX251" s="293"/>
      <c r="CY251" s="293"/>
      <c r="CZ251" s="293"/>
      <c r="DA251" s="293"/>
      <c r="DB251" s="293"/>
      <c r="DC251" s="293"/>
      <c r="DD251" s="293"/>
      <c r="DE251" s="293"/>
      <c r="DF251" s="293"/>
      <c r="DG251" s="292"/>
      <c r="DH251" s="293"/>
      <c r="DI251" s="293"/>
      <c r="DJ251" s="293"/>
      <c r="DK251" s="293"/>
      <c r="DL251" s="293"/>
      <c r="DM251" s="293"/>
      <c r="DN251" s="293"/>
      <c r="DO251" s="293"/>
      <c r="DP251" s="293"/>
      <c r="DQ251" s="293"/>
      <c r="DR251" s="293"/>
      <c r="DS251" s="293"/>
      <c r="DT251" s="293"/>
      <c r="DU251" s="293"/>
      <c r="DV251" s="293"/>
      <c r="DW251" s="293"/>
      <c r="DX251" s="293"/>
      <c r="DY251" s="293"/>
      <c r="DZ251" s="293"/>
      <c r="EA251" s="293"/>
      <c r="EB251" s="293"/>
      <c r="EC251" s="292"/>
      <c r="ED251" s="293"/>
      <c r="EE251" s="293"/>
      <c r="EF251" s="293"/>
      <c r="EG251" s="293"/>
      <c r="EH251" s="293"/>
      <c r="EI251" s="293"/>
      <c r="EJ251" s="293"/>
      <c r="EK251" s="293"/>
      <c r="EL251" s="293"/>
      <c r="EM251" s="293"/>
      <c r="EN251" s="293"/>
      <c r="EO251" s="293"/>
      <c r="EP251" s="293"/>
      <c r="EQ251" s="293"/>
      <c r="ER251" s="293"/>
      <c r="ES251" s="293"/>
      <c r="ET251" s="293"/>
      <c r="EU251" s="293"/>
      <c r="EV251" s="293"/>
      <c r="EW251" s="293"/>
      <c r="EX251" s="293"/>
      <c r="EY251" s="292"/>
      <c r="EZ251" s="293"/>
      <c r="FA251" s="293"/>
      <c r="FB251" s="293"/>
      <c r="FC251" s="293"/>
      <c r="FD251" s="293"/>
      <c r="FE251" s="293"/>
      <c r="FF251" s="293"/>
      <c r="FG251" s="293"/>
      <c r="FH251" s="293"/>
      <c r="FI251" s="293"/>
      <c r="FJ251" s="293"/>
      <c r="FK251" s="293"/>
      <c r="FL251" s="293"/>
      <c r="FM251" s="293"/>
      <c r="FN251" s="293"/>
      <c r="FO251" s="293"/>
      <c r="FP251" s="293"/>
      <c r="FQ251" s="293"/>
      <c r="FR251" s="293"/>
      <c r="FS251" s="293"/>
      <c r="FT251" s="293"/>
      <c r="FU251" s="292"/>
      <c r="FV251" s="293"/>
      <c r="FW251" s="293"/>
      <c r="FX251" s="293"/>
      <c r="FY251" s="293"/>
      <c r="FZ251" s="293"/>
      <c r="GA251" s="293"/>
      <c r="GB251" s="293"/>
      <c r="GC251" s="293"/>
      <c r="GD251" s="293"/>
      <c r="GE251" s="293"/>
      <c r="GF251" s="293"/>
      <c r="GG251" s="293"/>
      <c r="GH251" s="293"/>
      <c r="GI251" s="293"/>
      <c r="GJ251" s="293"/>
      <c r="GK251" s="293"/>
      <c r="GL251" s="293"/>
      <c r="GM251" s="293"/>
      <c r="GN251" s="293"/>
      <c r="GO251" s="293"/>
      <c r="GP251" s="293"/>
      <c r="GQ251" s="292"/>
      <c r="GR251" s="293"/>
      <c r="GS251" s="293"/>
      <c r="GT251" s="293"/>
      <c r="GU251" s="293"/>
      <c r="GV251" s="293"/>
      <c r="GW251" s="293"/>
      <c r="GX251" s="293"/>
      <c r="GY251" s="293"/>
      <c r="GZ251" s="293"/>
      <c r="HA251" s="293"/>
      <c r="HB251" s="293"/>
      <c r="HC251" s="293"/>
      <c r="HD251" s="293"/>
      <c r="HE251" s="293"/>
      <c r="HF251" s="293"/>
      <c r="HG251" s="293"/>
      <c r="HH251" s="293"/>
      <c r="HI251" s="293"/>
      <c r="HJ251" s="293"/>
      <c r="HK251" s="293"/>
      <c r="HL251" s="293"/>
      <c r="HM251" s="292"/>
      <c r="HN251" s="293"/>
      <c r="HO251" s="293"/>
      <c r="HP251" s="293"/>
      <c r="HQ251" s="293"/>
      <c r="HR251" s="293"/>
      <c r="HS251" s="293"/>
      <c r="HT251" s="293"/>
      <c r="HU251" s="293"/>
      <c r="HV251" s="293"/>
      <c r="HW251" s="293"/>
      <c r="HX251" s="293"/>
      <c r="HY251" s="293"/>
      <c r="HZ251" s="293"/>
      <c r="IA251" s="293"/>
      <c r="IB251" s="293"/>
      <c r="IC251" s="293"/>
      <c r="ID251" s="293"/>
      <c r="IE251" s="293"/>
      <c r="IF251" s="293"/>
      <c r="IG251" s="293"/>
      <c r="IH251" s="293"/>
      <c r="II251" s="292"/>
      <c r="IJ251" s="293"/>
      <c r="IK251" s="293"/>
      <c r="IL251" s="293"/>
      <c r="IM251" s="293"/>
      <c r="IN251" s="293"/>
      <c r="IO251" s="293"/>
      <c r="IP251" s="293"/>
      <c r="IQ251" s="293"/>
      <c r="IR251" s="293"/>
      <c r="IS251" s="293"/>
      <c r="IT251" s="293"/>
      <c r="IU251" s="293"/>
      <c r="IV251" s="293"/>
    </row>
    <row r="252" spans="1:256" s="291" customFormat="1" ht="15" customHeight="1">
      <c r="A252" s="647" t="s">
        <v>12</v>
      </c>
      <c r="B252" s="649"/>
      <c r="C252" s="649"/>
      <c r="D252" s="649"/>
      <c r="E252" s="649"/>
      <c r="F252" s="649"/>
      <c r="G252" s="649"/>
      <c r="H252" s="649"/>
      <c r="I252" s="649"/>
      <c r="J252" s="649"/>
      <c r="K252" s="649"/>
      <c r="L252" s="649"/>
      <c r="M252" s="649"/>
      <c r="N252" s="649"/>
      <c r="O252" s="323"/>
      <c r="P252" s="297"/>
      <c r="Q252" s="297"/>
      <c r="R252" s="297"/>
      <c r="S252" s="297"/>
      <c r="T252" s="297"/>
      <c r="U252" s="297"/>
      <c r="V252" s="297"/>
      <c r="W252" s="319"/>
      <c r="X252" s="320"/>
      <c r="Y252" s="320"/>
      <c r="Z252" s="320"/>
      <c r="AA252" s="320"/>
      <c r="AB252" s="320"/>
      <c r="AC252" s="320"/>
      <c r="AD252" s="320"/>
      <c r="AE252" s="320"/>
      <c r="AF252" s="320"/>
      <c r="AG252" s="320"/>
      <c r="AH252" s="320"/>
      <c r="AI252" s="320"/>
      <c r="AJ252" s="320"/>
      <c r="AK252" s="320"/>
      <c r="AL252" s="320"/>
      <c r="AM252" s="320"/>
      <c r="AN252" s="320"/>
      <c r="AO252" s="320"/>
      <c r="AP252" s="320"/>
      <c r="AQ252" s="320"/>
      <c r="AR252" s="320"/>
      <c r="AS252" s="319"/>
      <c r="AT252" s="320"/>
      <c r="AU252" s="320"/>
      <c r="AV252" s="320"/>
      <c r="AW252" s="320"/>
      <c r="AX252" s="320"/>
      <c r="AY252" s="320"/>
      <c r="AZ252" s="315"/>
      <c r="BA252" s="293"/>
      <c r="BB252" s="293"/>
      <c r="BC252" s="293"/>
      <c r="BD252" s="293"/>
      <c r="BE252" s="293"/>
      <c r="BF252" s="293"/>
      <c r="BG252" s="293"/>
      <c r="BH252" s="293"/>
      <c r="BI252" s="293"/>
      <c r="BJ252" s="293"/>
      <c r="BK252" s="293"/>
      <c r="BL252" s="293"/>
      <c r="BM252" s="293"/>
      <c r="BN252" s="293"/>
      <c r="BO252" s="292"/>
      <c r="BP252" s="293"/>
      <c r="BQ252" s="293"/>
      <c r="BR252" s="293"/>
      <c r="BS252" s="293"/>
      <c r="BT252" s="293"/>
      <c r="BU252" s="293"/>
      <c r="BV252" s="293"/>
      <c r="BW252" s="293"/>
      <c r="BX252" s="293"/>
      <c r="BY252" s="293"/>
      <c r="BZ252" s="293"/>
      <c r="CA252" s="293"/>
      <c r="CB252" s="293"/>
      <c r="CC252" s="293"/>
      <c r="CD252" s="293"/>
      <c r="CE252" s="293"/>
      <c r="CF252" s="293"/>
      <c r="CG252" s="293"/>
      <c r="CH252" s="293"/>
      <c r="CI252" s="293"/>
      <c r="CJ252" s="293"/>
      <c r="CK252" s="292"/>
      <c r="CL252" s="293"/>
      <c r="CM252" s="293"/>
      <c r="CN252" s="293"/>
      <c r="CO252" s="293"/>
      <c r="CP252" s="293"/>
      <c r="CQ252" s="293"/>
      <c r="CR252" s="293"/>
      <c r="CS252" s="293"/>
      <c r="CT252" s="293"/>
      <c r="CU252" s="293"/>
      <c r="CV252" s="293"/>
      <c r="CW252" s="293"/>
      <c r="CX252" s="293"/>
      <c r="CY252" s="293"/>
      <c r="CZ252" s="293"/>
      <c r="DA252" s="293"/>
      <c r="DB252" s="293"/>
      <c r="DC252" s="293"/>
      <c r="DD252" s="293"/>
      <c r="DE252" s="293"/>
      <c r="DF252" s="293"/>
      <c r="DG252" s="292"/>
      <c r="DH252" s="293"/>
      <c r="DI252" s="293"/>
      <c r="DJ252" s="293"/>
      <c r="DK252" s="293"/>
      <c r="DL252" s="293"/>
      <c r="DM252" s="293"/>
      <c r="DN252" s="293"/>
      <c r="DO252" s="293"/>
      <c r="DP252" s="293"/>
      <c r="DQ252" s="293"/>
      <c r="DR252" s="293"/>
      <c r="DS252" s="293"/>
      <c r="DT252" s="293"/>
      <c r="DU252" s="293"/>
      <c r="DV252" s="293"/>
      <c r="DW252" s="293"/>
      <c r="DX252" s="293"/>
      <c r="DY252" s="293"/>
      <c r="DZ252" s="293"/>
      <c r="EA252" s="293"/>
      <c r="EB252" s="293"/>
      <c r="EC252" s="292"/>
      <c r="ED252" s="293"/>
      <c r="EE252" s="293"/>
      <c r="EF252" s="293"/>
      <c r="EG252" s="293"/>
      <c r="EH252" s="293"/>
      <c r="EI252" s="293"/>
      <c r="EJ252" s="293"/>
      <c r="EK252" s="293"/>
      <c r="EL252" s="293"/>
      <c r="EM252" s="293"/>
      <c r="EN252" s="293"/>
      <c r="EO252" s="293"/>
      <c r="EP252" s="293"/>
      <c r="EQ252" s="293"/>
      <c r="ER252" s="293"/>
      <c r="ES252" s="293"/>
      <c r="ET252" s="293"/>
      <c r="EU252" s="293"/>
      <c r="EV252" s="293"/>
      <c r="EW252" s="293"/>
      <c r="EX252" s="293"/>
      <c r="EY252" s="292"/>
      <c r="EZ252" s="293"/>
      <c r="FA252" s="293"/>
      <c r="FB252" s="293"/>
      <c r="FC252" s="293"/>
      <c r="FD252" s="293"/>
      <c r="FE252" s="293"/>
      <c r="FF252" s="293"/>
      <c r="FG252" s="293"/>
      <c r="FH252" s="293"/>
      <c r="FI252" s="293"/>
      <c r="FJ252" s="293"/>
      <c r="FK252" s="293"/>
      <c r="FL252" s="293"/>
      <c r="FM252" s="293"/>
      <c r="FN252" s="293"/>
      <c r="FO252" s="293"/>
      <c r="FP252" s="293"/>
      <c r="FQ252" s="293"/>
      <c r="FR252" s="293"/>
      <c r="FS252" s="293"/>
      <c r="FT252" s="293"/>
      <c r="FU252" s="292"/>
      <c r="FV252" s="293"/>
      <c r="FW252" s="293"/>
      <c r="FX252" s="293"/>
      <c r="FY252" s="293"/>
      <c r="FZ252" s="293"/>
      <c r="GA252" s="293"/>
      <c r="GB252" s="293"/>
      <c r="GC252" s="293"/>
      <c r="GD252" s="293"/>
      <c r="GE252" s="293"/>
      <c r="GF252" s="293"/>
      <c r="GG252" s="293"/>
      <c r="GH252" s="293"/>
      <c r="GI252" s="293"/>
      <c r="GJ252" s="293"/>
      <c r="GK252" s="293"/>
      <c r="GL252" s="293"/>
      <c r="GM252" s="293"/>
      <c r="GN252" s="293"/>
      <c r="GO252" s="293"/>
      <c r="GP252" s="293"/>
      <c r="GQ252" s="292"/>
      <c r="GR252" s="293"/>
      <c r="GS252" s="293"/>
      <c r="GT252" s="293"/>
      <c r="GU252" s="293"/>
      <c r="GV252" s="293"/>
      <c r="GW252" s="293"/>
      <c r="GX252" s="293"/>
      <c r="GY252" s="293"/>
      <c r="GZ252" s="293"/>
      <c r="HA252" s="293"/>
      <c r="HB252" s="293"/>
      <c r="HC252" s="293"/>
      <c r="HD252" s="293"/>
      <c r="HE252" s="293"/>
      <c r="HF252" s="293"/>
      <c r="HG252" s="293"/>
      <c r="HH252" s="293"/>
      <c r="HI252" s="293"/>
      <c r="HJ252" s="293"/>
      <c r="HK252" s="293"/>
      <c r="HL252" s="293"/>
      <c r="HM252" s="292"/>
      <c r="HN252" s="293"/>
      <c r="HO252" s="293"/>
      <c r="HP252" s="293"/>
      <c r="HQ252" s="293"/>
      <c r="HR252" s="293"/>
      <c r="HS252" s="293"/>
      <c r="HT252" s="293"/>
      <c r="HU252" s="293"/>
      <c r="HV252" s="293"/>
      <c r="HW252" s="293"/>
      <c r="HX252" s="293"/>
      <c r="HY252" s="293"/>
      <c r="HZ252" s="293"/>
      <c r="IA252" s="293"/>
      <c r="IB252" s="293"/>
      <c r="IC252" s="293"/>
      <c r="ID252" s="293"/>
      <c r="IE252" s="293"/>
      <c r="IF252" s="293"/>
      <c r="IG252" s="293"/>
      <c r="IH252" s="293"/>
      <c r="II252" s="292"/>
      <c r="IJ252" s="293"/>
      <c r="IK252" s="293"/>
      <c r="IL252" s="293"/>
      <c r="IM252" s="293"/>
      <c r="IN252" s="293"/>
      <c r="IO252" s="293"/>
      <c r="IP252" s="293"/>
      <c r="IQ252" s="293"/>
      <c r="IR252" s="293"/>
      <c r="IS252" s="293"/>
      <c r="IT252" s="293"/>
      <c r="IU252" s="293"/>
      <c r="IV252" s="293"/>
    </row>
    <row r="253" spans="1:256" s="291" customFormat="1" ht="15" customHeight="1">
      <c r="A253" s="649"/>
      <c r="B253" s="649"/>
      <c r="C253" s="649"/>
      <c r="D253" s="649"/>
      <c r="E253" s="649"/>
      <c r="F253" s="649"/>
      <c r="G253" s="649"/>
      <c r="H253" s="649"/>
      <c r="I253" s="649"/>
      <c r="J253" s="649"/>
      <c r="K253" s="649"/>
      <c r="L253" s="649"/>
      <c r="M253" s="649"/>
      <c r="N253" s="649"/>
      <c r="O253" s="323"/>
      <c r="P253" s="297"/>
      <c r="Q253" s="297"/>
      <c r="R253" s="297"/>
      <c r="S253" s="297"/>
      <c r="T253" s="297"/>
      <c r="U253" s="297"/>
      <c r="V253" s="297"/>
      <c r="W253" s="319"/>
      <c r="X253" s="320"/>
      <c r="Y253" s="320"/>
      <c r="Z253" s="320"/>
      <c r="AA253" s="320"/>
      <c r="AB253" s="320"/>
      <c r="AC253" s="320"/>
      <c r="AD253" s="320"/>
      <c r="AE253" s="320"/>
      <c r="AF253" s="320"/>
      <c r="AG253" s="320"/>
      <c r="AH253" s="320"/>
      <c r="AI253" s="320"/>
      <c r="AJ253" s="320"/>
      <c r="AK253" s="320"/>
      <c r="AL253" s="320"/>
      <c r="AM253" s="320"/>
      <c r="AN253" s="320"/>
      <c r="AO253" s="320"/>
      <c r="AP253" s="320"/>
      <c r="AQ253" s="320"/>
      <c r="AR253" s="320"/>
      <c r="AS253" s="319"/>
      <c r="AT253" s="320"/>
      <c r="AU253" s="320"/>
      <c r="AV253" s="320"/>
      <c r="AW253" s="320"/>
      <c r="AX253" s="320"/>
      <c r="AY253" s="320"/>
      <c r="AZ253" s="315"/>
      <c r="BA253" s="293"/>
      <c r="BB253" s="293"/>
      <c r="BC253" s="293"/>
      <c r="BD253" s="293"/>
      <c r="BE253" s="293"/>
      <c r="BF253" s="293"/>
      <c r="BG253" s="293"/>
      <c r="BH253" s="293"/>
      <c r="BI253" s="293"/>
      <c r="BJ253" s="293"/>
      <c r="BK253" s="293"/>
      <c r="BL253" s="293"/>
      <c r="BM253" s="293"/>
      <c r="BN253" s="293"/>
      <c r="BO253" s="292"/>
      <c r="BP253" s="293"/>
      <c r="BQ253" s="293"/>
      <c r="BR253" s="293"/>
      <c r="BS253" s="293"/>
      <c r="BT253" s="293"/>
      <c r="BU253" s="293"/>
      <c r="BV253" s="293"/>
      <c r="BW253" s="293"/>
      <c r="BX253" s="293"/>
      <c r="BY253" s="293"/>
      <c r="BZ253" s="293"/>
      <c r="CA253" s="293"/>
      <c r="CB253" s="293"/>
      <c r="CC253" s="293"/>
      <c r="CD253" s="293"/>
      <c r="CE253" s="293"/>
      <c r="CF253" s="293"/>
      <c r="CG253" s="293"/>
      <c r="CH253" s="293"/>
      <c r="CI253" s="293"/>
      <c r="CJ253" s="293"/>
      <c r="CK253" s="292"/>
      <c r="CL253" s="293"/>
      <c r="CM253" s="293"/>
      <c r="CN253" s="293"/>
      <c r="CO253" s="293"/>
      <c r="CP253" s="293"/>
      <c r="CQ253" s="293"/>
      <c r="CR253" s="293"/>
      <c r="CS253" s="293"/>
      <c r="CT253" s="293"/>
      <c r="CU253" s="293"/>
      <c r="CV253" s="293"/>
      <c r="CW253" s="293"/>
      <c r="CX253" s="293"/>
      <c r="CY253" s="293"/>
      <c r="CZ253" s="293"/>
      <c r="DA253" s="293"/>
      <c r="DB253" s="293"/>
      <c r="DC253" s="293"/>
      <c r="DD253" s="293"/>
      <c r="DE253" s="293"/>
      <c r="DF253" s="293"/>
      <c r="DG253" s="292"/>
      <c r="DH253" s="293"/>
      <c r="DI253" s="293"/>
      <c r="DJ253" s="293"/>
      <c r="DK253" s="293"/>
      <c r="DL253" s="293"/>
      <c r="DM253" s="293"/>
      <c r="DN253" s="293"/>
      <c r="DO253" s="293"/>
      <c r="DP253" s="293"/>
      <c r="DQ253" s="293"/>
      <c r="DR253" s="293"/>
      <c r="DS253" s="293"/>
      <c r="DT253" s="293"/>
      <c r="DU253" s="293"/>
      <c r="DV253" s="293"/>
      <c r="DW253" s="293"/>
      <c r="DX253" s="293"/>
      <c r="DY253" s="293"/>
      <c r="DZ253" s="293"/>
      <c r="EA253" s="293"/>
      <c r="EB253" s="293"/>
      <c r="EC253" s="292"/>
      <c r="ED253" s="293"/>
      <c r="EE253" s="293"/>
      <c r="EF253" s="293"/>
      <c r="EG253" s="293"/>
      <c r="EH253" s="293"/>
      <c r="EI253" s="293"/>
      <c r="EJ253" s="293"/>
      <c r="EK253" s="293"/>
      <c r="EL253" s="293"/>
      <c r="EM253" s="293"/>
      <c r="EN253" s="293"/>
      <c r="EO253" s="293"/>
      <c r="EP253" s="293"/>
      <c r="EQ253" s="293"/>
      <c r="ER253" s="293"/>
      <c r="ES253" s="293"/>
      <c r="ET253" s="293"/>
      <c r="EU253" s="293"/>
      <c r="EV253" s="293"/>
      <c r="EW253" s="293"/>
      <c r="EX253" s="293"/>
      <c r="EY253" s="292"/>
      <c r="EZ253" s="293"/>
      <c r="FA253" s="293"/>
      <c r="FB253" s="293"/>
      <c r="FC253" s="293"/>
      <c r="FD253" s="293"/>
      <c r="FE253" s="293"/>
      <c r="FF253" s="293"/>
      <c r="FG253" s="293"/>
      <c r="FH253" s="293"/>
      <c r="FI253" s="293"/>
      <c r="FJ253" s="293"/>
      <c r="FK253" s="293"/>
      <c r="FL253" s="293"/>
      <c r="FM253" s="293"/>
      <c r="FN253" s="293"/>
      <c r="FO253" s="293"/>
      <c r="FP253" s="293"/>
      <c r="FQ253" s="293"/>
      <c r="FR253" s="293"/>
      <c r="FS253" s="293"/>
      <c r="FT253" s="293"/>
      <c r="FU253" s="292"/>
      <c r="FV253" s="293"/>
      <c r="FW253" s="293"/>
      <c r="FX253" s="293"/>
      <c r="FY253" s="293"/>
      <c r="FZ253" s="293"/>
      <c r="GA253" s="293"/>
      <c r="GB253" s="293"/>
      <c r="GC253" s="293"/>
      <c r="GD253" s="293"/>
      <c r="GE253" s="293"/>
      <c r="GF253" s="293"/>
      <c r="GG253" s="293"/>
      <c r="GH253" s="293"/>
      <c r="GI253" s="293"/>
      <c r="GJ253" s="293"/>
      <c r="GK253" s="293"/>
      <c r="GL253" s="293"/>
      <c r="GM253" s="293"/>
      <c r="GN253" s="293"/>
      <c r="GO253" s="293"/>
      <c r="GP253" s="293"/>
      <c r="GQ253" s="292"/>
      <c r="GR253" s="293"/>
      <c r="GS253" s="293"/>
      <c r="GT253" s="293"/>
      <c r="GU253" s="293"/>
      <c r="GV253" s="293"/>
      <c r="GW253" s="293"/>
      <c r="GX253" s="293"/>
      <c r="GY253" s="293"/>
      <c r="GZ253" s="293"/>
      <c r="HA253" s="293"/>
      <c r="HB253" s="293"/>
      <c r="HC253" s="293"/>
      <c r="HD253" s="293"/>
      <c r="HE253" s="293"/>
      <c r="HF253" s="293"/>
      <c r="HG253" s="293"/>
      <c r="HH253" s="293"/>
      <c r="HI253" s="293"/>
      <c r="HJ253" s="293"/>
      <c r="HK253" s="293"/>
      <c r="HL253" s="293"/>
      <c r="HM253" s="292"/>
      <c r="HN253" s="293"/>
      <c r="HO253" s="293"/>
      <c r="HP253" s="293"/>
      <c r="HQ253" s="293"/>
      <c r="HR253" s="293"/>
      <c r="HS253" s="293"/>
      <c r="HT253" s="293"/>
      <c r="HU253" s="293"/>
      <c r="HV253" s="293"/>
      <c r="HW253" s="293"/>
      <c r="HX253" s="293"/>
      <c r="HY253" s="293"/>
      <c r="HZ253" s="293"/>
      <c r="IA253" s="293"/>
      <c r="IB253" s="293"/>
      <c r="IC253" s="293"/>
      <c r="ID253" s="293"/>
      <c r="IE253" s="293"/>
      <c r="IF253" s="293"/>
      <c r="IG253" s="293"/>
      <c r="IH253" s="293"/>
      <c r="II253" s="292"/>
      <c r="IJ253" s="293"/>
      <c r="IK253" s="293"/>
      <c r="IL253" s="293"/>
      <c r="IM253" s="293"/>
      <c r="IN253" s="293"/>
      <c r="IO253" s="293"/>
      <c r="IP253" s="293"/>
      <c r="IQ253" s="293"/>
      <c r="IR253" s="293"/>
      <c r="IS253" s="293"/>
      <c r="IT253" s="293"/>
      <c r="IU253" s="293"/>
      <c r="IV253" s="293"/>
    </row>
    <row r="254" spans="1:256" s="291" customFormat="1" ht="15" customHeight="1">
      <c r="A254" s="649"/>
      <c r="B254" s="649"/>
      <c r="C254" s="649"/>
      <c r="D254" s="649"/>
      <c r="E254" s="649"/>
      <c r="F254" s="649"/>
      <c r="G254" s="649"/>
      <c r="H254" s="649"/>
      <c r="I254" s="649"/>
      <c r="J254" s="649"/>
      <c r="K254" s="649"/>
      <c r="L254" s="649"/>
      <c r="M254" s="649"/>
      <c r="N254" s="649"/>
      <c r="O254" s="323"/>
      <c r="P254" s="297"/>
      <c r="Q254" s="297"/>
      <c r="R254" s="297"/>
      <c r="S254" s="297"/>
      <c r="T254" s="297"/>
      <c r="U254" s="297"/>
      <c r="V254" s="297"/>
      <c r="W254" s="319"/>
      <c r="X254" s="320"/>
      <c r="Y254" s="320"/>
      <c r="Z254" s="320"/>
      <c r="AA254" s="320"/>
      <c r="AB254" s="320"/>
      <c r="AC254" s="320"/>
      <c r="AD254" s="320"/>
      <c r="AE254" s="320"/>
      <c r="AF254" s="320"/>
      <c r="AG254" s="320"/>
      <c r="AH254" s="320"/>
      <c r="AI254" s="320"/>
      <c r="AJ254" s="320"/>
      <c r="AK254" s="320"/>
      <c r="AL254" s="320"/>
      <c r="AM254" s="320"/>
      <c r="AN254" s="320"/>
      <c r="AO254" s="320"/>
      <c r="AP254" s="320"/>
      <c r="AQ254" s="320"/>
      <c r="AR254" s="320"/>
      <c r="AS254" s="319"/>
      <c r="AT254" s="320"/>
      <c r="AU254" s="320"/>
      <c r="AV254" s="320"/>
      <c r="AW254" s="320"/>
      <c r="AX254" s="320"/>
      <c r="AY254" s="320"/>
      <c r="AZ254" s="315"/>
      <c r="BA254" s="293"/>
      <c r="BB254" s="293"/>
      <c r="BC254" s="293"/>
      <c r="BD254" s="293"/>
      <c r="BE254" s="293"/>
      <c r="BF254" s="293"/>
      <c r="BG254" s="293"/>
      <c r="BH254" s="293"/>
      <c r="BI254" s="293"/>
      <c r="BJ254" s="293"/>
      <c r="BK254" s="293"/>
      <c r="BL254" s="293"/>
      <c r="BM254" s="293"/>
      <c r="BN254" s="293"/>
      <c r="BO254" s="292"/>
      <c r="BP254" s="293"/>
      <c r="BQ254" s="293"/>
      <c r="BR254" s="293"/>
      <c r="BS254" s="293"/>
      <c r="BT254" s="293"/>
      <c r="BU254" s="293"/>
      <c r="BV254" s="293"/>
      <c r="BW254" s="293"/>
      <c r="BX254" s="293"/>
      <c r="BY254" s="293"/>
      <c r="BZ254" s="293"/>
      <c r="CA254" s="293"/>
      <c r="CB254" s="293"/>
      <c r="CC254" s="293"/>
      <c r="CD254" s="293"/>
      <c r="CE254" s="293"/>
      <c r="CF254" s="293"/>
      <c r="CG254" s="293"/>
      <c r="CH254" s="293"/>
      <c r="CI254" s="293"/>
      <c r="CJ254" s="293"/>
      <c r="CK254" s="292"/>
      <c r="CL254" s="293"/>
      <c r="CM254" s="293"/>
      <c r="CN254" s="293"/>
      <c r="CO254" s="293"/>
      <c r="CP254" s="293"/>
      <c r="CQ254" s="293"/>
      <c r="CR254" s="293"/>
      <c r="CS254" s="293"/>
      <c r="CT254" s="293"/>
      <c r="CU254" s="293"/>
      <c r="CV254" s="293"/>
      <c r="CW254" s="293"/>
      <c r="CX254" s="293"/>
      <c r="CY254" s="293"/>
      <c r="CZ254" s="293"/>
      <c r="DA254" s="293"/>
      <c r="DB254" s="293"/>
      <c r="DC254" s="293"/>
      <c r="DD254" s="293"/>
      <c r="DE254" s="293"/>
      <c r="DF254" s="293"/>
      <c r="DG254" s="292"/>
      <c r="DH254" s="293"/>
      <c r="DI254" s="293"/>
      <c r="DJ254" s="293"/>
      <c r="DK254" s="293"/>
      <c r="DL254" s="293"/>
      <c r="DM254" s="293"/>
      <c r="DN254" s="293"/>
      <c r="DO254" s="293"/>
      <c r="DP254" s="293"/>
      <c r="DQ254" s="293"/>
      <c r="DR254" s="293"/>
      <c r="DS254" s="293"/>
      <c r="DT254" s="293"/>
      <c r="DU254" s="293"/>
      <c r="DV254" s="293"/>
      <c r="DW254" s="293"/>
      <c r="DX254" s="293"/>
      <c r="DY254" s="293"/>
      <c r="DZ254" s="293"/>
      <c r="EA254" s="293"/>
      <c r="EB254" s="293"/>
      <c r="EC254" s="292"/>
      <c r="ED254" s="293"/>
      <c r="EE254" s="293"/>
      <c r="EF254" s="293"/>
      <c r="EG254" s="293"/>
      <c r="EH254" s="293"/>
      <c r="EI254" s="293"/>
      <c r="EJ254" s="293"/>
      <c r="EK254" s="293"/>
      <c r="EL254" s="293"/>
      <c r="EM254" s="293"/>
      <c r="EN254" s="293"/>
      <c r="EO254" s="293"/>
      <c r="EP254" s="293"/>
      <c r="EQ254" s="293"/>
      <c r="ER254" s="293"/>
      <c r="ES254" s="293"/>
      <c r="ET254" s="293"/>
      <c r="EU254" s="293"/>
      <c r="EV254" s="293"/>
      <c r="EW254" s="293"/>
      <c r="EX254" s="293"/>
      <c r="EY254" s="292"/>
      <c r="EZ254" s="293"/>
      <c r="FA254" s="293"/>
      <c r="FB254" s="293"/>
      <c r="FC254" s="293"/>
      <c r="FD254" s="293"/>
      <c r="FE254" s="293"/>
      <c r="FF254" s="293"/>
      <c r="FG254" s="293"/>
      <c r="FH254" s="293"/>
      <c r="FI254" s="293"/>
      <c r="FJ254" s="293"/>
      <c r="FK254" s="293"/>
      <c r="FL254" s="293"/>
      <c r="FM254" s="293"/>
      <c r="FN254" s="293"/>
      <c r="FO254" s="293"/>
      <c r="FP254" s="293"/>
      <c r="FQ254" s="293"/>
      <c r="FR254" s="293"/>
      <c r="FS254" s="293"/>
      <c r="FT254" s="293"/>
      <c r="FU254" s="292"/>
      <c r="FV254" s="293"/>
      <c r="FW254" s="293"/>
      <c r="FX254" s="293"/>
      <c r="FY254" s="293"/>
      <c r="FZ254" s="293"/>
      <c r="GA254" s="293"/>
      <c r="GB254" s="293"/>
      <c r="GC254" s="293"/>
      <c r="GD254" s="293"/>
      <c r="GE254" s="293"/>
      <c r="GF254" s="293"/>
      <c r="GG254" s="293"/>
      <c r="GH254" s="293"/>
      <c r="GI254" s="293"/>
      <c r="GJ254" s="293"/>
      <c r="GK254" s="293"/>
      <c r="GL254" s="293"/>
      <c r="GM254" s="293"/>
      <c r="GN254" s="293"/>
      <c r="GO254" s="293"/>
      <c r="GP254" s="293"/>
      <c r="GQ254" s="292"/>
      <c r="GR254" s="293"/>
      <c r="GS254" s="293"/>
      <c r="GT254" s="293"/>
      <c r="GU254" s="293"/>
      <c r="GV254" s="293"/>
      <c r="GW254" s="293"/>
      <c r="GX254" s="293"/>
      <c r="GY254" s="293"/>
      <c r="GZ254" s="293"/>
      <c r="HA254" s="293"/>
      <c r="HB254" s="293"/>
      <c r="HC254" s="293"/>
      <c r="HD254" s="293"/>
      <c r="HE254" s="293"/>
      <c r="HF254" s="293"/>
      <c r="HG254" s="293"/>
      <c r="HH254" s="293"/>
      <c r="HI254" s="293"/>
      <c r="HJ254" s="293"/>
      <c r="HK254" s="293"/>
      <c r="HL254" s="293"/>
      <c r="HM254" s="292"/>
      <c r="HN254" s="293"/>
      <c r="HO254" s="293"/>
      <c r="HP254" s="293"/>
      <c r="HQ254" s="293"/>
      <c r="HR254" s="293"/>
      <c r="HS254" s="293"/>
      <c r="HT254" s="293"/>
      <c r="HU254" s="293"/>
      <c r="HV254" s="293"/>
      <c r="HW254" s="293"/>
      <c r="HX254" s="293"/>
      <c r="HY254" s="293"/>
      <c r="HZ254" s="293"/>
      <c r="IA254" s="293"/>
      <c r="IB254" s="293"/>
      <c r="IC254" s="293"/>
      <c r="ID254" s="293"/>
      <c r="IE254" s="293"/>
      <c r="IF254" s="293"/>
      <c r="IG254" s="293"/>
      <c r="IH254" s="293"/>
      <c r="II254" s="292"/>
      <c r="IJ254" s="293"/>
      <c r="IK254" s="293"/>
      <c r="IL254" s="293"/>
      <c r="IM254" s="293"/>
      <c r="IN254" s="293"/>
      <c r="IO254" s="293"/>
      <c r="IP254" s="293"/>
      <c r="IQ254" s="293"/>
      <c r="IR254" s="293"/>
      <c r="IS254" s="293"/>
      <c r="IT254" s="293"/>
      <c r="IU254" s="293"/>
      <c r="IV254" s="293"/>
    </row>
    <row r="255" spans="1:52" s="294" customFormat="1" ht="15" customHeight="1">
      <c r="A255" s="649"/>
      <c r="B255" s="649"/>
      <c r="C255" s="649"/>
      <c r="D255" s="649"/>
      <c r="E255" s="649"/>
      <c r="F255" s="649"/>
      <c r="G255" s="649"/>
      <c r="H255" s="649"/>
      <c r="I255" s="649"/>
      <c r="J255" s="649"/>
      <c r="K255" s="649"/>
      <c r="L255" s="649"/>
      <c r="M255" s="649"/>
      <c r="N255" s="649"/>
      <c r="O255" s="323"/>
      <c r="P255" s="297"/>
      <c r="Q255" s="297"/>
      <c r="R255" s="297"/>
      <c r="S255" s="297"/>
      <c r="T255" s="297"/>
      <c r="U255" s="297"/>
      <c r="V255" s="297"/>
      <c r="W255" s="321"/>
      <c r="X255" s="322"/>
      <c r="Y255" s="322"/>
      <c r="Z255" s="322"/>
      <c r="AA255" s="322"/>
      <c r="AB255" s="322"/>
      <c r="AC255" s="322"/>
      <c r="AD255" s="322"/>
      <c r="AE255" s="322"/>
      <c r="AF255" s="322"/>
      <c r="AG255" s="322"/>
      <c r="AH255" s="322"/>
      <c r="AI255" s="322"/>
      <c r="AJ255" s="322"/>
      <c r="AK255" s="322"/>
      <c r="AL255" s="322"/>
      <c r="AM255" s="322"/>
      <c r="AN255" s="322"/>
      <c r="AO255" s="322"/>
      <c r="AP255" s="322"/>
      <c r="AQ255" s="322"/>
      <c r="AR255" s="322"/>
      <c r="AS255" s="322"/>
      <c r="AT255" s="322"/>
      <c r="AU255" s="322"/>
      <c r="AV255" s="322"/>
      <c r="AW255" s="322"/>
      <c r="AX255" s="322"/>
      <c r="AY255" s="322"/>
      <c r="AZ255" s="316"/>
    </row>
    <row r="256" spans="1:15" s="3" customFormat="1" ht="18">
      <c r="A256" s="93"/>
      <c r="B256" s="44"/>
      <c r="C256" s="45"/>
      <c r="D256" s="46"/>
      <c r="E256" s="24"/>
      <c r="F256" s="24"/>
      <c r="G256" s="24"/>
      <c r="H256" s="47"/>
      <c r="I256" s="48"/>
      <c r="J256" s="475"/>
      <c r="K256" s="624"/>
      <c r="L256" s="51"/>
      <c r="M256" s="52"/>
      <c r="N256" s="50"/>
      <c r="O256" s="324"/>
    </row>
    <row r="257" spans="1:15" s="3" customFormat="1" ht="18">
      <c r="A257" s="93"/>
      <c r="B257" s="44"/>
      <c r="C257" s="45"/>
      <c r="D257" s="46"/>
      <c r="E257" s="24"/>
      <c r="F257" s="24"/>
      <c r="G257" s="24"/>
      <c r="H257" s="47"/>
      <c r="I257" s="48"/>
      <c r="J257" s="475"/>
      <c r="K257" s="624"/>
      <c r="L257" s="51"/>
      <c r="M257" s="52"/>
      <c r="N257" s="50"/>
      <c r="O257" s="324"/>
    </row>
  </sheetData>
  <sheetProtection/>
  <mergeCells count="11">
    <mergeCell ref="I3:I4"/>
    <mergeCell ref="E3:E4"/>
    <mergeCell ref="A2:I2"/>
    <mergeCell ref="A248:N248"/>
    <mergeCell ref="A249:N251"/>
    <mergeCell ref="A252:N255"/>
    <mergeCell ref="B3:B4"/>
    <mergeCell ref="C3:C4"/>
    <mergeCell ref="D3:D4"/>
    <mergeCell ref="F3:F4"/>
    <mergeCell ref="G3:H3"/>
  </mergeCells>
  <printOptions/>
  <pageMargins left="0.87" right="0.58" top="0.63" bottom="0.76" header="0.11811023622047245" footer="0.5"/>
  <pageSetup orientation="portrait" paperSize="9" scale="80"/>
  <ignoredErrors>
    <ignoredError sqref="I12:I13 G14:H22 I14:I22 G12:H13 G6:H11 G34:H50 G55:H66 I55:I59 G75:H97 I76 G98:H120 I94:I95 I122:I134 G214:H215 G157:H190 I158:I188 G236:G237 G217:G224 H217:H237 J217:J237 G212:H213 J238:J246 H238:H246 G238:G246 I214:I215 I245:I246" unlockedFormula="1"/>
    <ignoredError sqref="I29:I51 I67:I74 I148:I149" formula="1"/>
    <ignoredError sqref="I60:I66 I75 I77:I93 I98:I121 I96:I97 I135:I147 I157 I189:I190 I216 I217:I237 I238:I244 G126:H148 G194:H211 G191:H193 G225:G235 I194:I207 I191:I193" formula="1" unlockedFormula="1"/>
    <ignoredError sqref="E122:F150 G122:H125 G149:H150 E191:F211 I208:I211 E225:F235" numberStoredAsText="1"/>
    <ignoredError sqref="G126:H148 G194:H211 G191:H193 G225:G235" numberStoredAsText="1" unlockedFormula="1"/>
    <ignoredError sqref="I194:I207" numberStoredAsText="1" formula="1"/>
    <ignoredError sqref="I191:I193" numberStoredAsText="1" formula="1" unlockedFormula="1"/>
  </ignoredErrors>
  <drawing r:id="rId1"/>
</worksheet>
</file>

<file path=xl/worksheets/sheet3.xml><?xml version="1.0" encoding="utf-8"?>
<worksheet xmlns="http://schemas.openxmlformats.org/spreadsheetml/2006/main" xmlns:r="http://schemas.openxmlformats.org/officeDocument/2006/relationships">
  <dimension ref="A1:IV1104"/>
  <sheetViews>
    <sheetView zoomScale="110" zoomScaleNormal="110" zoomScalePageLayoutView="0" workbookViewId="0" topLeftCell="A2">
      <selection activeCell="A2" sqref="A2:N2"/>
    </sheetView>
  </sheetViews>
  <sheetFormatPr defaultColWidth="8.8515625" defaultRowHeight="12.75"/>
  <cols>
    <col min="1" max="1" width="3.7109375" style="111" bestFit="1" customWidth="1"/>
    <col min="2" max="2" width="44.28125" style="12" bestFit="1" customWidth="1"/>
    <col min="3" max="3" width="8.421875" style="17" bestFit="1" customWidth="1"/>
    <col min="4" max="4" width="19.140625" style="11" bestFit="1" customWidth="1"/>
    <col min="5" max="5" width="6.8515625" style="31" customWidth="1"/>
    <col min="6" max="6" width="7.28125" style="32" customWidth="1"/>
    <col min="7" max="7" width="8.421875" style="23" customWidth="1"/>
    <col min="8" max="8" width="12.140625" style="600" bestFit="1" customWidth="1"/>
    <col min="9" max="9" width="7.8515625" style="601" bestFit="1" customWidth="1"/>
    <col min="10" max="10" width="7.7109375" style="18" customWidth="1"/>
    <col min="11" max="11" width="7.00390625" style="19" customWidth="1"/>
    <col min="12" max="12" width="13.7109375" style="20" bestFit="1" customWidth="1"/>
    <col min="13" max="13" width="9.421875" style="18" bestFit="1" customWidth="1"/>
    <col min="14" max="14" width="6.140625" style="72" customWidth="1"/>
    <col min="15" max="15" width="2.00390625" style="94" bestFit="1" customWidth="1"/>
    <col min="16" max="16" width="2.140625" style="8" bestFit="1" customWidth="1"/>
    <col min="17" max="18" width="4.00390625" style="0" customWidth="1"/>
    <col min="19" max="19" width="9.7109375" style="0" bestFit="1" customWidth="1"/>
    <col min="20" max="20" width="6.00390625" style="0" bestFit="1" customWidth="1"/>
  </cols>
  <sheetData>
    <row r="1" spans="1:16" s="1" customFormat="1" ht="72.75" customHeight="1">
      <c r="A1" s="258"/>
      <c r="B1" s="259"/>
      <c r="C1" s="260"/>
      <c r="D1" s="261"/>
      <c r="E1" s="262"/>
      <c r="F1" s="262"/>
      <c r="G1" s="262"/>
      <c r="H1" s="263"/>
      <c r="I1" s="264"/>
      <c r="J1" s="265"/>
      <c r="K1" s="266"/>
      <c r="L1" s="267"/>
      <c r="M1" s="268"/>
      <c r="N1" s="269"/>
      <c r="O1" s="73"/>
      <c r="P1" s="73"/>
    </row>
    <row r="2" spans="1:16" s="5" customFormat="1" ht="22.5" customHeight="1" thickBot="1">
      <c r="A2" s="670" t="s">
        <v>53</v>
      </c>
      <c r="B2" s="671"/>
      <c r="C2" s="671"/>
      <c r="D2" s="671"/>
      <c r="E2" s="671"/>
      <c r="F2" s="671"/>
      <c r="G2" s="671"/>
      <c r="H2" s="671"/>
      <c r="I2" s="671"/>
      <c r="J2" s="671"/>
      <c r="K2" s="671"/>
      <c r="L2" s="671"/>
      <c r="M2" s="671"/>
      <c r="N2" s="671"/>
      <c r="O2" s="74"/>
      <c r="P2" s="74"/>
    </row>
    <row r="3" spans="1:20" s="249" customFormat="1" ht="12.75">
      <c r="A3" s="288"/>
      <c r="B3" s="642" t="s">
        <v>168</v>
      </c>
      <c r="C3" s="646" t="s">
        <v>126</v>
      </c>
      <c r="D3" s="644" t="s">
        <v>246</v>
      </c>
      <c r="E3" s="640" t="s">
        <v>127</v>
      </c>
      <c r="F3" s="640" t="s">
        <v>134</v>
      </c>
      <c r="G3" s="640" t="s">
        <v>245</v>
      </c>
      <c r="H3" s="668" t="s">
        <v>128</v>
      </c>
      <c r="I3" s="668"/>
      <c r="J3" s="668"/>
      <c r="K3" s="668"/>
      <c r="L3" s="668" t="s">
        <v>129</v>
      </c>
      <c r="M3" s="668"/>
      <c r="N3" s="669"/>
      <c r="O3" s="339"/>
      <c r="P3" s="339"/>
      <c r="Q3" s="340"/>
      <c r="R3" s="340"/>
      <c r="S3" s="340"/>
      <c r="T3" s="340"/>
    </row>
    <row r="4" spans="1:20" s="249" customFormat="1" ht="39" thickBot="1">
      <c r="A4" s="289"/>
      <c r="B4" s="665"/>
      <c r="C4" s="666"/>
      <c r="D4" s="664"/>
      <c r="E4" s="664"/>
      <c r="F4" s="664"/>
      <c r="G4" s="667"/>
      <c r="H4" s="285" t="s">
        <v>130</v>
      </c>
      <c r="I4" s="286" t="s">
        <v>131</v>
      </c>
      <c r="J4" s="286" t="s">
        <v>120</v>
      </c>
      <c r="K4" s="287" t="s">
        <v>132</v>
      </c>
      <c r="L4" s="285" t="s">
        <v>130</v>
      </c>
      <c r="M4" s="286" t="s">
        <v>131</v>
      </c>
      <c r="N4" s="336" t="s">
        <v>133</v>
      </c>
      <c r="O4" s="339"/>
      <c r="P4" s="339"/>
      <c r="Q4" s="340"/>
      <c r="R4" s="340"/>
      <c r="S4" s="340"/>
      <c r="T4" s="340"/>
    </row>
    <row r="5" spans="1:20" ht="12" customHeight="1">
      <c r="A5" s="290">
        <v>1</v>
      </c>
      <c r="B5" s="112">
        <v>2012</v>
      </c>
      <c r="C5" s="113">
        <v>40130</v>
      </c>
      <c r="D5" s="114" t="s">
        <v>325</v>
      </c>
      <c r="E5" s="115">
        <v>178</v>
      </c>
      <c r="F5" s="115">
        <v>37</v>
      </c>
      <c r="G5" s="115">
        <v>8</v>
      </c>
      <c r="H5" s="116">
        <f>48622+283</f>
        <v>48905</v>
      </c>
      <c r="I5" s="117">
        <f>7403+116</f>
        <v>7519</v>
      </c>
      <c r="J5" s="118">
        <f aca="true" t="shared" si="0" ref="J5:J36">I5/F5</f>
        <v>203.21621621621622</v>
      </c>
      <c r="K5" s="119">
        <f aca="true" t="shared" si="1" ref="K5:K68">H5/I5</f>
        <v>6.504189386886554</v>
      </c>
      <c r="L5" s="120">
        <f>13107603+48622+283</f>
        <v>13156508</v>
      </c>
      <c r="M5" s="121">
        <f>1468855+7403+116</f>
        <v>1476374</v>
      </c>
      <c r="N5" s="122">
        <f aca="true" t="shared" si="2" ref="N5:N36">+L5/M5</f>
        <v>8.91136527736197</v>
      </c>
      <c r="O5" s="108"/>
      <c r="P5" s="341"/>
      <c r="Q5" s="83"/>
      <c r="R5" s="83"/>
      <c r="S5" s="83"/>
      <c r="T5" s="83"/>
    </row>
    <row r="6" spans="1:20" ht="12" customHeight="1">
      <c r="A6" s="290">
        <v>2</v>
      </c>
      <c r="B6" s="123">
        <v>2012</v>
      </c>
      <c r="C6" s="124">
        <v>40130</v>
      </c>
      <c r="D6" s="125" t="s">
        <v>325</v>
      </c>
      <c r="E6" s="126">
        <v>178</v>
      </c>
      <c r="F6" s="126">
        <v>25</v>
      </c>
      <c r="G6" s="126">
        <v>9</v>
      </c>
      <c r="H6" s="127">
        <v>29270</v>
      </c>
      <c r="I6" s="128">
        <v>4996</v>
      </c>
      <c r="J6" s="129">
        <f t="shared" si="0"/>
        <v>199.84</v>
      </c>
      <c r="K6" s="130">
        <f t="shared" si="1"/>
        <v>5.858686949559647</v>
      </c>
      <c r="L6" s="131">
        <f>13107603+48622+283+29270</f>
        <v>13185778</v>
      </c>
      <c r="M6" s="132">
        <f>1468855+7403+116+4996</f>
        <v>1481370</v>
      </c>
      <c r="N6" s="133">
        <f t="shared" si="2"/>
        <v>8.901069955514153</v>
      </c>
      <c r="O6" s="109"/>
      <c r="P6" s="341"/>
      <c r="Q6" s="83"/>
      <c r="R6" s="83"/>
      <c r="S6" s="83"/>
      <c r="T6" s="83"/>
    </row>
    <row r="7" spans="1:20" ht="12" customHeight="1">
      <c r="A7" s="290">
        <v>3</v>
      </c>
      <c r="B7" s="123">
        <v>2012</v>
      </c>
      <c r="C7" s="124">
        <v>40130</v>
      </c>
      <c r="D7" s="125" t="s">
        <v>325</v>
      </c>
      <c r="E7" s="134">
        <v>178</v>
      </c>
      <c r="F7" s="134">
        <v>18</v>
      </c>
      <c r="G7" s="134">
        <v>10</v>
      </c>
      <c r="H7" s="127">
        <v>25563</v>
      </c>
      <c r="I7" s="135">
        <v>4175</v>
      </c>
      <c r="J7" s="129">
        <f t="shared" si="0"/>
        <v>231.94444444444446</v>
      </c>
      <c r="K7" s="130">
        <f t="shared" si="1"/>
        <v>6.122874251497006</v>
      </c>
      <c r="L7" s="131">
        <f>13107603+48622+283+29270+25563</f>
        <v>13211341</v>
      </c>
      <c r="M7" s="136">
        <f>1468855+7403+116+4996+4175</f>
        <v>1485545</v>
      </c>
      <c r="N7" s="133">
        <f t="shared" si="2"/>
        <v>8.893262068803033</v>
      </c>
      <c r="O7" s="149"/>
      <c r="P7" s="341"/>
      <c r="Q7" s="83"/>
      <c r="R7" s="83"/>
      <c r="S7" s="83"/>
      <c r="T7" s="83"/>
    </row>
    <row r="8" spans="1:20" ht="12" customHeight="1">
      <c r="A8" s="290">
        <v>4</v>
      </c>
      <c r="B8" s="123">
        <v>2012</v>
      </c>
      <c r="C8" s="124">
        <v>40130</v>
      </c>
      <c r="D8" s="125" t="s">
        <v>325</v>
      </c>
      <c r="E8" s="134">
        <v>178</v>
      </c>
      <c r="F8" s="134">
        <v>7</v>
      </c>
      <c r="G8" s="134">
        <v>11</v>
      </c>
      <c r="H8" s="137">
        <v>11036</v>
      </c>
      <c r="I8" s="135">
        <v>2539</v>
      </c>
      <c r="J8" s="129">
        <f t="shared" si="0"/>
        <v>362.7142857142857</v>
      </c>
      <c r="K8" s="130">
        <f t="shared" si="1"/>
        <v>4.346593146908232</v>
      </c>
      <c r="L8" s="138">
        <f>13107603+48622+283+29270+25563+11036</f>
        <v>13222377</v>
      </c>
      <c r="M8" s="136">
        <f>1468855+7403+116+4996+4175+2539</f>
        <v>1488084</v>
      </c>
      <c r="N8" s="133">
        <f t="shared" si="2"/>
        <v>8.885504447329586</v>
      </c>
      <c r="O8" s="149"/>
      <c r="P8" s="341"/>
      <c r="Q8" s="83"/>
      <c r="R8" s="83"/>
      <c r="S8" s="83"/>
      <c r="T8" s="83"/>
    </row>
    <row r="9" spans="1:20" ht="12" customHeight="1">
      <c r="A9" s="290">
        <v>5</v>
      </c>
      <c r="B9" s="123">
        <v>2012</v>
      </c>
      <c r="C9" s="139">
        <v>40130</v>
      </c>
      <c r="D9" s="125" t="s">
        <v>325</v>
      </c>
      <c r="E9" s="140">
        <v>178</v>
      </c>
      <c r="F9" s="140">
        <v>5</v>
      </c>
      <c r="G9" s="140">
        <v>12</v>
      </c>
      <c r="H9" s="141">
        <v>8708</v>
      </c>
      <c r="I9" s="142">
        <v>1375</v>
      </c>
      <c r="J9" s="129">
        <f t="shared" si="0"/>
        <v>275</v>
      </c>
      <c r="K9" s="130">
        <f t="shared" si="1"/>
        <v>6.333090909090909</v>
      </c>
      <c r="L9" s="144">
        <f>13107603+48622+283+29270+25563+11036+8708</f>
        <v>13231085</v>
      </c>
      <c r="M9" s="143">
        <f>1468855+7403+116+4996+4175+2539+1375</f>
        <v>1489459</v>
      </c>
      <c r="N9" s="133">
        <f t="shared" si="2"/>
        <v>8.883148176619834</v>
      </c>
      <c r="O9" s="108">
        <v>1</v>
      </c>
      <c r="P9" s="341"/>
      <c r="Q9" s="83"/>
      <c r="R9" s="83"/>
      <c r="S9" s="83"/>
      <c r="T9" s="83"/>
    </row>
    <row r="10" spans="1:20" ht="12" customHeight="1">
      <c r="A10" s="290">
        <v>6</v>
      </c>
      <c r="B10" s="123">
        <v>2012</v>
      </c>
      <c r="C10" s="139">
        <v>40130</v>
      </c>
      <c r="D10" s="125" t="s">
        <v>325</v>
      </c>
      <c r="E10" s="140">
        <v>178</v>
      </c>
      <c r="F10" s="140">
        <v>2</v>
      </c>
      <c r="G10" s="140">
        <v>24</v>
      </c>
      <c r="H10" s="141">
        <v>5050</v>
      </c>
      <c r="I10" s="142">
        <v>682</v>
      </c>
      <c r="J10" s="129">
        <f t="shared" si="0"/>
        <v>341</v>
      </c>
      <c r="K10" s="130">
        <f t="shared" si="1"/>
        <v>7.404692082111437</v>
      </c>
      <c r="L10" s="144">
        <v>13267416</v>
      </c>
      <c r="M10" s="143">
        <v>1496917</v>
      </c>
      <c r="N10" s="133">
        <f t="shared" si="2"/>
        <v>8.863160749727607</v>
      </c>
      <c r="O10" s="147">
        <v>1</v>
      </c>
      <c r="P10" s="341"/>
      <c r="Q10" s="83"/>
      <c r="R10" s="83"/>
      <c r="S10" s="83"/>
      <c r="T10" s="83"/>
    </row>
    <row r="11" spans="1:20" ht="12" customHeight="1">
      <c r="A11" s="290">
        <v>7</v>
      </c>
      <c r="B11" s="123">
        <v>2012</v>
      </c>
      <c r="C11" s="139">
        <v>40130</v>
      </c>
      <c r="D11" s="145" t="s">
        <v>325</v>
      </c>
      <c r="E11" s="146">
        <v>178</v>
      </c>
      <c r="F11" s="146">
        <v>2</v>
      </c>
      <c r="G11" s="146">
        <v>19</v>
      </c>
      <c r="H11" s="137">
        <v>4964</v>
      </c>
      <c r="I11" s="135">
        <v>1428</v>
      </c>
      <c r="J11" s="129">
        <f t="shared" si="0"/>
        <v>714</v>
      </c>
      <c r="K11" s="130">
        <f t="shared" si="1"/>
        <v>3.4761904761904763</v>
      </c>
      <c r="L11" s="144">
        <f>13244780+2380+4964</f>
        <v>13252124</v>
      </c>
      <c r="M11" s="143">
        <f>1492157+476+1428</f>
        <v>1494061</v>
      </c>
      <c r="N11" s="133">
        <f t="shared" si="2"/>
        <v>8.869868097755045</v>
      </c>
      <c r="O11" s="108"/>
      <c r="P11" s="341"/>
      <c r="Q11" s="83"/>
      <c r="R11" s="83"/>
      <c r="S11" s="83"/>
      <c r="T11" s="83"/>
    </row>
    <row r="12" spans="1:20" ht="12" customHeight="1">
      <c r="A12" s="290">
        <v>8</v>
      </c>
      <c r="B12" s="123">
        <v>2012</v>
      </c>
      <c r="C12" s="139">
        <v>40130</v>
      </c>
      <c r="D12" s="125" t="s">
        <v>325</v>
      </c>
      <c r="E12" s="146">
        <v>178</v>
      </c>
      <c r="F12" s="146">
        <v>3</v>
      </c>
      <c r="G12" s="146">
        <v>13</v>
      </c>
      <c r="H12" s="141">
        <v>4169</v>
      </c>
      <c r="I12" s="142">
        <v>819</v>
      </c>
      <c r="J12" s="129">
        <f t="shared" si="0"/>
        <v>273</v>
      </c>
      <c r="K12" s="130">
        <f t="shared" si="1"/>
        <v>5.09035409035409</v>
      </c>
      <c r="L12" s="144">
        <f>13231085+4169</f>
        <v>13235254</v>
      </c>
      <c r="M12" s="143">
        <f>1489459+819</f>
        <v>1490278</v>
      </c>
      <c r="N12" s="133">
        <f t="shared" si="2"/>
        <v>8.881063801518911</v>
      </c>
      <c r="O12" s="108"/>
      <c r="P12" s="341"/>
      <c r="Q12" s="83"/>
      <c r="R12" s="83"/>
      <c r="S12" s="83"/>
      <c r="T12" s="83"/>
    </row>
    <row r="13" spans="1:20" ht="12" customHeight="1">
      <c r="A13" s="290">
        <v>9</v>
      </c>
      <c r="B13" s="123">
        <v>2012</v>
      </c>
      <c r="C13" s="139">
        <v>40130</v>
      </c>
      <c r="D13" s="125" t="s">
        <v>325</v>
      </c>
      <c r="E13" s="146">
        <v>178</v>
      </c>
      <c r="F13" s="146">
        <v>2</v>
      </c>
      <c r="G13" s="146">
        <v>20</v>
      </c>
      <c r="H13" s="141">
        <v>3547</v>
      </c>
      <c r="I13" s="142">
        <v>687</v>
      </c>
      <c r="J13" s="129">
        <f t="shared" si="0"/>
        <v>343.5</v>
      </c>
      <c r="K13" s="130">
        <f t="shared" si="1"/>
        <v>5.163027656477438</v>
      </c>
      <c r="L13" s="144">
        <v>13255671</v>
      </c>
      <c r="M13" s="143">
        <v>1494748</v>
      </c>
      <c r="N13" s="133">
        <f t="shared" si="2"/>
        <v>8.868164399617863</v>
      </c>
      <c r="O13" s="108"/>
      <c r="P13" s="341"/>
      <c r="Q13" s="83"/>
      <c r="R13" s="83"/>
      <c r="S13" s="83"/>
      <c r="T13" s="83"/>
    </row>
    <row r="14" spans="1:20" ht="12" customHeight="1">
      <c r="A14" s="290">
        <v>10</v>
      </c>
      <c r="B14" s="123">
        <v>2012</v>
      </c>
      <c r="C14" s="139">
        <v>40130</v>
      </c>
      <c r="D14" s="125" t="s">
        <v>325</v>
      </c>
      <c r="E14" s="146">
        <v>178</v>
      </c>
      <c r="F14" s="146">
        <v>3</v>
      </c>
      <c r="G14" s="146">
        <v>14</v>
      </c>
      <c r="H14" s="141">
        <v>2910</v>
      </c>
      <c r="I14" s="142">
        <v>575</v>
      </c>
      <c r="J14" s="129">
        <f t="shared" si="0"/>
        <v>191.66666666666666</v>
      </c>
      <c r="K14" s="130">
        <f t="shared" si="1"/>
        <v>5.060869565217391</v>
      </c>
      <c r="L14" s="144">
        <v>13238163</v>
      </c>
      <c r="M14" s="143">
        <v>1490853</v>
      </c>
      <c r="N14" s="133">
        <f t="shared" si="2"/>
        <v>8.879589738223688</v>
      </c>
      <c r="O14" s="108"/>
      <c r="P14" s="341"/>
      <c r="Q14" s="83"/>
      <c r="R14" s="83"/>
      <c r="S14" s="83"/>
      <c r="T14" s="83"/>
    </row>
    <row r="15" spans="1:20" ht="12" customHeight="1">
      <c r="A15" s="290">
        <v>11</v>
      </c>
      <c r="B15" s="123">
        <v>2012</v>
      </c>
      <c r="C15" s="139">
        <v>40130</v>
      </c>
      <c r="D15" s="125" t="s">
        <v>325</v>
      </c>
      <c r="E15" s="140">
        <v>178</v>
      </c>
      <c r="F15" s="140">
        <v>1</v>
      </c>
      <c r="G15" s="140">
        <v>16</v>
      </c>
      <c r="H15" s="141">
        <v>2380</v>
      </c>
      <c r="I15" s="142">
        <v>476</v>
      </c>
      <c r="J15" s="129">
        <f t="shared" si="0"/>
        <v>476</v>
      </c>
      <c r="K15" s="130">
        <f t="shared" si="1"/>
        <v>5</v>
      </c>
      <c r="L15" s="144">
        <f>13240020+2380</f>
        <v>13242400</v>
      </c>
      <c r="M15" s="143">
        <f>1491205+476</f>
        <v>1491681</v>
      </c>
      <c r="N15" s="133">
        <f t="shared" si="2"/>
        <v>8.87750128881443</v>
      </c>
      <c r="O15" s="108"/>
      <c r="P15" s="341"/>
      <c r="Q15" s="83"/>
      <c r="R15" s="83"/>
      <c r="S15" s="83"/>
      <c r="T15" s="83"/>
    </row>
    <row r="16" spans="1:20" ht="12" customHeight="1">
      <c r="A16" s="290">
        <v>12</v>
      </c>
      <c r="B16" s="123">
        <v>2012</v>
      </c>
      <c r="C16" s="139">
        <v>40130</v>
      </c>
      <c r="D16" s="125" t="s">
        <v>325</v>
      </c>
      <c r="E16" s="146">
        <v>178</v>
      </c>
      <c r="F16" s="146">
        <v>1</v>
      </c>
      <c r="G16" s="146">
        <v>17</v>
      </c>
      <c r="H16" s="141">
        <v>2380</v>
      </c>
      <c r="I16" s="142">
        <v>476</v>
      </c>
      <c r="J16" s="129">
        <f t="shared" si="0"/>
        <v>476</v>
      </c>
      <c r="K16" s="130">
        <f t="shared" si="1"/>
        <v>5</v>
      </c>
      <c r="L16" s="144">
        <f>13240020+2380+2380</f>
        <v>13244780</v>
      </c>
      <c r="M16" s="143">
        <f>1491205+476+476</f>
        <v>1492157</v>
      </c>
      <c r="N16" s="133">
        <f t="shared" si="2"/>
        <v>8.876264360921807</v>
      </c>
      <c r="O16" s="108">
        <v>1</v>
      </c>
      <c r="P16" s="341"/>
      <c r="Q16" s="83"/>
      <c r="R16" s="83"/>
      <c r="S16" s="83"/>
      <c r="T16" s="83"/>
    </row>
    <row r="17" spans="1:20" ht="12" customHeight="1">
      <c r="A17" s="290">
        <v>13</v>
      </c>
      <c r="B17" s="123">
        <v>2012</v>
      </c>
      <c r="C17" s="139">
        <v>40130</v>
      </c>
      <c r="D17" s="125" t="s">
        <v>325</v>
      </c>
      <c r="E17" s="146">
        <v>178</v>
      </c>
      <c r="F17" s="146">
        <v>1</v>
      </c>
      <c r="G17" s="146">
        <v>18</v>
      </c>
      <c r="H17" s="141">
        <v>2380</v>
      </c>
      <c r="I17" s="142">
        <v>476</v>
      </c>
      <c r="J17" s="129">
        <f t="shared" si="0"/>
        <v>476</v>
      </c>
      <c r="K17" s="130">
        <f t="shared" si="1"/>
        <v>5</v>
      </c>
      <c r="L17" s="144">
        <f>13244780+2380</f>
        <v>13247160</v>
      </c>
      <c r="M17" s="143">
        <f>1492157+476</f>
        <v>1492633</v>
      </c>
      <c r="N17" s="133">
        <f t="shared" si="2"/>
        <v>8.875028221940692</v>
      </c>
      <c r="O17" s="108"/>
      <c r="P17" s="341"/>
      <c r="Q17" s="83"/>
      <c r="R17" s="83"/>
      <c r="S17" s="83"/>
      <c r="T17" s="83"/>
    </row>
    <row r="18" spans="1:20" ht="12" customHeight="1">
      <c r="A18" s="290">
        <v>14</v>
      </c>
      <c r="B18" s="123">
        <v>2012</v>
      </c>
      <c r="C18" s="139">
        <v>40130</v>
      </c>
      <c r="D18" s="125" t="s">
        <v>325</v>
      </c>
      <c r="E18" s="146">
        <v>178</v>
      </c>
      <c r="F18" s="146">
        <v>2</v>
      </c>
      <c r="G18" s="146">
        <v>15</v>
      </c>
      <c r="H18" s="141">
        <v>1857</v>
      </c>
      <c r="I18" s="142">
        <v>352</v>
      </c>
      <c r="J18" s="129">
        <f t="shared" si="0"/>
        <v>176</v>
      </c>
      <c r="K18" s="130">
        <f t="shared" si="1"/>
        <v>5.275568181818182</v>
      </c>
      <c r="L18" s="144">
        <v>13240020</v>
      </c>
      <c r="M18" s="143">
        <v>1491205</v>
      </c>
      <c r="N18" s="133">
        <f t="shared" si="2"/>
        <v>8.87873900637404</v>
      </c>
      <c r="O18" s="108"/>
      <c r="P18" s="341"/>
      <c r="Q18" s="83"/>
      <c r="R18" s="83"/>
      <c r="S18" s="83"/>
      <c r="T18" s="83"/>
    </row>
    <row r="19" spans="1:20" ht="12" customHeight="1">
      <c r="A19" s="290">
        <v>15</v>
      </c>
      <c r="B19" s="123">
        <v>2012</v>
      </c>
      <c r="C19" s="124">
        <v>40130</v>
      </c>
      <c r="D19" s="125" t="s">
        <v>325</v>
      </c>
      <c r="E19" s="126">
        <v>178</v>
      </c>
      <c r="F19" s="126">
        <v>1</v>
      </c>
      <c r="G19" s="126">
        <v>22</v>
      </c>
      <c r="H19" s="137">
        <v>1785</v>
      </c>
      <c r="I19" s="135">
        <v>510</v>
      </c>
      <c r="J19" s="129">
        <f t="shared" si="0"/>
        <v>510</v>
      </c>
      <c r="K19" s="130">
        <f t="shared" si="1"/>
        <v>3.5</v>
      </c>
      <c r="L19" s="138">
        <v>13262216</v>
      </c>
      <c r="M19" s="136">
        <v>1496210</v>
      </c>
      <c r="N19" s="133">
        <f t="shared" si="2"/>
        <v>8.863873386757206</v>
      </c>
      <c r="O19" s="108">
        <v>1</v>
      </c>
      <c r="P19" s="341"/>
      <c r="Q19" s="83"/>
      <c r="R19" s="83"/>
      <c r="S19" s="83"/>
      <c r="T19" s="83"/>
    </row>
    <row r="20" spans="1:20" ht="12" customHeight="1">
      <c r="A20" s="290">
        <v>16</v>
      </c>
      <c r="B20" s="123">
        <v>2012</v>
      </c>
      <c r="C20" s="124">
        <v>40130</v>
      </c>
      <c r="D20" s="125" t="s">
        <v>325</v>
      </c>
      <c r="E20" s="126">
        <v>178</v>
      </c>
      <c r="F20" s="126">
        <v>1</v>
      </c>
      <c r="G20" s="126">
        <v>25</v>
      </c>
      <c r="H20" s="137">
        <v>722</v>
      </c>
      <c r="I20" s="135">
        <v>100</v>
      </c>
      <c r="J20" s="129">
        <f t="shared" si="0"/>
        <v>100</v>
      </c>
      <c r="K20" s="130">
        <f t="shared" si="1"/>
        <v>7.22</v>
      </c>
      <c r="L20" s="138">
        <v>13268138</v>
      </c>
      <c r="M20" s="136">
        <v>1497017</v>
      </c>
      <c r="N20" s="133">
        <f t="shared" si="2"/>
        <v>8.863050987396937</v>
      </c>
      <c r="O20" s="108"/>
      <c r="P20" s="341"/>
      <c r="Q20" s="83"/>
      <c r="R20" s="83"/>
      <c r="S20" s="83"/>
      <c r="T20" s="83"/>
    </row>
    <row r="21" spans="1:20" ht="12" customHeight="1">
      <c r="A21" s="290">
        <v>17</v>
      </c>
      <c r="B21" s="123">
        <v>2012</v>
      </c>
      <c r="C21" s="139">
        <v>40130</v>
      </c>
      <c r="D21" s="125" t="s">
        <v>325</v>
      </c>
      <c r="E21" s="146">
        <v>178</v>
      </c>
      <c r="F21" s="146">
        <v>1</v>
      </c>
      <c r="G21" s="146">
        <v>23</v>
      </c>
      <c r="H21" s="141">
        <v>150</v>
      </c>
      <c r="I21" s="142">
        <v>25</v>
      </c>
      <c r="J21" s="129">
        <f t="shared" si="0"/>
        <v>25</v>
      </c>
      <c r="K21" s="130">
        <f t="shared" si="1"/>
        <v>6</v>
      </c>
      <c r="L21" s="144">
        <v>13262216</v>
      </c>
      <c r="M21" s="143">
        <v>1496235</v>
      </c>
      <c r="N21" s="133">
        <f t="shared" si="2"/>
        <v>8.863725283795661</v>
      </c>
      <c r="O21" s="108"/>
      <c r="P21" s="341"/>
      <c r="Q21" s="83"/>
      <c r="R21" s="83"/>
      <c r="S21" s="83"/>
      <c r="T21" s="83"/>
    </row>
    <row r="22" spans="1:20" ht="12" customHeight="1">
      <c r="A22" s="290">
        <v>18</v>
      </c>
      <c r="B22" s="123" t="s">
        <v>349</v>
      </c>
      <c r="C22" s="124">
        <v>40095</v>
      </c>
      <c r="D22" s="125" t="s">
        <v>338</v>
      </c>
      <c r="E22" s="126">
        <v>22</v>
      </c>
      <c r="F22" s="126">
        <v>4</v>
      </c>
      <c r="G22" s="126">
        <v>15</v>
      </c>
      <c r="H22" s="137">
        <v>6600.5</v>
      </c>
      <c r="I22" s="135">
        <v>837</v>
      </c>
      <c r="J22" s="129">
        <f t="shared" si="0"/>
        <v>209.25</v>
      </c>
      <c r="K22" s="130">
        <f t="shared" si="1"/>
        <v>7.885902031063321</v>
      </c>
      <c r="L22" s="138">
        <f>158809.5+140713.25+103696.25+38523+19360+17458+1188+196+2484+3158+1780+2933+1780+2461+6600.5</f>
        <v>501140.5</v>
      </c>
      <c r="M22" s="136">
        <f>14214+13110+10683+4685+3074+2645+297+16+571+596+445+584+445+466+837</f>
        <v>52668</v>
      </c>
      <c r="N22" s="133">
        <f t="shared" si="2"/>
        <v>9.515085061137693</v>
      </c>
      <c r="O22" s="108"/>
      <c r="P22" s="341"/>
      <c r="Q22" s="83"/>
      <c r="R22" s="83"/>
      <c r="S22" s="83"/>
      <c r="T22" s="83"/>
    </row>
    <row r="23" spans="1:20" ht="12" customHeight="1">
      <c r="A23" s="290">
        <v>19</v>
      </c>
      <c r="B23" s="123" t="s">
        <v>349</v>
      </c>
      <c r="C23" s="139">
        <v>40095</v>
      </c>
      <c r="D23" s="125" t="s">
        <v>326</v>
      </c>
      <c r="E23" s="146">
        <v>22</v>
      </c>
      <c r="F23" s="146">
        <v>3</v>
      </c>
      <c r="G23" s="146">
        <v>10</v>
      </c>
      <c r="H23" s="141">
        <v>3158</v>
      </c>
      <c r="I23" s="142">
        <v>596</v>
      </c>
      <c r="J23" s="129">
        <f t="shared" si="0"/>
        <v>198.66666666666666</v>
      </c>
      <c r="K23" s="130">
        <f t="shared" si="1"/>
        <v>5.298657718120805</v>
      </c>
      <c r="L23" s="144">
        <f>158809.5+140713.25+103696.25+38523+19360+17458+1188+196+2484+3158</f>
        <v>485586</v>
      </c>
      <c r="M23" s="143">
        <f>14214+13110+10683+4685+3074+2645+297+16+571+596</f>
        <v>49891</v>
      </c>
      <c r="N23" s="133">
        <f t="shared" si="2"/>
        <v>9.732937804413622</v>
      </c>
      <c r="O23" s="108"/>
      <c r="P23" s="341"/>
      <c r="Q23" s="83"/>
      <c r="R23" s="83"/>
      <c r="S23" s="83"/>
      <c r="T23" s="83"/>
    </row>
    <row r="24" spans="1:20" ht="12" customHeight="1">
      <c r="A24" s="290">
        <v>20</v>
      </c>
      <c r="B24" s="123" t="s">
        <v>349</v>
      </c>
      <c r="C24" s="139">
        <v>40095</v>
      </c>
      <c r="D24" s="145" t="s">
        <v>326</v>
      </c>
      <c r="E24" s="146">
        <v>22</v>
      </c>
      <c r="F24" s="146">
        <v>2</v>
      </c>
      <c r="G24" s="146">
        <v>12</v>
      </c>
      <c r="H24" s="137">
        <v>2933</v>
      </c>
      <c r="I24" s="135">
        <v>584</v>
      </c>
      <c r="J24" s="129">
        <f t="shared" si="0"/>
        <v>292</v>
      </c>
      <c r="K24" s="130">
        <f t="shared" si="1"/>
        <v>5.022260273972603</v>
      </c>
      <c r="L24" s="144">
        <f>158809.5+140713.25+103696.25+38523+19360+17458+1188+196+2484+3158+1780+2933</f>
        <v>490299</v>
      </c>
      <c r="M24" s="143">
        <f>14214+13110+10683+4685+3074+2645+297+16+571+596+445+584</f>
        <v>50920</v>
      </c>
      <c r="N24" s="133">
        <f t="shared" si="2"/>
        <v>9.628809897879027</v>
      </c>
      <c r="O24" s="108"/>
      <c r="P24" s="341"/>
      <c r="Q24" s="83"/>
      <c r="R24" s="83"/>
      <c r="S24" s="83"/>
      <c r="T24" s="83"/>
    </row>
    <row r="25" spans="1:20" ht="12" customHeight="1">
      <c r="A25" s="290">
        <v>21</v>
      </c>
      <c r="B25" s="123" t="s">
        <v>349</v>
      </c>
      <c r="C25" s="139">
        <v>40095</v>
      </c>
      <c r="D25" s="125" t="s">
        <v>338</v>
      </c>
      <c r="E25" s="146">
        <v>22</v>
      </c>
      <c r="F25" s="146">
        <v>1</v>
      </c>
      <c r="G25" s="146">
        <v>16</v>
      </c>
      <c r="H25" s="141">
        <v>2668.5</v>
      </c>
      <c r="I25" s="142">
        <v>295</v>
      </c>
      <c r="J25" s="129">
        <f t="shared" si="0"/>
        <v>295</v>
      </c>
      <c r="K25" s="130">
        <f t="shared" si="1"/>
        <v>9.045762711864407</v>
      </c>
      <c r="L25" s="144">
        <f>158809.5+140713.25+103696.25+38523+19360+17458+1188+196+2484+3158+1780+2933+1780+2461+6600.5+2668.5</f>
        <v>503809</v>
      </c>
      <c r="M25" s="143">
        <f>14214+13110+10683+4685+3074+2645+297+16+571+596+445+584+445+466+837+295</f>
        <v>52963</v>
      </c>
      <c r="N25" s="133">
        <f t="shared" si="2"/>
        <v>9.51247097030002</v>
      </c>
      <c r="O25" s="147"/>
      <c r="P25" s="341"/>
      <c r="Q25" s="83"/>
      <c r="R25" s="83"/>
      <c r="S25" s="83"/>
      <c r="T25" s="83"/>
    </row>
    <row r="26" spans="1:20" ht="12" customHeight="1">
      <c r="A26" s="290">
        <v>22</v>
      </c>
      <c r="B26" s="123" t="s">
        <v>349</v>
      </c>
      <c r="C26" s="124">
        <v>40095</v>
      </c>
      <c r="D26" s="125" t="s">
        <v>326</v>
      </c>
      <c r="E26" s="126">
        <v>22</v>
      </c>
      <c r="F26" s="126">
        <v>2</v>
      </c>
      <c r="G26" s="126">
        <v>9</v>
      </c>
      <c r="H26" s="137">
        <v>2484</v>
      </c>
      <c r="I26" s="135">
        <v>571</v>
      </c>
      <c r="J26" s="129">
        <f t="shared" si="0"/>
        <v>285.5</v>
      </c>
      <c r="K26" s="130">
        <f t="shared" si="1"/>
        <v>4.350262697022767</v>
      </c>
      <c r="L26" s="138">
        <f>158809.5+140713.25+103696.25+38523+19360+17458+1188+196+2484</f>
        <v>482428</v>
      </c>
      <c r="M26" s="136">
        <f>14214+13110+10683+4685+3074+2645+297+16+571</f>
        <v>49295</v>
      </c>
      <c r="N26" s="133">
        <f t="shared" si="2"/>
        <v>9.786550360077086</v>
      </c>
      <c r="O26" s="147"/>
      <c r="P26" s="341"/>
      <c r="Q26" s="83"/>
      <c r="R26" s="83"/>
      <c r="S26" s="83"/>
      <c r="T26" s="83"/>
    </row>
    <row r="27" spans="1:20" ht="12" customHeight="1">
      <c r="A27" s="290">
        <v>23</v>
      </c>
      <c r="B27" s="123" t="s">
        <v>349</v>
      </c>
      <c r="C27" s="124">
        <v>40095</v>
      </c>
      <c r="D27" s="125" t="s">
        <v>326</v>
      </c>
      <c r="E27" s="126">
        <v>22</v>
      </c>
      <c r="F27" s="126">
        <v>3</v>
      </c>
      <c r="G27" s="126">
        <v>14</v>
      </c>
      <c r="H27" s="137">
        <v>2461</v>
      </c>
      <c r="I27" s="135">
        <v>466</v>
      </c>
      <c r="J27" s="129">
        <f t="shared" si="0"/>
        <v>155.33333333333334</v>
      </c>
      <c r="K27" s="130">
        <f t="shared" si="1"/>
        <v>5.281115879828326</v>
      </c>
      <c r="L27" s="138">
        <f>158809.5+140713.25+103696.25+38523+19360+17458+1188+196+2484+3158+1780+2933+1780+2461</f>
        <v>494540</v>
      </c>
      <c r="M27" s="136">
        <f>14214+13110+10683+4685+3074+2645+297+16+571+596+445+584+445+466</f>
        <v>51831</v>
      </c>
      <c r="N27" s="133">
        <f t="shared" si="2"/>
        <v>9.541394146360286</v>
      </c>
      <c r="O27" s="147"/>
      <c r="P27" s="341"/>
      <c r="Q27" s="83"/>
      <c r="R27" s="83"/>
      <c r="S27" s="83"/>
      <c r="T27" s="83"/>
    </row>
    <row r="28" spans="1:20" ht="12" customHeight="1">
      <c r="A28" s="290">
        <v>24</v>
      </c>
      <c r="B28" s="123" t="s">
        <v>349</v>
      </c>
      <c r="C28" s="124">
        <v>40095</v>
      </c>
      <c r="D28" s="125" t="s">
        <v>326</v>
      </c>
      <c r="E28" s="126">
        <v>22</v>
      </c>
      <c r="F28" s="126">
        <v>1</v>
      </c>
      <c r="G28" s="126">
        <v>11</v>
      </c>
      <c r="H28" s="137">
        <v>1780</v>
      </c>
      <c r="I28" s="135">
        <v>445</v>
      </c>
      <c r="J28" s="129">
        <f t="shared" si="0"/>
        <v>445</v>
      </c>
      <c r="K28" s="130">
        <f t="shared" si="1"/>
        <v>4</v>
      </c>
      <c r="L28" s="138">
        <f>158809.5+140713.25+103696.25+38523+19360+17458+1188+196+2484+3158+1780</f>
        <v>487366</v>
      </c>
      <c r="M28" s="136">
        <f>14214+13110+10683+4685+3074+2645+297+16+571+596+445</f>
        <v>50336</v>
      </c>
      <c r="N28" s="133">
        <f t="shared" si="2"/>
        <v>9.682255244755245</v>
      </c>
      <c r="O28" s="147">
        <v>1</v>
      </c>
      <c r="P28" s="341"/>
      <c r="Q28" s="83"/>
      <c r="R28" s="83"/>
      <c r="S28" s="83"/>
      <c r="T28" s="83"/>
    </row>
    <row r="29" spans="1:20" ht="12" customHeight="1">
      <c r="A29" s="290">
        <v>25</v>
      </c>
      <c r="B29" s="123" t="s">
        <v>349</v>
      </c>
      <c r="C29" s="124">
        <v>40095</v>
      </c>
      <c r="D29" s="125" t="s">
        <v>326</v>
      </c>
      <c r="E29" s="126">
        <v>22</v>
      </c>
      <c r="F29" s="126">
        <v>1</v>
      </c>
      <c r="G29" s="126">
        <v>13</v>
      </c>
      <c r="H29" s="137">
        <v>1780</v>
      </c>
      <c r="I29" s="135">
        <v>445</v>
      </c>
      <c r="J29" s="129">
        <f t="shared" si="0"/>
        <v>445</v>
      </c>
      <c r="K29" s="130">
        <f t="shared" si="1"/>
        <v>4</v>
      </c>
      <c r="L29" s="138">
        <f>158809.5+140713.25+103696.25+38523+19360+17458+1188+196+2484+3158+1780+2933+1780</f>
        <v>492079</v>
      </c>
      <c r="M29" s="136">
        <f>14214+13110+10683+4685+3074+2645+297+16+571+596+445+584+445</f>
        <v>51365</v>
      </c>
      <c r="N29" s="133">
        <f t="shared" si="2"/>
        <v>9.580044777572278</v>
      </c>
      <c r="O29" s="147"/>
      <c r="P29" s="341"/>
      <c r="Q29" s="83"/>
      <c r="R29" s="83"/>
      <c r="S29" s="83"/>
      <c r="T29" s="83"/>
    </row>
    <row r="30" spans="1:20" ht="12" customHeight="1">
      <c r="A30" s="290">
        <v>26</v>
      </c>
      <c r="B30" s="123" t="s">
        <v>349</v>
      </c>
      <c r="C30" s="124">
        <v>40095</v>
      </c>
      <c r="D30" s="125" t="s">
        <v>326</v>
      </c>
      <c r="E30" s="126">
        <v>22</v>
      </c>
      <c r="F30" s="126">
        <v>1</v>
      </c>
      <c r="G30" s="126">
        <v>19</v>
      </c>
      <c r="H30" s="137">
        <v>476</v>
      </c>
      <c r="I30" s="135">
        <v>72</v>
      </c>
      <c r="J30" s="129">
        <f t="shared" si="0"/>
        <v>72</v>
      </c>
      <c r="K30" s="130">
        <f t="shared" si="1"/>
        <v>6.611111111111111</v>
      </c>
      <c r="L30" s="138">
        <f>158809.5+140713.25+103696.25+38523+19360+17458+1188+196+2484+3158+1780+2933+1780+2461+6600.5+2668.5+440+441+476</f>
        <v>505166</v>
      </c>
      <c r="M30" s="136">
        <f>14214+13110+10683+4685+3074+2645+297+16+571+596+445+584+445+466+837+295+44+65+72</f>
        <v>53144</v>
      </c>
      <c r="N30" s="133">
        <f t="shared" si="2"/>
        <v>9.505607406292338</v>
      </c>
      <c r="O30" s="108"/>
      <c r="P30" s="341"/>
      <c r="Q30" s="83"/>
      <c r="R30" s="83"/>
      <c r="S30" s="83"/>
      <c r="T30" s="83"/>
    </row>
    <row r="31" spans="1:20" ht="12" customHeight="1">
      <c r="A31" s="290">
        <v>27</v>
      </c>
      <c r="B31" s="123" t="s">
        <v>349</v>
      </c>
      <c r="C31" s="124">
        <v>40095</v>
      </c>
      <c r="D31" s="125" t="s">
        <v>326</v>
      </c>
      <c r="E31" s="126">
        <v>22</v>
      </c>
      <c r="F31" s="126">
        <v>1</v>
      </c>
      <c r="G31" s="126">
        <v>18</v>
      </c>
      <c r="H31" s="137">
        <v>441</v>
      </c>
      <c r="I31" s="135">
        <v>65</v>
      </c>
      <c r="J31" s="129">
        <f t="shared" si="0"/>
        <v>65</v>
      </c>
      <c r="K31" s="130">
        <f t="shared" si="1"/>
        <v>6.7846153846153845</v>
      </c>
      <c r="L31" s="138">
        <f>158809.5+140713.25+103696.25+38523+19360+17458+1188+196+2484+3158+1780+2933+1780+2461+6600.5+2668.5+440+441</f>
        <v>504690</v>
      </c>
      <c r="M31" s="136">
        <f>14214+13110+10683+4685+3074+2645+297+16+571+596+445+584+445+466+837+295+44+65</f>
        <v>53072</v>
      </c>
      <c r="N31" s="133">
        <f t="shared" si="2"/>
        <v>9.509534217666566</v>
      </c>
      <c r="O31" s="108">
        <v>1</v>
      </c>
      <c r="P31" s="341"/>
      <c r="Q31" s="83"/>
      <c r="R31" s="83"/>
      <c r="S31" s="83"/>
      <c r="T31" s="83"/>
    </row>
    <row r="32" spans="1:20" ht="12" customHeight="1">
      <c r="A32" s="290">
        <v>28</v>
      </c>
      <c r="B32" s="123" t="s">
        <v>270</v>
      </c>
      <c r="C32" s="124">
        <v>40081</v>
      </c>
      <c r="D32" s="125" t="s">
        <v>353</v>
      </c>
      <c r="E32" s="126">
        <v>30</v>
      </c>
      <c r="F32" s="126">
        <v>1</v>
      </c>
      <c r="G32" s="126">
        <v>7</v>
      </c>
      <c r="H32" s="137">
        <v>4242</v>
      </c>
      <c r="I32" s="135">
        <v>864</v>
      </c>
      <c r="J32" s="129">
        <f t="shared" si="0"/>
        <v>864</v>
      </c>
      <c r="K32" s="130">
        <f t="shared" si="1"/>
        <v>4.909722222222222</v>
      </c>
      <c r="L32" s="138">
        <v>109324.35</v>
      </c>
      <c r="M32" s="136">
        <v>13970</v>
      </c>
      <c r="N32" s="133">
        <f t="shared" si="2"/>
        <v>7.825651395848246</v>
      </c>
      <c r="O32" s="108"/>
      <c r="P32" s="341"/>
      <c r="Q32" s="83"/>
      <c r="R32" s="83"/>
      <c r="S32" s="83"/>
      <c r="T32" s="83"/>
    </row>
    <row r="33" spans="1:20" ht="12" customHeight="1">
      <c r="A33" s="290">
        <v>29</v>
      </c>
      <c r="B33" s="123" t="s">
        <v>270</v>
      </c>
      <c r="C33" s="124">
        <v>40081</v>
      </c>
      <c r="D33" s="125" t="s">
        <v>386</v>
      </c>
      <c r="E33" s="126">
        <v>30</v>
      </c>
      <c r="F33" s="126">
        <v>1</v>
      </c>
      <c r="G33" s="126">
        <v>9</v>
      </c>
      <c r="H33" s="137">
        <v>492.59</v>
      </c>
      <c r="I33" s="135">
        <v>120</v>
      </c>
      <c r="J33" s="129">
        <f t="shared" si="0"/>
        <v>120</v>
      </c>
      <c r="K33" s="130">
        <f t="shared" si="1"/>
        <v>4.104916666666666</v>
      </c>
      <c r="L33" s="138">
        <v>110258.59</v>
      </c>
      <c r="M33" s="136">
        <v>14189</v>
      </c>
      <c r="N33" s="133">
        <f t="shared" si="2"/>
        <v>7.770708999929522</v>
      </c>
      <c r="O33" s="110"/>
      <c r="P33" s="341"/>
      <c r="Q33" s="83"/>
      <c r="R33" s="83"/>
      <c r="S33" s="83"/>
      <c r="T33" s="83"/>
    </row>
    <row r="34" spans="1:20" ht="12" customHeight="1">
      <c r="A34" s="290">
        <v>30</v>
      </c>
      <c r="B34" s="123" t="s">
        <v>270</v>
      </c>
      <c r="C34" s="124">
        <v>40081</v>
      </c>
      <c r="D34" s="125" t="s">
        <v>327</v>
      </c>
      <c r="E34" s="126">
        <v>30</v>
      </c>
      <c r="F34" s="126">
        <v>1</v>
      </c>
      <c r="G34" s="126">
        <v>8</v>
      </c>
      <c r="H34" s="137">
        <v>441.65</v>
      </c>
      <c r="I34" s="135">
        <v>99</v>
      </c>
      <c r="J34" s="129">
        <f t="shared" si="0"/>
        <v>99</v>
      </c>
      <c r="K34" s="130">
        <f t="shared" si="1"/>
        <v>4.461111111111111</v>
      </c>
      <c r="L34" s="138">
        <f>105083+638.35+3603+441.65</f>
        <v>109766</v>
      </c>
      <c r="M34" s="136">
        <f>13106+143+721+99</f>
        <v>14069</v>
      </c>
      <c r="N34" s="133">
        <f t="shared" si="2"/>
        <v>7.801975975549079</v>
      </c>
      <c r="O34" s="147"/>
      <c r="P34" s="341"/>
      <c r="Q34" s="83"/>
      <c r="R34" s="83"/>
      <c r="S34" s="83"/>
      <c r="T34" s="83"/>
    </row>
    <row r="35" spans="1:20" ht="12" customHeight="1">
      <c r="A35" s="290">
        <v>31</v>
      </c>
      <c r="B35" s="123" t="s">
        <v>271</v>
      </c>
      <c r="C35" s="139">
        <v>39493</v>
      </c>
      <c r="D35" s="145" t="s">
        <v>353</v>
      </c>
      <c r="E35" s="146">
        <v>179</v>
      </c>
      <c r="F35" s="146">
        <v>1</v>
      </c>
      <c r="G35" s="146">
        <v>46</v>
      </c>
      <c r="H35" s="150">
        <v>3844</v>
      </c>
      <c r="I35" s="142">
        <v>769</v>
      </c>
      <c r="J35" s="129">
        <f t="shared" si="0"/>
        <v>769</v>
      </c>
      <c r="K35" s="130">
        <f t="shared" si="1"/>
        <v>4.998699609882965</v>
      </c>
      <c r="L35" s="144">
        <v>5039812.5</v>
      </c>
      <c r="M35" s="143">
        <f>1038442</f>
        <v>1038442</v>
      </c>
      <c r="N35" s="133">
        <f t="shared" si="2"/>
        <v>4.853244090666594</v>
      </c>
      <c r="O35" s="148"/>
      <c r="P35" s="341"/>
      <c r="Q35" s="83"/>
      <c r="R35" s="83"/>
      <c r="S35" s="83"/>
      <c r="T35" s="83"/>
    </row>
    <row r="36" spans="1:20" ht="12" customHeight="1">
      <c r="A36" s="290">
        <v>32</v>
      </c>
      <c r="B36" s="123" t="s">
        <v>41</v>
      </c>
      <c r="C36" s="139">
        <v>40137</v>
      </c>
      <c r="D36" s="125" t="s">
        <v>221</v>
      </c>
      <c r="E36" s="146">
        <v>149</v>
      </c>
      <c r="F36" s="146">
        <v>2</v>
      </c>
      <c r="G36" s="146">
        <v>20</v>
      </c>
      <c r="H36" s="141">
        <v>2120</v>
      </c>
      <c r="I36" s="142">
        <v>423</v>
      </c>
      <c r="J36" s="129">
        <f t="shared" si="0"/>
        <v>211.5</v>
      </c>
      <c r="K36" s="130">
        <f t="shared" si="1"/>
        <v>5.011820330969267</v>
      </c>
      <c r="L36" s="144">
        <v>3161987.5</v>
      </c>
      <c r="M36" s="143">
        <v>372023</v>
      </c>
      <c r="N36" s="133">
        <f t="shared" si="2"/>
        <v>8.499440894783387</v>
      </c>
      <c r="O36" s="147">
        <v>1</v>
      </c>
      <c r="P36" s="341"/>
      <c r="Q36" s="83"/>
      <c r="R36" s="83"/>
      <c r="S36" s="83"/>
      <c r="T36" s="83"/>
    </row>
    <row r="37" spans="1:20" ht="12" customHeight="1">
      <c r="A37" s="290">
        <v>33</v>
      </c>
      <c r="B37" s="151" t="s">
        <v>272</v>
      </c>
      <c r="C37" s="139">
        <v>40137</v>
      </c>
      <c r="D37" s="140" t="s">
        <v>221</v>
      </c>
      <c r="E37" s="146">
        <v>149</v>
      </c>
      <c r="F37" s="146">
        <v>9</v>
      </c>
      <c r="G37" s="146">
        <v>7</v>
      </c>
      <c r="H37" s="150">
        <v>27101.5</v>
      </c>
      <c r="I37" s="152">
        <v>4448</v>
      </c>
      <c r="J37" s="129">
        <f aca="true" t="shared" si="3" ref="J37:J68">I37/F37</f>
        <v>494.22222222222223</v>
      </c>
      <c r="K37" s="130">
        <f t="shared" si="1"/>
        <v>6.092963129496403</v>
      </c>
      <c r="L37" s="154">
        <v>3103393</v>
      </c>
      <c r="M37" s="153">
        <v>360904</v>
      </c>
      <c r="N37" s="133">
        <f aca="true" t="shared" si="4" ref="N37:N68">+L37/M37</f>
        <v>8.598943209274488</v>
      </c>
      <c r="O37" s="147"/>
      <c r="P37" s="341"/>
      <c r="Q37" s="83"/>
      <c r="R37" s="83"/>
      <c r="S37" s="83"/>
      <c r="T37" s="83"/>
    </row>
    <row r="38" spans="1:20" ht="12" customHeight="1">
      <c r="A38" s="290">
        <v>34</v>
      </c>
      <c r="B38" s="151" t="s">
        <v>272</v>
      </c>
      <c r="C38" s="139">
        <v>40137</v>
      </c>
      <c r="D38" s="140" t="s">
        <v>221</v>
      </c>
      <c r="E38" s="146">
        <v>149</v>
      </c>
      <c r="F38" s="146">
        <v>10</v>
      </c>
      <c r="G38" s="146">
        <v>9</v>
      </c>
      <c r="H38" s="150">
        <v>17098.5</v>
      </c>
      <c r="I38" s="152">
        <v>3701</v>
      </c>
      <c r="J38" s="129">
        <f t="shared" si="3"/>
        <v>370.1</v>
      </c>
      <c r="K38" s="130">
        <f t="shared" si="1"/>
        <v>4.619967576330722</v>
      </c>
      <c r="L38" s="154">
        <v>3130396</v>
      </c>
      <c r="M38" s="153">
        <v>366723</v>
      </c>
      <c r="N38" s="133">
        <f t="shared" si="4"/>
        <v>8.536132176056588</v>
      </c>
      <c r="O38" s="147">
        <v>1</v>
      </c>
      <c r="P38" s="341"/>
      <c r="Q38" s="83"/>
      <c r="R38" s="83"/>
      <c r="S38" s="83"/>
      <c r="T38" s="83"/>
    </row>
    <row r="39" spans="1:20" ht="12" customHeight="1">
      <c r="A39" s="290">
        <v>35</v>
      </c>
      <c r="B39" s="151" t="s">
        <v>272</v>
      </c>
      <c r="C39" s="139">
        <v>40137</v>
      </c>
      <c r="D39" s="140" t="s">
        <v>221</v>
      </c>
      <c r="E39" s="146">
        <v>149</v>
      </c>
      <c r="F39" s="146">
        <v>9</v>
      </c>
      <c r="G39" s="146">
        <v>8</v>
      </c>
      <c r="H39" s="150">
        <v>9904.5</v>
      </c>
      <c r="I39" s="152">
        <v>2118</v>
      </c>
      <c r="J39" s="129">
        <f t="shared" si="3"/>
        <v>235.33333333333334</v>
      </c>
      <c r="K39" s="130">
        <f t="shared" si="1"/>
        <v>4.676345609065156</v>
      </c>
      <c r="L39" s="154">
        <v>3113297.5</v>
      </c>
      <c r="M39" s="153">
        <v>363022</v>
      </c>
      <c r="N39" s="133">
        <f t="shared" si="4"/>
        <v>8.57605737393326</v>
      </c>
      <c r="O39" s="149"/>
      <c r="P39" s="341"/>
      <c r="Q39" s="83"/>
      <c r="R39" s="83"/>
      <c r="S39" s="83"/>
      <c r="T39" s="83"/>
    </row>
    <row r="40" spans="1:20" ht="12" customHeight="1">
      <c r="A40" s="290">
        <v>36</v>
      </c>
      <c r="B40" s="123" t="s">
        <v>272</v>
      </c>
      <c r="C40" s="139">
        <v>40137</v>
      </c>
      <c r="D40" s="155" t="s">
        <v>221</v>
      </c>
      <c r="E40" s="156">
        <v>149</v>
      </c>
      <c r="F40" s="156">
        <v>3</v>
      </c>
      <c r="G40" s="156">
        <v>17</v>
      </c>
      <c r="H40" s="157">
        <v>8569</v>
      </c>
      <c r="I40" s="158">
        <v>1096</v>
      </c>
      <c r="J40" s="129">
        <f t="shared" si="3"/>
        <v>365.3333333333333</v>
      </c>
      <c r="K40" s="130">
        <f t="shared" si="1"/>
        <v>7.818430656934306</v>
      </c>
      <c r="L40" s="154">
        <v>3155497.5</v>
      </c>
      <c r="M40" s="153">
        <v>370740</v>
      </c>
      <c r="N40" s="133">
        <f t="shared" si="4"/>
        <v>8.511348923774074</v>
      </c>
      <c r="O40" s="149"/>
      <c r="P40" s="341"/>
      <c r="Q40" s="83"/>
      <c r="R40" s="83"/>
      <c r="S40" s="83"/>
      <c r="T40" s="83"/>
    </row>
    <row r="41" spans="1:20" ht="12" customHeight="1">
      <c r="A41" s="290">
        <v>37</v>
      </c>
      <c r="B41" s="151" t="s">
        <v>272</v>
      </c>
      <c r="C41" s="139">
        <v>40137</v>
      </c>
      <c r="D41" s="155" t="s">
        <v>221</v>
      </c>
      <c r="E41" s="146">
        <v>149</v>
      </c>
      <c r="F41" s="146">
        <v>1</v>
      </c>
      <c r="G41" s="146">
        <v>14</v>
      </c>
      <c r="H41" s="150">
        <v>8232.5</v>
      </c>
      <c r="I41" s="152">
        <v>1373</v>
      </c>
      <c r="J41" s="129">
        <f t="shared" si="3"/>
        <v>1373</v>
      </c>
      <c r="K41" s="130">
        <f t="shared" si="1"/>
        <v>5.995994173343044</v>
      </c>
      <c r="L41" s="154">
        <v>3142997</v>
      </c>
      <c r="M41" s="153">
        <v>368955</v>
      </c>
      <c r="N41" s="133">
        <f t="shared" si="4"/>
        <v>8.518645905327208</v>
      </c>
      <c r="O41" s="147">
        <v>1</v>
      </c>
      <c r="P41" s="341"/>
      <c r="Q41" s="83"/>
      <c r="R41" s="83"/>
      <c r="S41" s="83"/>
      <c r="T41" s="83"/>
    </row>
    <row r="42" spans="1:20" ht="12" customHeight="1">
      <c r="A42" s="290">
        <v>38</v>
      </c>
      <c r="B42" s="123" t="s">
        <v>272</v>
      </c>
      <c r="C42" s="124">
        <v>40137</v>
      </c>
      <c r="D42" s="155" t="s">
        <v>221</v>
      </c>
      <c r="E42" s="126">
        <v>149</v>
      </c>
      <c r="F42" s="126">
        <v>1</v>
      </c>
      <c r="G42" s="126">
        <v>16</v>
      </c>
      <c r="H42" s="127">
        <v>2013.5</v>
      </c>
      <c r="I42" s="128">
        <v>370</v>
      </c>
      <c r="J42" s="129">
        <f t="shared" si="3"/>
        <v>370</v>
      </c>
      <c r="K42" s="130">
        <f t="shared" si="1"/>
        <v>5.441891891891892</v>
      </c>
      <c r="L42" s="131">
        <v>3146928.5</v>
      </c>
      <c r="M42" s="132">
        <v>369644</v>
      </c>
      <c r="N42" s="133">
        <f t="shared" si="4"/>
        <v>8.513403436820292</v>
      </c>
      <c r="O42" s="147"/>
      <c r="P42" s="341"/>
      <c r="Q42" s="83"/>
      <c r="R42" s="83"/>
      <c r="S42" s="83"/>
      <c r="T42" s="83"/>
    </row>
    <row r="43" spans="1:20" ht="12" customHeight="1">
      <c r="A43" s="290">
        <v>39</v>
      </c>
      <c r="B43" s="151" t="s">
        <v>272</v>
      </c>
      <c r="C43" s="139">
        <v>40137</v>
      </c>
      <c r="D43" s="155" t="s">
        <v>221</v>
      </c>
      <c r="E43" s="146">
        <v>149</v>
      </c>
      <c r="F43" s="146">
        <v>1</v>
      </c>
      <c r="G43" s="146">
        <v>13</v>
      </c>
      <c r="H43" s="150">
        <v>1987</v>
      </c>
      <c r="I43" s="152">
        <v>399</v>
      </c>
      <c r="J43" s="129">
        <f t="shared" si="3"/>
        <v>399</v>
      </c>
      <c r="K43" s="130">
        <f t="shared" si="1"/>
        <v>4.979949874686716</v>
      </c>
      <c r="L43" s="154">
        <v>3134764.5</v>
      </c>
      <c r="M43" s="153">
        <v>367582</v>
      </c>
      <c r="N43" s="133">
        <f t="shared" si="4"/>
        <v>8.52806856701362</v>
      </c>
      <c r="O43" s="147"/>
      <c r="P43" s="341"/>
      <c r="Q43" s="83"/>
      <c r="R43" s="83"/>
      <c r="S43" s="83"/>
      <c r="T43" s="83"/>
    </row>
    <row r="44" spans="1:20" ht="12" customHeight="1">
      <c r="A44" s="290">
        <v>40</v>
      </c>
      <c r="B44" s="151" t="s">
        <v>272</v>
      </c>
      <c r="C44" s="139">
        <v>40137</v>
      </c>
      <c r="D44" s="140" t="s">
        <v>221</v>
      </c>
      <c r="E44" s="156">
        <v>149</v>
      </c>
      <c r="F44" s="156">
        <v>1</v>
      </c>
      <c r="G44" s="156">
        <v>15</v>
      </c>
      <c r="H44" s="157">
        <v>1918</v>
      </c>
      <c r="I44" s="158">
        <v>319</v>
      </c>
      <c r="J44" s="129">
        <f t="shared" si="3"/>
        <v>319</v>
      </c>
      <c r="K44" s="130">
        <f t="shared" si="1"/>
        <v>6.012539184952978</v>
      </c>
      <c r="L44" s="154">
        <v>3144915</v>
      </c>
      <c r="M44" s="153">
        <v>369274</v>
      </c>
      <c r="N44" s="133">
        <f t="shared" si="4"/>
        <v>8.51648098701777</v>
      </c>
      <c r="O44" s="147"/>
      <c r="P44" s="341"/>
      <c r="Q44" s="83"/>
      <c r="R44" s="83"/>
      <c r="S44" s="83"/>
      <c r="T44" s="83"/>
    </row>
    <row r="45" spans="1:20" ht="12" customHeight="1">
      <c r="A45" s="290">
        <v>41</v>
      </c>
      <c r="B45" s="151" t="s">
        <v>272</v>
      </c>
      <c r="C45" s="139">
        <v>40137</v>
      </c>
      <c r="D45" s="155" t="s">
        <v>221</v>
      </c>
      <c r="E45" s="146">
        <v>149</v>
      </c>
      <c r="F45" s="146">
        <v>1</v>
      </c>
      <c r="G45" s="146">
        <v>12</v>
      </c>
      <c r="H45" s="141">
        <v>1725.5</v>
      </c>
      <c r="I45" s="142">
        <v>350</v>
      </c>
      <c r="J45" s="129">
        <f t="shared" si="3"/>
        <v>350</v>
      </c>
      <c r="K45" s="130">
        <f t="shared" si="1"/>
        <v>4.93</v>
      </c>
      <c r="L45" s="144">
        <v>3132777.5</v>
      </c>
      <c r="M45" s="143">
        <v>367183</v>
      </c>
      <c r="N45" s="133">
        <f t="shared" si="4"/>
        <v>8.531924135921326</v>
      </c>
      <c r="O45" s="147">
        <v>1</v>
      </c>
      <c r="P45" s="341"/>
      <c r="Q45" s="83"/>
      <c r="R45" s="83"/>
      <c r="S45" s="83"/>
      <c r="T45" s="83"/>
    </row>
    <row r="46" spans="1:20" ht="12" customHeight="1">
      <c r="A46" s="290">
        <v>42</v>
      </c>
      <c r="B46" s="123" t="s">
        <v>272</v>
      </c>
      <c r="C46" s="139">
        <v>40137</v>
      </c>
      <c r="D46" s="125" t="s">
        <v>221</v>
      </c>
      <c r="E46" s="146">
        <v>149</v>
      </c>
      <c r="F46" s="146">
        <v>1</v>
      </c>
      <c r="G46" s="146">
        <v>21</v>
      </c>
      <c r="H46" s="141">
        <v>1188</v>
      </c>
      <c r="I46" s="142">
        <v>271</v>
      </c>
      <c r="J46" s="129">
        <f t="shared" si="3"/>
        <v>271</v>
      </c>
      <c r="K46" s="130">
        <f t="shared" si="1"/>
        <v>4.3837638376383765</v>
      </c>
      <c r="L46" s="144">
        <v>3163175.5</v>
      </c>
      <c r="M46" s="143">
        <v>372294</v>
      </c>
      <c r="N46" s="133">
        <f t="shared" si="4"/>
        <v>8.496445013886875</v>
      </c>
      <c r="O46" s="108"/>
      <c r="P46" s="341"/>
      <c r="Q46" s="83"/>
      <c r="R46" s="83"/>
      <c r="S46" s="83"/>
      <c r="T46" s="83"/>
    </row>
    <row r="47" spans="1:20" ht="12" customHeight="1">
      <c r="A47" s="290">
        <v>43</v>
      </c>
      <c r="B47" s="161" t="s">
        <v>272</v>
      </c>
      <c r="C47" s="139">
        <v>40137</v>
      </c>
      <c r="D47" s="145" t="s">
        <v>221</v>
      </c>
      <c r="E47" s="146">
        <v>149</v>
      </c>
      <c r="F47" s="146">
        <v>1</v>
      </c>
      <c r="G47" s="146">
        <v>18</v>
      </c>
      <c r="H47" s="150">
        <v>1188</v>
      </c>
      <c r="I47" s="152">
        <v>238</v>
      </c>
      <c r="J47" s="129">
        <f t="shared" si="3"/>
        <v>238</v>
      </c>
      <c r="K47" s="130">
        <f t="shared" si="1"/>
        <v>4.991596638655462</v>
      </c>
      <c r="L47" s="154">
        <v>3156685.5</v>
      </c>
      <c r="M47" s="153">
        <v>370978</v>
      </c>
      <c r="N47" s="133">
        <f t="shared" si="4"/>
        <v>8.509090835575156</v>
      </c>
      <c r="O47" s="159"/>
      <c r="P47" s="341"/>
      <c r="Q47" s="83"/>
      <c r="R47" s="83"/>
      <c r="S47" s="83"/>
      <c r="T47" s="83"/>
    </row>
    <row r="48" spans="1:20" ht="12" customHeight="1">
      <c r="A48" s="290">
        <v>44</v>
      </c>
      <c r="B48" s="151" t="s">
        <v>272</v>
      </c>
      <c r="C48" s="139">
        <v>40137</v>
      </c>
      <c r="D48" s="155" t="s">
        <v>221</v>
      </c>
      <c r="E48" s="146">
        <v>149</v>
      </c>
      <c r="F48" s="146">
        <v>1</v>
      </c>
      <c r="G48" s="146">
        <v>11</v>
      </c>
      <c r="H48" s="141">
        <v>656</v>
      </c>
      <c r="I48" s="142">
        <v>110</v>
      </c>
      <c r="J48" s="129">
        <f t="shared" si="3"/>
        <v>110</v>
      </c>
      <c r="K48" s="130">
        <f t="shared" si="1"/>
        <v>5.963636363636364</v>
      </c>
      <c r="L48" s="144">
        <v>3131052</v>
      </c>
      <c r="M48" s="143">
        <v>366833</v>
      </c>
      <c r="N48" s="133">
        <f t="shared" si="4"/>
        <v>8.535360777247412</v>
      </c>
      <c r="O48" s="149"/>
      <c r="P48" s="341"/>
      <c r="Q48" s="83"/>
      <c r="R48" s="83"/>
      <c r="S48" s="83"/>
      <c r="T48" s="83"/>
    </row>
    <row r="49" spans="1:20" ht="12" customHeight="1">
      <c r="A49" s="290">
        <v>45</v>
      </c>
      <c r="B49" s="123" t="s">
        <v>157</v>
      </c>
      <c r="C49" s="124">
        <v>40151</v>
      </c>
      <c r="D49" s="155" t="s">
        <v>423</v>
      </c>
      <c r="E49" s="126">
        <v>140</v>
      </c>
      <c r="F49" s="126">
        <v>19</v>
      </c>
      <c r="G49" s="126">
        <v>7</v>
      </c>
      <c r="H49" s="162">
        <v>16570</v>
      </c>
      <c r="I49" s="163">
        <v>2937</v>
      </c>
      <c r="J49" s="129">
        <f t="shared" si="3"/>
        <v>154.57894736842104</v>
      </c>
      <c r="K49" s="130">
        <f t="shared" si="1"/>
        <v>5.64181137214845</v>
      </c>
      <c r="L49" s="164">
        <v>1036414</v>
      </c>
      <c r="M49" s="143">
        <v>132115</v>
      </c>
      <c r="N49" s="133">
        <f t="shared" si="4"/>
        <v>7.844786738826023</v>
      </c>
      <c r="O49" s="149"/>
      <c r="P49" s="341"/>
      <c r="Q49" s="83"/>
      <c r="R49" s="83"/>
      <c r="S49" s="83"/>
      <c r="T49" s="83"/>
    </row>
    <row r="50" spans="1:20" ht="12" customHeight="1">
      <c r="A50" s="290">
        <v>46</v>
      </c>
      <c r="B50" s="123" t="s">
        <v>158</v>
      </c>
      <c r="C50" s="124">
        <v>40151</v>
      </c>
      <c r="D50" s="155" t="s">
        <v>423</v>
      </c>
      <c r="E50" s="126">
        <v>140</v>
      </c>
      <c r="F50" s="126">
        <v>18</v>
      </c>
      <c r="G50" s="126">
        <v>6</v>
      </c>
      <c r="H50" s="162">
        <v>9901</v>
      </c>
      <c r="I50" s="165">
        <v>1541</v>
      </c>
      <c r="J50" s="129">
        <f t="shared" si="3"/>
        <v>85.61111111111111</v>
      </c>
      <c r="K50" s="130">
        <f t="shared" si="1"/>
        <v>6.425048669695003</v>
      </c>
      <c r="L50" s="164">
        <v>1019844</v>
      </c>
      <c r="M50" s="153">
        <v>129178</v>
      </c>
      <c r="N50" s="133">
        <f t="shared" si="4"/>
        <v>7.894873740110545</v>
      </c>
      <c r="O50" s="160"/>
      <c r="P50" s="341"/>
      <c r="Q50" s="83"/>
      <c r="R50" s="83"/>
      <c r="S50" s="83"/>
      <c r="T50" s="83"/>
    </row>
    <row r="51" spans="1:20" ht="12" customHeight="1">
      <c r="A51" s="290">
        <v>47</v>
      </c>
      <c r="B51" s="123" t="s">
        <v>158</v>
      </c>
      <c r="C51" s="124">
        <v>40151</v>
      </c>
      <c r="D51" s="134" t="s">
        <v>423</v>
      </c>
      <c r="E51" s="126">
        <v>140</v>
      </c>
      <c r="F51" s="126">
        <v>15</v>
      </c>
      <c r="G51" s="126">
        <v>5</v>
      </c>
      <c r="H51" s="162">
        <v>6903</v>
      </c>
      <c r="I51" s="165">
        <v>1187</v>
      </c>
      <c r="J51" s="129">
        <f t="shared" si="3"/>
        <v>79.13333333333334</v>
      </c>
      <c r="K51" s="130">
        <f t="shared" si="1"/>
        <v>5.815501263689975</v>
      </c>
      <c r="L51" s="164">
        <v>1009943</v>
      </c>
      <c r="M51" s="153">
        <v>127637</v>
      </c>
      <c r="N51" s="133">
        <f t="shared" si="4"/>
        <v>7.9126193815273</v>
      </c>
      <c r="O51" s="108"/>
      <c r="P51" s="341"/>
      <c r="Q51" s="83"/>
      <c r="R51" s="83"/>
      <c r="S51" s="83"/>
      <c r="T51" s="83"/>
    </row>
    <row r="52" spans="1:20" ht="12" customHeight="1">
      <c r="A52" s="290">
        <v>48</v>
      </c>
      <c r="B52" s="151" t="s">
        <v>157</v>
      </c>
      <c r="C52" s="139">
        <v>40151</v>
      </c>
      <c r="D52" s="155" t="s">
        <v>423</v>
      </c>
      <c r="E52" s="146">
        <v>140</v>
      </c>
      <c r="F52" s="146">
        <v>1</v>
      </c>
      <c r="G52" s="146">
        <v>11</v>
      </c>
      <c r="H52" s="150">
        <v>1761</v>
      </c>
      <c r="I52" s="152">
        <v>501</v>
      </c>
      <c r="J52" s="129">
        <f t="shared" si="3"/>
        <v>501</v>
      </c>
      <c r="K52" s="130">
        <f t="shared" si="1"/>
        <v>3.5149700598802394</v>
      </c>
      <c r="L52" s="154">
        <v>1040676.5</v>
      </c>
      <c r="M52" s="153">
        <v>133177</v>
      </c>
      <c r="N52" s="133">
        <f t="shared" si="4"/>
        <v>7.8142359416415745</v>
      </c>
      <c r="O52" s="149"/>
      <c r="P52" s="341"/>
      <c r="Q52" s="83"/>
      <c r="R52" s="83"/>
      <c r="S52" s="83"/>
      <c r="T52" s="83"/>
    </row>
    <row r="53" spans="1:20" ht="12" customHeight="1">
      <c r="A53" s="290">
        <v>49</v>
      </c>
      <c r="B53" s="151" t="s">
        <v>158</v>
      </c>
      <c r="C53" s="139">
        <v>40151</v>
      </c>
      <c r="D53" s="155" t="s">
        <v>423</v>
      </c>
      <c r="E53" s="146">
        <v>140</v>
      </c>
      <c r="F53" s="146">
        <v>3</v>
      </c>
      <c r="G53" s="146">
        <v>9</v>
      </c>
      <c r="H53" s="141">
        <v>1435.5</v>
      </c>
      <c r="I53" s="142">
        <v>375</v>
      </c>
      <c r="J53" s="129">
        <f t="shared" si="3"/>
        <v>125</v>
      </c>
      <c r="K53" s="130">
        <f t="shared" si="1"/>
        <v>3.828</v>
      </c>
      <c r="L53" s="144">
        <v>1038795.5</v>
      </c>
      <c r="M53" s="143">
        <v>132664</v>
      </c>
      <c r="N53" s="133">
        <f t="shared" si="4"/>
        <v>7.830274226617621</v>
      </c>
      <c r="O53" s="147">
        <v>1</v>
      </c>
      <c r="P53" s="341"/>
      <c r="Q53" s="83"/>
      <c r="R53" s="83"/>
      <c r="S53" s="83"/>
      <c r="T53" s="83"/>
    </row>
    <row r="54" spans="1:20" ht="12" customHeight="1">
      <c r="A54" s="290">
        <v>50</v>
      </c>
      <c r="B54" s="123" t="s">
        <v>158</v>
      </c>
      <c r="C54" s="139">
        <v>40151</v>
      </c>
      <c r="D54" s="125" t="s">
        <v>449</v>
      </c>
      <c r="E54" s="146">
        <v>140</v>
      </c>
      <c r="F54" s="146">
        <v>1</v>
      </c>
      <c r="G54" s="146">
        <v>13</v>
      </c>
      <c r="H54" s="141">
        <v>1188</v>
      </c>
      <c r="I54" s="142">
        <v>238</v>
      </c>
      <c r="J54" s="129">
        <f t="shared" si="3"/>
        <v>238</v>
      </c>
      <c r="K54" s="130">
        <f t="shared" si="1"/>
        <v>4.991596638655462</v>
      </c>
      <c r="L54" s="144">
        <f>1040676.5+H54</f>
        <v>1041864.5</v>
      </c>
      <c r="M54" s="143">
        <f>133177+J54</f>
        <v>133415</v>
      </c>
      <c r="N54" s="133">
        <f t="shared" si="4"/>
        <v>7.809200614623543</v>
      </c>
      <c r="O54" s="149"/>
      <c r="P54" s="341"/>
      <c r="Q54" s="83"/>
      <c r="R54" s="83"/>
      <c r="S54" s="83"/>
      <c r="T54" s="83"/>
    </row>
    <row r="55" spans="1:20" ht="12" customHeight="1">
      <c r="A55" s="290">
        <v>51</v>
      </c>
      <c r="B55" s="151" t="s">
        <v>158</v>
      </c>
      <c r="C55" s="139">
        <v>40151</v>
      </c>
      <c r="D55" s="140" t="s">
        <v>423</v>
      </c>
      <c r="E55" s="146">
        <v>140</v>
      </c>
      <c r="F55" s="146">
        <v>3</v>
      </c>
      <c r="G55" s="146">
        <v>8</v>
      </c>
      <c r="H55" s="137">
        <v>946</v>
      </c>
      <c r="I55" s="135">
        <v>174</v>
      </c>
      <c r="J55" s="129">
        <f t="shared" si="3"/>
        <v>58</v>
      </c>
      <c r="K55" s="130">
        <f t="shared" si="1"/>
        <v>5.436781609195402</v>
      </c>
      <c r="L55" s="138">
        <v>1037360</v>
      </c>
      <c r="M55" s="136">
        <v>132289</v>
      </c>
      <c r="N55" s="133">
        <f t="shared" si="4"/>
        <v>7.841619484613233</v>
      </c>
      <c r="O55" s="108"/>
      <c r="P55" s="341"/>
      <c r="Q55" s="83"/>
      <c r="R55" s="83"/>
      <c r="S55" s="83"/>
      <c r="T55" s="83"/>
    </row>
    <row r="56" spans="1:20" ht="12" customHeight="1">
      <c r="A56" s="290">
        <v>52</v>
      </c>
      <c r="B56" s="151" t="s">
        <v>157</v>
      </c>
      <c r="C56" s="139">
        <v>40151</v>
      </c>
      <c r="D56" s="155" t="s">
        <v>423</v>
      </c>
      <c r="E56" s="146">
        <v>140</v>
      </c>
      <c r="F56" s="146">
        <v>1</v>
      </c>
      <c r="G56" s="146">
        <v>10</v>
      </c>
      <c r="H56" s="141">
        <v>120</v>
      </c>
      <c r="I56" s="142">
        <v>12</v>
      </c>
      <c r="J56" s="129">
        <f t="shared" si="3"/>
        <v>12</v>
      </c>
      <c r="K56" s="130">
        <f t="shared" si="1"/>
        <v>10</v>
      </c>
      <c r="L56" s="144">
        <v>1038915.5</v>
      </c>
      <c r="M56" s="143">
        <v>132676</v>
      </c>
      <c r="N56" s="133">
        <f t="shared" si="4"/>
        <v>7.830470469414212</v>
      </c>
      <c r="O56" s="149"/>
      <c r="P56" s="341"/>
      <c r="Q56" s="83"/>
      <c r="R56" s="83"/>
      <c r="S56" s="83"/>
      <c r="T56" s="83"/>
    </row>
    <row r="57" spans="1:20" ht="12" customHeight="1">
      <c r="A57" s="290">
        <v>53</v>
      </c>
      <c r="B57" s="123" t="s">
        <v>159</v>
      </c>
      <c r="C57" s="139">
        <v>40088</v>
      </c>
      <c r="D57" s="155" t="s">
        <v>221</v>
      </c>
      <c r="E57" s="156">
        <v>25</v>
      </c>
      <c r="F57" s="156">
        <v>2</v>
      </c>
      <c r="G57" s="156">
        <v>11</v>
      </c>
      <c r="H57" s="157">
        <v>2376</v>
      </c>
      <c r="I57" s="158">
        <v>475</v>
      </c>
      <c r="J57" s="129">
        <f t="shared" si="3"/>
        <v>237.5</v>
      </c>
      <c r="K57" s="130">
        <f t="shared" si="1"/>
        <v>5.002105263157895</v>
      </c>
      <c r="L57" s="154">
        <v>45554.25</v>
      </c>
      <c r="M57" s="153">
        <v>7695</v>
      </c>
      <c r="N57" s="133">
        <f t="shared" si="4"/>
        <v>5.919980506822612</v>
      </c>
      <c r="O57" s="166"/>
      <c r="P57" s="341"/>
      <c r="Q57" s="83"/>
      <c r="R57" s="83"/>
      <c r="S57" s="83"/>
      <c r="T57" s="83"/>
    </row>
    <row r="58" spans="1:20" ht="12" customHeight="1">
      <c r="A58" s="290">
        <v>54</v>
      </c>
      <c r="B58" s="151" t="s">
        <v>159</v>
      </c>
      <c r="C58" s="139">
        <v>40088</v>
      </c>
      <c r="D58" s="155" t="s">
        <v>221</v>
      </c>
      <c r="E58" s="146">
        <v>25</v>
      </c>
      <c r="F58" s="146">
        <v>1</v>
      </c>
      <c r="G58" s="146">
        <v>9</v>
      </c>
      <c r="H58" s="141">
        <v>1782</v>
      </c>
      <c r="I58" s="142">
        <v>356</v>
      </c>
      <c r="J58" s="129">
        <f t="shared" si="3"/>
        <v>356</v>
      </c>
      <c r="K58" s="130">
        <f t="shared" si="1"/>
        <v>5.00561797752809</v>
      </c>
      <c r="L58" s="144">
        <v>41396.25</v>
      </c>
      <c r="M58" s="143">
        <v>6864</v>
      </c>
      <c r="N58" s="133">
        <f t="shared" si="4"/>
        <v>6.0309222027972025</v>
      </c>
      <c r="O58" s="108"/>
      <c r="P58" s="341"/>
      <c r="Q58" s="83"/>
      <c r="R58" s="83"/>
      <c r="S58" s="83"/>
      <c r="T58" s="83"/>
    </row>
    <row r="59" spans="1:20" ht="12" customHeight="1">
      <c r="A59" s="290">
        <v>55</v>
      </c>
      <c r="B59" s="151" t="s">
        <v>160</v>
      </c>
      <c r="C59" s="139">
        <v>40165</v>
      </c>
      <c r="D59" s="145" t="s">
        <v>326</v>
      </c>
      <c r="E59" s="146">
        <v>74</v>
      </c>
      <c r="F59" s="146">
        <v>63</v>
      </c>
      <c r="G59" s="146">
        <v>3</v>
      </c>
      <c r="H59" s="127">
        <v>124291.75</v>
      </c>
      <c r="I59" s="128">
        <v>14864</v>
      </c>
      <c r="J59" s="129">
        <f t="shared" si="3"/>
        <v>235.93650793650792</v>
      </c>
      <c r="K59" s="130">
        <f t="shared" si="1"/>
        <v>8.361931512378902</v>
      </c>
      <c r="L59" s="131">
        <f>507128.25+345268.5+124291.75</f>
        <v>976688.5</v>
      </c>
      <c r="M59" s="132">
        <f>53408+37346+14864</f>
        <v>105618</v>
      </c>
      <c r="N59" s="133">
        <f t="shared" si="4"/>
        <v>9.247367872900453</v>
      </c>
      <c r="O59" s="148"/>
      <c r="P59" s="341"/>
      <c r="Q59" s="83"/>
      <c r="R59" s="83"/>
      <c r="S59" s="83"/>
      <c r="T59" s="83"/>
    </row>
    <row r="60" spans="1:20" ht="12" customHeight="1">
      <c r="A60" s="290">
        <v>56</v>
      </c>
      <c r="B60" s="151" t="s">
        <v>160</v>
      </c>
      <c r="C60" s="139">
        <v>40165</v>
      </c>
      <c r="D60" s="145" t="s">
        <v>326</v>
      </c>
      <c r="E60" s="146">
        <v>74</v>
      </c>
      <c r="F60" s="146">
        <v>74</v>
      </c>
      <c r="G60" s="146">
        <v>4</v>
      </c>
      <c r="H60" s="127">
        <v>100787</v>
      </c>
      <c r="I60" s="128">
        <v>15043</v>
      </c>
      <c r="J60" s="129">
        <f t="shared" si="3"/>
        <v>203.28378378378378</v>
      </c>
      <c r="K60" s="130">
        <f t="shared" si="1"/>
        <v>6.699926876287974</v>
      </c>
      <c r="L60" s="131">
        <f>507128.25+345268.5+124291.75+100787</f>
        <v>1077475.5</v>
      </c>
      <c r="M60" s="132">
        <f>53408+37346+14864+15043</f>
        <v>120661</v>
      </c>
      <c r="N60" s="133">
        <f t="shared" si="4"/>
        <v>8.929774326418643</v>
      </c>
      <c r="O60" s="149"/>
      <c r="P60" s="341"/>
      <c r="Q60" s="83"/>
      <c r="R60" s="83"/>
      <c r="S60" s="83"/>
      <c r="T60" s="83"/>
    </row>
    <row r="61" spans="1:20" ht="12" customHeight="1">
      <c r="A61" s="290">
        <v>57</v>
      </c>
      <c r="B61" s="167" t="s">
        <v>160</v>
      </c>
      <c r="C61" s="168">
        <v>40165</v>
      </c>
      <c r="D61" s="145" t="s">
        <v>326</v>
      </c>
      <c r="E61" s="169">
        <v>74</v>
      </c>
      <c r="F61" s="169">
        <v>53</v>
      </c>
      <c r="G61" s="169">
        <v>5</v>
      </c>
      <c r="H61" s="127">
        <v>70944</v>
      </c>
      <c r="I61" s="135">
        <v>11010</v>
      </c>
      <c r="J61" s="129">
        <f t="shared" si="3"/>
        <v>207.73584905660377</v>
      </c>
      <c r="K61" s="130">
        <f t="shared" si="1"/>
        <v>6.443596730245232</v>
      </c>
      <c r="L61" s="131">
        <f>507128.25+345268.5+124291.75+100787+70944</f>
        <v>1148419.5</v>
      </c>
      <c r="M61" s="136">
        <f>53408+37346+14864+15043+11010</f>
        <v>131671</v>
      </c>
      <c r="N61" s="133">
        <f t="shared" si="4"/>
        <v>8.72188636829674</v>
      </c>
      <c r="O61" s="149"/>
      <c r="P61" s="341"/>
      <c r="Q61" s="83"/>
      <c r="R61" s="83"/>
      <c r="S61" s="83"/>
      <c r="T61" s="83"/>
    </row>
    <row r="62" spans="1:20" ht="12" customHeight="1">
      <c r="A62" s="290">
        <v>58</v>
      </c>
      <c r="B62" s="151" t="s">
        <v>161</v>
      </c>
      <c r="C62" s="139">
        <v>40165</v>
      </c>
      <c r="D62" s="145" t="s">
        <v>326</v>
      </c>
      <c r="E62" s="146">
        <v>74</v>
      </c>
      <c r="F62" s="146">
        <v>21</v>
      </c>
      <c r="G62" s="146">
        <v>6</v>
      </c>
      <c r="H62" s="137">
        <v>12241</v>
      </c>
      <c r="I62" s="135">
        <v>2268</v>
      </c>
      <c r="J62" s="129">
        <f t="shared" si="3"/>
        <v>108</v>
      </c>
      <c r="K62" s="130">
        <f t="shared" si="1"/>
        <v>5.39726631393298</v>
      </c>
      <c r="L62" s="138">
        <f>507128.25+345268.5+124291.75+100787+70944+12241</f>
        <v>1160660.5</v>
      </c>
      <c r="M62" s="136">
        <f>53408+37346+14864+15043+11010+2268</f>
        <v>133939</v>
      </c>
      <c r="N62" s="133">
        <f t="shared" si="4"/>
        <v>8.665590306034836</v>
      </c>
      <c r="O62" s="108"/>
      <c r="P62" s="341"/>
      <c r="Q62" s="83"/>
      <c r="R62" s="83"/>
      <c r="S62" s="83"/>
      <c r="T62" s="83"/>
    </row>
    <row r="63" spans="1:20" ht="12" customHeight="1">
      <c r="A63" s="290">
        <v>59</v>
      </c>
      <c r="B63" s="167" t="s">
        <v>160</v>
      </c>
      <c r="C63" s="168">
        <v>40165</v>
      </c>
      <c r="D63" s="145" t="s">
        <v>326</v>
      </c>
      <c r="E63" s="169">
        <v>74</v>
      </c>
      <c r="F63" s="169">
        <v>15</v>
      </c>
      <c r="G63" s="169">
        <v>7</v>
      </c>
      <c r="H63" s="137">
        <v>11639</v>
      </c>
      <c r="I63" s="135">
        <v>2130</v>
      </c>
      <c r="J63" s="129">
        <f t="shared" si="3"/>
        <v>142</v>
      </c>
      <c r="K63" s="130">
        <f t="shared" si="1"/>
        <v>5.464319248826291</v>
      </c>
      <c r="L63" s="138">
        <f>507128.25+345268.5+124291.75+100787+70944+12241+11639</f>
        <v>1172299.5</v>
      </c>
      <c r="M63" s="136">
        <f>53408+37346+14864+15043+11010+2268+2130</f>
        <v>136069</v>
      </c>
      <c r="N63" s="133">
        <f t="shared" si="4"/>
        <v>8.615478176513387</v>
      </c>
      <c r="O63" s="148">
        <v>1</v>
      </c>
      <c r="P63" s="341"/>
      <c r="Q63" s="83"/>
      <c r="R63" s="83"/>
      <c r="S63" s="83"/>
      <c r="T63" s="83"/>
    </row>
    <row r="64" spans="1:20" ht="12" customHeight="1">
      <c r="A64" s="290">
        <v>60</v>
      </c>
      <c r="B64" s="151" t="s">
        <v>160</v>
      </c>
      <c r="C64" s="139">
        <v>40165</v>
      </c>
      <c r="D64" s="145" t="s">
        <v>326</v>
      </c>
      <c r="E64" s="146">
        <v>74</v>
      </c>
      <c r="F64" s="146">
        <v>14</v>
      </c>
      <c r="G64" s="146">
        <v>8</v>
      </c>
      <c r="H64" s="141">
        <v>8352</v>
      </c>
      <c r="I64" s="142">
        <v>1478</v>
      </c>
      <c r="J64" s="129">
        <f t="shared" si="3"/>
        <v>105.57142857142857</v>
      </c>
      <c r="K64" s="130">
        <f t="shared" si="1"/>
        <v>5.650879566982408</v>
      </c>
      <c r="L64" s="144">
        <f>507128.25+345268.5+124291.75+100787+70944+12241+11639+8352</f>
        <v>1180651.5</v>
      </c>
      <c r="M64" s="143">
        <f>53408+37346+14864+15043+11010+2268+2130+1478</f>
        <v>137547</v>
      </c>
      <c r="N64" s="133">
        <f t="shared" si="4"/>
        <v>8.583622325459661</v>
      </c>
      <c r="O64" s="149"/>
      <c r="P64" s="341"/>
      <c r="Q64" s="83"/>
      <c r="R64" s="83"/>
      <c r="S64" s="83"/>
      <c r="T64" s="83"/>
    </row>
    <row r="65" spans="1:20" ht="12" customHeight="1">
      <c r="A65" s="290">
        <v>61</v>
      </c>
      <c r="B65" s="151" t="s">
        <v>160</v>
      </c>
      <c r="C65" s="139">
        <v>40165</v>
      </c>
      <c r="D65" s="145" t="s">
        <v>326</v>
      </c>
      <c r="E65" s="146">
        <v>74</v>
      </c>
      <c r="F65" s="146">
        <v>2</v>
      </c>
      <c r="G65" s="146">
        <v>10</v>
      </c>
      <c r="H65" s="150">
        <v>3277</v>
      </c>
      <c r="I65" s="152">
        <v>598</v>
      </c>
      <c r="J65" s="129">
        <f t="shared" si="3"/>
        <v>299</v>
      </c>
      <c r="K65" s="130">
        <f t="shared" si="1"/>
        <v>5.4799331103678925</v>
      </c>
      <c r="L65" s="154">
        <f>507128.25+345268.5+124291.75+100787+70944+12241+11639+8352+766+3277</f>
        <v>1184694.5</v>
      </c>
      <c r="M65" s="153">
        <f>53408+37346+14864+15043+11010+2268+2130+1478+133+598</f>
        <v>138278</v>
      </c>
      <c r="N65" s="133">
        <f t="shared" si="4"/>
        <v>8.567483619954006</v>
      </c>
      <c r="O65" s="159"/>
      <c r="P65" s="341"/>
      <c r="Q65" s="83"/>
      <c r="R65" s="83"/>
      <c r="S65" s="83"/>
      <c r="T65" s="83"/>
    </row>
    <row r="66" spans="1:20" ht="12" customHeight="1">
      <c r="A66" s="290">
        <v>62</v>
      </c>
      <c r="B66" s="123" t="s">
        <v>160</v>
      </c>
      <c r="C66" s="139">
        <v>40165</v>
      </c>
      <c r="D66" s="145" t="s">
        <v>326</v>
      </c>
      <c r="E66" s="156">
        <v>74</v>
      </c>
      <c r="F66" s="156">
        <v>1</v>
      </c>
      <c r="G66" s="156">
        <v>13</v>
      </c>
      <c r="H66" s="157">
        <v>2376</v>
      </c>
      <c r="I66" s="158">
        <v>594</v>
      </c>
      <c r="J66" s="129">
        <f t="shared" si="3"/>
        <v>594</v>
      </c>
      <c r="K66" s="130">
        <f t="shared" si="1"/>
        <v>4</v>
      </c>
      <c r="L66" s="154">
        <f>507128.25+345268.5+124291.75+100787+70944+12241+11639+8352+766+3277+69+87+2376</f>
        <v>1187226.5</v>
      </c>
      <c r="M66" s="153">
        <f>53408+37346+14864+15043+11010+2268+2130+1478+133+598+23+29+594</f>
        <v>138924</v>
      </c>
      <c r="N66" s="133">
        <f t="shared" si="4"/>
        <v>8.545870403961878</v>
      </c>
      <c r="O66" s="149"/>
      <c r="P66" s="341"/>
      <c r="Q66" s="83"/>
      <c r="R66" s="83"/>
      <c r="S66" s="83"/>
      <c r="T66" s="83"/>
    </row>
    <row r="67" spans="1:20" ht="12" customHeight="1">
      <c r="A67" s="290">
        <v>63</v>
      </c>
      <c r="B67" s="151" t="s">
        <v>160</v>
      </c>
      <c r="C67" s="139">
        <v>40165</v>
      </c>
      <c r="D67" s="145" t="s">
        <v>326</v>
      </c>
      <c r="E67" s="146">
        <v>74</v>
      </c>
      <c r="F67" s="146">
        <v>1</v>
      </c>
      <c r="G67" s="146">
        <v>9</v>
      </c>
      <c r="H67" s="150">
        <v>766</v>
      </c>
      <c r="I67" s="152">
        <v>133</v>
      </c>
      <c r="J67" s="129">
        <f t="shared" si="3"/>
        <v>133</v>
      </c>
      <c r="K67" s="130">
        <f t="shared" si="1"/>
        <v>5.7593984962406015</v>
      </c>
      <c r="L67" s="154">
        <f>507128.25+345268.5+124291.75+100787+70944+12241+11639+8352+766</f>
        <v>1181417.5</v>
      </c>
      <c r="M67" s="153">
        <f>53408+37346+14864+15043+11010+2268+2130+1478+133</f>
        <v>137680</v>
      </c>
      <c r="N67" s="133">
        <f t="shared" si="4"/>
        <v>8.580894102266125</v>
      </c>
      <c r="O67" s="149"/>
      <c r="P67" s="341"/>
      <c r="Q67" s="83"/>
      <c r="R67" s="83"/>
      <c r="S67" s="83"/>
      <c r="T67" s="83"/>
    </row>
    <row r="68" spans="1:20" ht="12" customHeight="1">
      <c r="A68" s="290">
        <v>64</v>
      </c>
      <c r="B68" s="151" t="s">
        <v>160</v>
      </c>
      <c r="C68" s="171">
        <v>40165</v>
      </c>
      <c r="D68" s="145" t="s">
        <v>326</v>
      </c>
      <c r="E68" s="156">
        <v>74</v>
      </c>
      <c r="F68" s="156">
        <v>1</v>
      </c>
      <c r="G68" s="156">
        <v>12</v>
      </c>
      <c r="H68" s="157">
        <v>87</v>
      </c>
      <c r="I68" s="158">
        <v>29</v>
      </c>
      <c r="J68" s="129">
        <f t="shared" si="3"/>
        <v>29</v>
      </c>
      <c r="K68" s="130">
        <f t="shared" si="1"/>
        <v>3</v>
      </c>
      <c r="L68" s="154">
        <f>507128.25+345268.5+124291.75+100787+70944+12241+11639+8352+766+3277+69+87</f>
        <v>1184850.5</v>
      </c>
      <c r="M68" s="153">
        <f>53408+37346+14864+15043+11010+2268+2130+1478+133+598+23+29</f>
        <v>138330</v>
      </c>
      <c r="N68" s="133">
        <f t="shared" si="4"/>
        <v>8.565390732306803</v>
      </c>
      <c r="O68" s="149">
        <v>1</v>
      </c>
      <c r="P68" s="341"/>
      <c r="Q68" s="83"/>
      <c r="R68" s="83"/>
      <c r="S68" s="83"/>
      <c r="T68" s="83"/>
    </row>
    <row r="69" spans="1:20" ht="12" customHeight="1">
      <c r="A69" s="290">
        <v>65</v>
      </c>
      <c r="B69" s="151" t="s">
        <v>160</v>
      </c>
      <c r="C69" s="171">
        <v>40165</v>
      </c>
      <c r="D69" s="145" t="s">
        <v>326</v>
      </c>
      <c r="E69" s="156">
        <v>74</v>
      </c>
      <c r="F69" s="156">
        <v>1</v>
      </c>
      <c r="G69" s="156">
        <v>11</v>
      </c>
      <c r="H69" s="157">
        <v>69</v>
      </c>
      <c r="I69" s="158">
        <v>23</v>
      </c>
      <c r="J69" s="129">
        <f aca="true" t="shared" si="5" ref="J69:J100">I69/F69</f>
        <v>23</v>
      </c>
      <c r="K69" s="130">
        <f aca="true" t="shared" si="6" ref="K69:K132">H69/I69</f>
        <v>3</v>
      </c>
      <c r="L69" s="154">
        <f>507128.25+345268.5+124291.75+100787+70944+12241+11639+8352+766+3277+69</f>
        <v>1184763.5</v>
      </c>
      <c r="M69" s="153">
        <f>53408+37346+14864+15043+11010+2268+2130+1478+133+598+23</f>
        <v>138301</v>
      </c>
      <c r="N69" s="133">
        <f aca="true" t="shared" si="7" ref="N69:N100">+L69/M69</f>
        <v>8.566557725540669</v>
      </c>
      <c r="O69" s="149">
        <v>1</v>
      </c>
      <c r="P69" s="341"/>
      <c r="Q69" s="83"/>
      <c r="R69" s="83"/>
      <c r="S69" s="83"/>
      <c r="T69" s="83"/>
    </row>
    <row r="70" spans="1:20" ht="12" customHeight="1">
      <c r="A70" s="290">
        <v>66</v>
      </c>
      <c r="B70" s="172" t="s">
        <v>162</v>
      </c>
      <c r="C70" s="124">
        <v>40151</v>
      </c>
      <c r="D70" s="155" t="s">
        <v>327</v>
      </c>
      <c r="E70" s="173">
        <v>128</v>
      </c>
      <c r="F70" s="173">
        <v>14</v>
      </c>
      <c r="G70" s="173">
        <v>5</v>
      </c>
      <c r="H70" s="174">
        <v>10820.5</v>
      </c>
      <c r="I70" s="175">
        <v>2203</v>
      </c>
      <c r="J70" s="129">
        <f t="shared" si="5"/>
        <v>157.35714285714286</v>
      </c>
      <c r="K70" s="130">
        <f t="shared" si="6"/>
        <v>4.911711302768952</v>
      </c>
      <c r="L70" s="176">
        <v>1602521</v>
      </c>
      <c r="M70" s="177">
        <v>185512</v>
      </c>
      <c r="N70" s="133">
        <f t="shared" si="7"/>
        <v>8.638368407434559</v>
      </c>
      <c r="O70" s="149">
        <v>1</v>
      </c>
      <c r="P70" s="341"/>
      <c r="Q70" s="83"/>
      <c r="R70" s="83"/>
      <c r="S70" s="83"/>
      <c r="T70" s="83"/>
    </row>
    <row r="71" spans="1:20" ht="12" customHeight="1">
      <c r="A71" s="290">
        <v>67</v>
      </c>
      <c r="B71" s="172" t="s">
        <v>162</v>
      </c>
      <c r="C71" s="124">
        <v>40151</v>
      </c>
      <c r="D71" s="155" t="s">
        <v>327</v>
      </c>
      <c r="E71" s="173">
        <v>128</v>
      </c>
      <c r="F71" s="173">
        <v>13</v>
      </c>
      <c r="G71" s="173">
        <v>6</v>
      </c>
      <c r="H71" s="174">
        <v>10811</v>
      </c>
      <c r="I71" s="175">
        <v>1908</v>
      </c>
      <c r="J71" s="129">
        <f t="shared" si="5"/>
        <v>146.76923076923077</v>
      </c>
      <c r="K71" s="130">
        <f t="shared" si="6"/>
        <v>5.666142557651992</v>
      </c>
      <c r="L71" s="176">
        <v>1613332</v>
      </c>
      <c r="M71" s="177">
        <v>187420</v>
      </c>
      <c r="N71" s="133">
        <f t="shared" si="7"/>
        <v>8.608110126987516</v>
      </c>
      <c r="O71" s="170">
        <v>1</v>
      </c>
      <c r="P71" s="341"/>
      <c r="Q71" s="83"/>
      <c r="R71" s="83"/>
      <c r="S71" s="83"/>
      <c r="T71" s="83"/>
    </row>
    <row r="72" spans="1:20" ht="12" customHeight="1">
      <c r="A72" s="290">
        <v>68</v>
      </c>
      <c r="B72" s="172" t="s">
        <v>162</v>
      </c>
      <c r="C72" s="124">
        <v>40151</v>
      </c>
      <c r="D72" s="155" t="s">
        <v>327</v>
      </c>
      <c r="E72" s="173">
        <v>128</v>
      </c>
      <c r="F72" s="173">
        <v>7</v>
      </c>
      <c r="G72" s="173">
        <v>7</v>
      </c>
      <c r="H72" s="174">
        <v>8704</v>
      </c>
      <c r="I72" s="178">
        <v>1365</v>
      </c>
      <c r="J72" s="129">
        <f t="shared" si="5"/>
        <v>195</v>
      </c>
      <c r="K72" s="130">
        <f t="shared" si="6"/>
        <v>6.376556776556777</v>
      </c>
      <c r="L72" s="176">
        <v>1622035.5</v>
      </c>
      <c r="M72" s="179">
        <v>188785</v>
      </c>
      <c r="N72" s="133">
        <f t="shared" si="7"/>
        <v>8.591972349498107</v>
      </c>
      <c r="O72" s="108">
        <v>1</v>
      </c>
      <c r="P72" s="341"/>
      <c r="Q72" s="83"/>
      <c r="R72" s="83"/>
      <c r="S72" s="83"/>
      <c r="T72" s="83"/>
    </row>
    <row r="73" spans="1:20" ht="12" customHeight="1">
      <c r="A73" s="290">
        <v>69</v>
      </c>
      <c r="B73" s="151" t="s">
        <v>163</v>
      </c>
      <c r="C73" s="139">
        <v>40151</v>
      </c>
      <c r="D73" s="155" t="s">
        <v>327</v>
      </c>
      <c r="E73" s="146">
        <v>128</v>
      </c>
      <c r="F73" s="146">
        <v>8</v>
      </c>
      <c r="G73" s="146">
        <v>10</v>
      </c>
      <c r="H73" s="141">
        <v>6128</v>
      </c>
      <c r="I73" s="142">
        <v>1096</v>
      </c>
      <c r="J73" s="129">
        <f t="shared" si="5"/>
        <v>137</v>
      </c>
      <c r="K73" s="130">
        <f t="shared" si="6"/>
        <v>5.591240875912408</v>
      </c>
      <c r="L73" s="144">
        <v>1635532.5</v>
      </c>
      <c r="M73" s="143">
        <v>191618</v>
      </c>
      <c r="N73" s="133">
        <f t="shared" si="7"/>
        <v>8.535380287864397</v>
      </c>
      <c r="O73" s="108">
        <v>1</v>
      </c>
      <c r="P73" s="341"/>
      <c r="Q73" s="83"/>
      <c r="R73" s="83"/>
      <c r="S73" s="83"/>
      <c r="T73" s="83"/>
    </row>
    <row r="74" spans="1:20" ht="12" customHeight="1">
      <c r="A74" s="290">
        <v>70</v>
      </c>
      <c r="B74" s="172" t="s">
        <v>162</v>
      </c>
      <c r="C74" s="139">
        <v>40151</v>
      </c>
      <c r="D74" s="155" t="s">
        <v>327</v>
      </c>
      <c r="E74" s="146">
        <v>128</v>
      </c>
      <c r="F74" s="146">
        <v>6</v>
      </c>
      <c r="G74" s="146">
        <v>8</v>
      </c>
      <c r="H74" s="141">
        <v>5193</v>
      </c>
      <c r="I74" s="142">
        <v>1233</v>
      </c>
      <c r="J74" s="129">
        <f t="shared" si="5"/>
        <v>205.5</v>
      </c>
      <c r="K74" s="130">
        <f t="shared" si="6"/>
        <v>4.211678832116788</v>
      </c>
      <c r="L74" s="144">
        <v>1627228.5</v>
      </c>
      <c r="M74" s="143">
        <v>190018</v>
      </c>
      <c r="N74" s="133">
        <f t="shared" si="7"/>
        <v>8.563549242703322</v>
      </c>
      <c r="O74" s="108">
        <v>1</v>
      </c>
      <c r="P74" s="341"/>
      <c r="Q74" s="83"/>
      <c r="R74" s="83"/>
      <c r="S74" s="83"/>
      <c r="T74" s="83"/>
    </row>
    <row r="75" spans="1:20" ht="12" customHeight="1">
      <c r="A75" s="290">
        <v>71</v>
      </c>
      <c r="B75" s="172" t="s">
        <v>162</v>
      </c>
      <c r="C75" s="139">
        <v>40151</v>
      </c>
      <c r="D75" s="155" t="s">
        <v>327</v>
      </c>
      <c r="E75" s="146">
        <v>128</v>
      </c>
      <c r="F75" s="146">
        <v>4</v>
      </c>
      <c r="G75" s="146">
        <v>8</v>
      </c>
      <c r="H75" s="141">
        <v>2176</v>
      </c>
      <c r="I75" s="142">
        <v>504</v>
      </c>
      <c r="J75" s="129">
        <f t="shared" si="5"/>
        <v>126</v>
      </c>
      <c r="K75" s="130">
        <f t="shared" si="6"/>
        <v>4.317460317460317</v>
      </c>
      <c r="L75" s="144">
        <v>1629405.5</v>
      </c>
      <c r="M75" s="143">
        <v>190522</v>
      </c>
      <c r="N75" s="133">
        <f t="shared" si="7"/>
        <v>8.552322041549008</v>
      </c>
      <c r="O75" s="149">
        <v>1</v>
      </c>
      <c r="P75" s="341"/>
      <c r="Q75" s="83"/>
      <c r="R75" s="83"/>
      <c r="S75" s="83"/>
      <c r="T75" s="83"/>
    </row>
    <row r="76" spans="1:20" ht="12" customHeight="1">
      <c r="A76" s="290">
        <v>72</v>
      </c>
      <c r="B76" s="151" t="s">
        <v>163</v>
      </c>
      <c r="C76" s="139">
        <v>40151</v>
      </c>
      <c r="D76" s="155" t="s">
        <v>327</v>
      </c>
      <c r="E76" s="146">
        <v>128</v>
      </c>
      <c r="F76" s="146">
        <v>2</v>
      </c>
      <c r="G76" s="146">
        <v>11</v>
      </c>
      <c r="H76" s="150">
        <v>307</v>
      </c>
      <c r="I76" s="152">
        <v>54</v>
      </c>
      <c r="J76" s="129">
        <f t="shared" si="5"/>
        <v>27</v>
      </c>
      <c r="K76" s="130">
        <f t="shared" si="6"/>
        <v>5.685185185185185</v>
      </c>
      <c r="L76" s="154">
        <v>1635839.5</v>
      </c>
      <c r="M76" s="153">
        <v>191672</v>
      </c>
      <c r="N76" s="133">
        <f t="shared" si="7"/>
        <v>8.534577298718645</v>
      </c>
      <c r="O76" s="109">
        <v>1</v>
      </c>
      <c r="P76" s="341"/>
      <c r="Q76" s="83"/>
      <c r="R76" s="83"/>
      <c r="S76" s="83"/>
      <c r="T76" s="83"/>
    </row>
    <row r="77" spans="1:20" ht="12" customHeight="1">
      <c r="A77" s="290">
        <v>73</v>
      </c>
      <c r="B77" s="123" t="s">
        <v>164</v>
      </c>
      <c r="C77" s="139">
        <v>35552</v>
      </c>
      <c r="D77" s="145" t="s">
        <v>336</v>
      </c>
      <c r="E77" s="146">
        <v>1</v>
      </c>
      <c r="F77" s="146">
        <v>1</v>
      </c>
      <c r="G77" s="146">
        <v>20</v>
      </c>
      <c r="H77" s="137">
        <v>1240</v>
      </c>
      <c r="I77" s="135">
        <v>310</v>
      </c>
      <c r="J77" s="129">
        <f t="shared" si="5"/>
        <v>310</v>
      </c>
      <c r="K77" s="130">
        <f t="shared" si="6"/>
        <v>4</v>
      </c>
      <c r="L77" s="144">
        <v>1240</v>
      </c>
      <c r="M77" s="143">
        <v>11617</v>
      </c>
      <c r="N77" s="133">
        <f t="shared" si="7"/>
        <v>0.1067401222346561</v>
      </c>
      <c r="O77" s="149">
        <v>1</v>
      </c>
      <c r="P77" s="341"/>
      <c r="Q77" s="83"/>
      <c r="R77" s="83"/>
      <c r="S77" s="83"/>
      <c r="T77" s="83"/>
    </row>
    <row r="78" spans="1:20" ht="12" customHeight="1">
      <c r="A78" s="290">
        <v>74</v>
      </c>
      <c r="B78" s="167" t="s">
        <v>347</v>
      </c>
      <c r="C78" s="168">
        <v>40067</v>
      </c>
      <c r="D78" s="145" t="s">
        <v>326</v>
      </c>
      <c r="E78" s="169">
        <v>51</v>
      </c>
      <c r="F78" s="169">
        <v>2</v>
      </c>
      <c r="G78" s="169">
        <v>20</v>
      </c>
      <c r="H78" s="137">
        <v>4061</v>
      </c>
      <c r="I78" s="135">
        <v>931</v>
      </c>
      <c r="J78" s="129">
        <f t="shared" si="5"/>
        <v>465.5</v>
      </c>
      <c r="K78" s="130">
        <f t="shared" si="6"/>
        <v>4.361976369495166</v>
      </c>
      <c r="L78" s="138">
        <f>182949+180053+29827+20114+26140.5+10395.5+4671+3342+2340+5520+249.5+165+3602+91+952+1264+44+1663+1188+4061</f>
        <v>478631.5</v>
      </c>
      <c r="M78" s="136">
        <f>18625+17802+3355+2859+3903+1800+782+594+465+1366+90+60+905+15+238+316+11+244+297+931</f>
        <v>54658</v>
      </c>
      <c r="N78" s="133">
        <f t="shared" si="7"/>
        <v>8.756842548208862</v>
      </c>
      <c r="O78" s="108">
        <v>1</v>
      </c>
      <c r="P78" s="341"/>
      <c r="Q78" s="83"/>
      <c r="R78" s="83"/>
      <c r="S78" s="83"/>
      <c r="T78" s="83"/>
    </row>
    <row r="79" spans="1:20" ht="12" customHeight="1">
      <c r="A79" s="290">
        <v>75</v>
      </c>
      <c r="B79" s="151" t="s">
        <v>347</v>
      </c>
      <c r="C79" s="139">
        <v>40067</v>
      </c>
      <c r="D79" s="140" t="s">
        <v>326</v>
      </c>
      <c r="E79" s="146">
        <v>51</v>
      </c>
      <c r="F79" s="146">
        <v>1</v>
      </c>
      <c r="G79" s="146">
        <v>26</v>
      </c>
      <c r="H79" s="186">
        <v>2612</v>
      </c>
      <c r="I79" s="187">
        <v>653</v>
      </c>
      <c r="J79" s="129">
        <f t="shared" si="5"/>
        <v>653</v>
      </c>
      <c r="K79" s="130">
        <f t="shared" si="6"/>
        <v>4</v>
      </c>
      <c r="L79" s="188">
        <f>487539.5+2612</f>
        <v>490151.5</v>
      </c>
      <c r="M79" s="189">
        <f>56583+653</f>
        <v>57236</v>
      </c>
      <c r="N79" s="133">
        <f t="shared" si="7"/>
        <v>8.563692431336921</v>
      </c>
      <c r="O79" s="180">
        <v>1</v>
      </c>
      <c r="P79" s="341"/>
      <c r="Q79" s="83"/>
      <c r="R79" s="83"/>
      <c r="S79" s="83"/>
      <c r="T79" s="83"/>
    </row>
    <row r="80" spans="1:20" ht="12" customHeight="1">
      <c r="A80" s="290">
        <v>76</v>
      </c>
      <c r="B80" s="151" t="s">
        <v>347</v>
      </c>
      <c r="C80" s="139">
        <v>40067</v>
      </c>
      <c r="D80" s="125" t="s">
        <v>326</v>
      </c>
      <c r="E80" s="146">
        <v>51</v>
      </c>
      <c r="F80" s="146">
        <v>2</v>
      </c>
      <c r="G80" s="146">
        <v>25</v>
      </c>
      <c r="H80" s="150">
        <v>2504</v>
      </c>
      <c r="I80" s="152">
        <v>379</v>
      </c>
      <c r="J80" s="129">
        <f t="shared" si="5"/>
        <v>189.5</v>
      </c>
      <c r="K80" s="130">
        <f t="shared" si="6"/>
        <v>6.6068601583113455</v>
      </c>
      <c r="L80" s="154">
        <v>487539.5</v>
      </c>
      <c r="M80" s="153">
        <v>56583</v>
      </c>
      <c r="N80" s="133">
        <f t="shared" si="7"/>
        <v>8.616360037467084</v>
      </c>
      <c r="O80" s="149">
        <v>1</v>
      </c>
      <c r="P80" s="341"/>
      <c r="Q80" s="83"/>
      <c r="R80" s="83"/>
      <c r="S80" s="83"/>
      <c r="T80" s="83"/>
    </row>
    <row r="81" spans="1:20" ht="12" customHeight="1">
      <c r="A81" s="290">
        <v>77</v>
      </c>
      <c r="B81" s="151" t="s">
        <v>347</v>
      </c>
      <c r="C81" s="139">
        <v>40067</v>
      </c>
      <c r="D81" s="145" t="s">
        <v>326</v>
      </c>
      <c r="E81" s="146">
        <v>51</v>
      </c>
      <c r="F81" s="146">
        <v>2</v>
      </c>
      <c r="G81" s="146">
        <v>21</v>
      </c>
      <c r="H81" s="141">
        <v>2382</v>
      </c>
      <c r="I81" s="142">
        <v>573</v>
      </c>
      <c r="J81" s="129">
        <f t="shared" si="5"/>
        <v>286.5</v>
      </c>
      <c r="K81" s="130">
        <f t="shared" si="6"/>
        <v>4.157068062827225</v>
      </c>
      <c r="L81" s="144">
        <f>182949+180053+29827+20114+26140.5+10395.5+4671+3342+2340+5520+249.5+165+3602+91+952+1264+44+1663+1188+4061+2382</f>
        <v>481013.5</v>
      </c>
      <c r="M81" s="143">
        <f>18625+17802+3355+2859+3903+1800+782+594+465+1366+90+60+905+15+238+316+11+244+297+931+573</f>
        <v>55231</v>
      </c>
      <c r="N81" s="133">
        <f t="shared" si="7"/>
        <v>8.709121688906592</v>
      </c>
      <c r="O81" s="149">
        <v>1</v>
      </c>
      <c r="P81" s="341"/>
      <c r="Q81" s="83"/>
      <c r="R81" s="83"/>
      <c r="S81" s="83"/>
      <c r="T81" s="83"/>
    </row>
    <row r="82" spans="1:20" ht="12" customHeight="1">
      <c r="A82" s="290">
        <v>78</v>
      </c>
      <c r="B82" s="151" t="s">
        <v>347</v>
      </c>
      <c r="C82" s="139">
        <v>40067</v>
      </c>
      <c r="D82" s="145" t="s">
        <v>326</v>
      </c>
      <c r="E82" s="146">
        <v>51</v>
      </c>
      <c r="F82" s="146">
        <v>1</v>
      </c>
      <c r="G82" s="146">
        <v>22</v>
      </c>
      <c r="H82" s="150">
        <v>2020</v>
      </c>
      <c r="I82" s="152">
        <v>505</v>
      </c>
      <c r="J82" s="129">
        <f t="shared" si="5"/>
        <v>505</v>
      </c>
      <c r="K82" s="130">
        <f t="shared" si="6"/>
        <v>4</v>
      </c>
      <c r="L82" s="154">
        <f>182949+180053+29827+20114+26140.5+10395.5+4671+3342+2340+5520+249.5+165+3602+91+952+1264+44+1663+1188+4061+2382+2020</f>
        <v>483033.5</v>
      </c>
      <c r="M82" s="153">
        <f>18625+17802+3355+2859+3903+1800+782+594+465+1366+90+60+905+15+238+316+11+244+297+931+573+505</f>
        <v>55736</v>
      </c>
      <c r="N82" s="133">
        <f t="shared" si="7"/>
        <v>8.666454356250897</v>
      </c>
      <c r="O82" s="149">
        <v>1</v>
      </c>
      <c r="P82" s="341"/>
      <c r="Q82" s="83"/>
      <c r="R82" s="83"/>
      <c r="S82" s="83"/>
      <c r="T82" s="83"/>
    </row>
    <row r="83" spans="1:20" ht="12" customHeight="1">
      <c r="A83" s="290">
        <v>79</v>
      </c>
      <c r="B83" s="123" t="s">
        <v>347</v>
      </c>
      <c r="C83" s="139">
        <v>40067</v>
      </c>
      <c r="D83" s="145" t="s">
        <v>326</v>
      </c>
      <c r="E83" s="156">
        <v>51</v>
      </c>
      <c r="F83" s="156">
        <v>1</v>
      </c>
      <c r="G83" s="156">
        <v>23</v>
      </c>
      <c r="H83" s="157">
        <v>1780</v>
      </c>
      <c r="I83" s="158">
        <v>445</v>
      </c>
      <c r="J83" s="129">
        <f t="shared" si="5"/>
        <v>445</v>
      </c>
      <c r="K83" s="130">
        <f t="shared" si="6"/>
        <v>4</v>
      </c>
      <c r="L83" s="154">
        <f>182949+180053+29827+20114+26140.5+10395.5+4671+3342+2340+5520+249.5+165+3602+91+952+1264+44+1663+1188+4061+2382+2020+1780</f>
        <v>484813.5</v>
      </c>
      <c r="M83" s="153">
        <f>18625+17802+3355+2859+3903+1800+782+594+465+1366+90+60+905+15+238+316+11+244+297+931+573+505+445</f>
        <v>56181</v>
      </c>
      <c r="N83" s="133">
        <f t="shared" si="7"/>
        <v>8.62949217707054</v>
      </c>
      <c r="O83" s="109">
        <v>1</v>
      </c>
      <c r="P83" s="341"/>
      <c r="Q83" s="83"/>
      <c r="R83" s="83"/>
      <c r="S83" s="83"/>
      <c r="T83" s="83"/>
    </row>
    <row r="84" spans="1:20" ht="12" customHeight="1">
      <c r="A84" s="290">
        <v>80</v>
      </c>
      <c r="B84" s="151" t="s">
        <v>347</v>
      </c>
      <c r="C84" s="139">
        <v>40067</v>
      </c>
      <c r="D84" s="145" t="s">
        <v>326</v>
      </c>
      <c r="E84" s="146">
        <v>51</v>
      </c>
      <c r="F84" s="146">
        <v>1</v>
      </c>
      <c r="G84" s="146">
        <v>18</v>
      </c>
      <c r="H84" s="127">
        <v>1663</v>
      </c>
      <c r="I84" s="135">
        <v>244</v>
      </c>
      <c r="J84" s="129">
        <f t="shared" si="5"/>
        <v>244</v>
      </c>
      <c r="K84" s="130">
        <f t="shared" si="6"/>
        <v>6.815573770491803</v>
      </c>
      <c r="L84" s="131">
        <f>182949+180053+29827+20114+26140.5+10395.5+4671+3342+2340+5520+249.5+165+3602+91+952+1264+44+1663</f>
        <v>473382.5</v>
      </c>
      <c r="M84" s="136">
        <f>18625+17802+3355+2859+3903+1800+782+594+465+1366+90+60+905+15+238+316+11+244</f>
        <v>53430</v>
      </c>
      <c r="N84" s="133">
        <f t="shared" si="7"/>
        <v>8.859863372637095</v>
      </c>
      <c r="O84" s="108">
        <v>1</v>
      </c>
      <c r="P84" s="341"/>
      <c r="Q84" s="83"/>
      <c r="R84" s="83"/>
      <c r="S84" s="83"/>
      <c r="T84" s="83"/>
    </row>
    <row r="85" spans="1:20" ht="12" customHeight="1">
      <c r="A85" s="290">
        <v>81</v>
      </c>
      <c r="B85" s="151" t="s">
        <v>347</v>
      </c>
      <c r="C85" s="139">
        <v>40067</v>
      </c>
      <c r="D85" s="145" t="s">
        <v>326</v>
      </c>
      <c r="E85" s="146">
        <v>51</v>
      </c>
      <c r="F85" s="146">
        <v>2</v>
      </c>
      <c r="G85" s="146">
        <v>16</v>
      </c>
      <c r="H85" s="127">
        <v>1264</v>
      </c>
      <c r="I85" s="128">
        <v>316</v>
      </c>
      <c r="J85" s="129">
        <f t="shared" si="5"/>
        <v>158</v>
      </c>
      <c r="K85" s="130">
        <f t="shared" si="6"/>
        <v>4</v>
      </c>
      <c r="L85" s="131">
        <f>182949+180053+29827+20114+26140.5+10395.5+4671+3342+2340+5520+249.5+165+3602+91+952+1264</f>
        <v>471675.5</v>
      </c>
      <c r="M85" s="132">
        <f>18625+17802+3355+2859+3903+1800+782+594+465+1366+90+60+905+15+238+316</f>
        <v>53175</v>
      </c>
      <c r="N85" s="133">
        <f t="shared" si="7"/>
        <v>8.870249177244945</v>
      </c>
      <c r="O85" s="159">
        <v>1</v>
      </c>
      <c r="P85" s="341"/>
      <c r="Q85" s="83"/>
      <c r="R85" s="83"/>
      <c r="S85" s="83"/>
      <c r="T85" s="83"/>
    </row>
    <row r="86" spans="1:20" ht="12" customHeight="1">
      <c r="A86" s="290">
        <v>82</v>
      </c>
      <c r="B86" s="151" t="s">
        <v>347</v>
      </c>
      <c r="C86" s="139">
        <v>40067</v>
      </c>
      <c r="D86" s="145" t="s">
        <v>326</v>
      </c>
      <c r="E86" s="146">
        <v>51</v>
      </c>
      <c r="F86" s="146">
        <v>1</v>
      </c>
      <c r="G86" s="146">
        <v>19</v>
      </c>
      <c r="H86" s="137">
        <v>1188</v>
      </c>
      <c r="I86" s="135">
        <v>297</v>
      </c>
      <c r="J86" s="129">
        <f t="shared" si="5"/>
        <v>297</v>
      </c>
      <c r="K86" s="130">
        <f t="shared" si="6"/>
        <v>4</v>
      </c>
      <c r="L86" s="138">
        <f>182949+180053+29827+20114+26140.5+10395.5+4671+3342+2340+5520+249.5+165+3602+91+952+1264+44+1663+1188</f>
        <v>474570.5</v>
      </c>
      <c r="M86" s="136">
        <f>18625+17802+3355+2859+3903+1800+782+594+465+1366+90+60+905+15+238+316+11+244+297</f>
        <v>53727</v>
      </c>
      <c r="N86" s="133">
        <f t="shared" si="7"/>
        <v>8.832998306251978</v>
      </c>
      <c r="O86" s="109">
        <v>1</v>
      </c>
      <c r="P86" s="341"/>
      <c r="Q86" s="83"/>
      <c r="R86" s="83"/>
      <c r="S86" s="83"/>
      <c r="T86" s="83"/>
    </row>
    <row r="87" spans="1:20" ht="12" customHeight="1">
      <c r="A87" s="290">
        <v>83</v>
      </c>
      <c r="B87" s="123" t="s">
        <v>347</v>
      </c>
      <c r="C87" s="124">
        <v>40067</v>
      </c>
      <c r="D87" s="125" t="s">
        <v>338</v>
      </c>
      <c r="E87" s="126">
        <v>51</v>
      </c>
      <c r="F87" s="126">
        <v>1</v>
      </c>
      <c r="G87" s="126">
        <v>23</v>
      </c>
      <c r="H87" s="127">
        <v>222</v>
      </c>
      <c r="I87" s="128">
        <v>23</v>
      </c>
      <c r="J87" s="129">
        <f t="shared" si="5"/>
        <v>23</v>
      </c>
      <c r="K87" s="130">
        <f t="shared" si="6"/>
        <v>9.652173913043478</v>
      </c>
      <c r="L87" s="131">
        <f>182949+180053+29827+20114+26140.5+10395.5+4671+3342+2340+5520+249.5+165+3602+91+952+1264+44+1663+1188+4061+2382+2020+1780+222</f>
        <v>485035.5</v>
      </c>
      <c r="M87" s="132">
        <f>18625+17802+3355+2859+3903+1800+782+594+465+1366+90+60+905+15+238+316+11+244+297+931+573+505+445+23</f>
        <v>56204</v>
      </c>
      <c r="N87" s="133">
        <f t="shared" si="7"/>
        <v>8.6299106825137</v>
      </c>
      <c r="O87" s="149">
        <v>1</v>
      </c>
      <c r="P87" s="341"/>
      <c r="Q87" s="83"/>
      <c r="R87" s="83"/>
      <c r="S87" s="83"/>
      <c r="T87" s="83"/>
    </row>
    <row r="88" spans="1:20" ht="12" customHeight="1">
      <c r="A88" s="290">
        <v>84</v>
      </c>
      <c r="B88" s="151" t="s">
        <v>347</v>
      </c>
      <c r="C88" s="139">
        <v>40067</v>
      </c>
      <c r="D88" s="145" t="s">
        <v>326</v>
      </c>
      <c r="E88" s="146">
        <v>51</v>
      </c>
      <c r="F88" s="146">
        <v>1</v>
      </c>
      <c r="G88" s="146">
        <v>17</v>
      </c>
      <c r="H88" s="127">
        <v>44</v>
      </c>
      <c r="I88" s="128">
        <v>11</v>
      </c>
      <c r="J88" s="129">
        <f t="shared" si="5"/>
        <v>11</v>
      </c>
      <c r="K88" s="130">
        <f t="shared" si="6"/>
        <v>4</v>
      </c>
      <c r="L88" s="131">
        <f>182949+180053+29827+20114+26140.5+10395.5+4671+3342+2340+5520+249.5+165+3602+91+952+1264+44</f>
        <v>471719.5</v>
      </c>
      <c r="M88" s="132">
        <f>18625+17802+3355+2859+3903+1800+782+594+465+1366+90+60+905+15+238+316+11</f>
        <v>53186</v>
      </c>
      <c r="N88" s="133">
        <f t="shared" si="7"/>
        <v>8.869241905764675</v>
      </c>
      <c r="O88" s="149">
        <v>1</v>
      </c>
      <c r="P88" s="341"/>
      <c r="Q88" s="83"/>
      <c r="R88" s="83"/>
      <c r="S88" s="83"/>
      <c r="T88" s="83"/>
    </row>
    <row r="89" spans="1:20" ht="12" customHeight="1">
      <c r="A89" s="290">
        <v>85</v>
      </c>
      <c r="B89" s="151" t="s">
        <v>225</v>
      </c>
      <c r="C89" s="139">
        <v>40172</v>
      </c>
      <c r="D89" s="145" t="s">
        <v>326</v>
      </c>
      <c r="E89" s="146">
        <v>60</v>
      </c>
      <c r="F89" s="146">
        <v>60</v>
      </c>
      <c r="G89" s="146">
        <v>2</v>
      </c>
      <c r="H89" s="127">
        <v>397159.5</v>
      </c>
      <c r="I89" s="128">
        <v>40733</v>
      </c>
      <c r="J89" s="129">
        <f t="shared" si="5"/>
        <v>678.8833333333333</v>
      </c>
      <c r="K89" s="130">
        <f t="shared" si="6"/>
        <v>9.750313014018118</v>
      </c>
      <c r="L89" s="131">
        <f>421775.5+397159.5</f>
        <v>818935</v>
      </c>
      <c r="M89" s="132">
        <f>43739+40733</f>
        <v>84472</v>
      </c>
      <c r="N89" s="133">
        <f t="shared" si="7"/>
        <v>9.694750923382896</v>
      </c>
      <c r="O89" s="149">
        <v>1</v>
      </c>
      <c r="P89" s="341"/>
      <c r="Q89" s="83"/>
      <c r="R89" s="83"/>
      <c r="S89" s="83"/>
      <c r="T89" s="83"/>
    </row>
    <row r="90" spans="1:20" ht="12" customHeight="1">
      <c r="A90" s="290">
        <v>86</v>
      </c>
      <c r="B90" s="151" t="s">
        <v>225</v>
      </c>
      <c r="C90" s="139">
        <v>40172</v>
      </c>
      <c r="D90" s="145" t="s">
        <v>326</v>
      </c>
      <c r="E90" s="146">
        <v>60</v>
      </c>
      <c r="F90" s="146">
        <v>60</v>
      </c>
      <c r="G90" s="146">
        <v>3</v>
      </c>
      <c r="H90" s="127">
        <v>287050</v>
      </c>
      <c r="I90" s="128">
        <v>31780</v>
      </c>
      <c r="J90" s="129">
        <f t="shared" si="5"/>
        <v>529.6666666666666</v>
      </c>
      <c r="K90" s="130">
        <f t="shared" si="6"/>
        <v>9.032410320956576</v>
      </c>
      <c r="L90" s="131">
        <f>421775.5+397095.5+287050</f>
        <v>1105921</v>
      </c>
      <c r="M90" s="132">
        <f>43739+40732+31780</f>
        <v>116251</v>
      </c>
      <c r="N90" s="133">
        <f t="shared" si="7"/>
        <v>9.513217090605671</v>
      </c>
      <c r="O90" s="149">
        <v>1</v>
      </c>
      <c r="P90" s="341"/>
      <c r="Q90" s="83"/>
      <c r="R90" s="83"/>
      <c r="S90" s="83"/>
      <c r="T90" s="83"/>
    </row>
    <row r="91" spans="1:20" ht="12" customHeight="1">
      <c r="A91" s="290">
        <v>87</v>
      </c>
      <c r="B91" s="151" t="s">
        <v>225</v>
      </c>
      <c r="C91" s="168">
        <v>40172</v>
      </c>
      <c r="D91" s="145" t="s">
        <v>326</v>
      </c>
      <c r="E91" s="169">
        <v>60</v>
      </c>
      <c r="F91" s="169">
        <v>60</v>
      </c>
      <c r="G91" s="169">
        <v>6</v>
      </c>
      <c r="H91" s="137">
        <v>180729.5</v>
      </c>
      <c r="I91" s="135">
        <v>24895</v>
      </c>
      <c r="J91" s="129">
        <f t="shared" si="5"/>
        <v>414.9166666666667</v>
      </c>
      <c r="K91" s="130">
        <f t="shared" si="6"/>
        <v>7.259670616589677</v>
      </c>
      <c r="L91" s="138">
        <f>421775.5+397095.5+287050+215248.5+189819.5+180729.5</f>
        <v>1691718.5</v>
      </c>
      <c r="M91" s="136">
        <f>43739+40732+31780+27356+25902+24895</f>
        <v>194404</v>
      </c>
      <c r="N91" s="133">
        <f t="shared" si="7"/>
        <v>8.702076603362071</v>
      </c>
      <c r="O91" s="108">
        <v>1</v>
      </c>
      <c r="P91" s="341"/>
      <c r="Q91" s="83"/>
      <c r="R91" s="83"/>
      <c r="S91" s="83"/>
      <c r="T91" s="83"/>
    </row>
    <row r="92" spans="1:20" ht="12" customHeight="1">
      <c r="A92" s="290">
        <v>88</v>
      </c>
      <c r="B92" s="151" t="s">
        <v>225</v>
      </c>
      <c r="C92" s="139">
        <v>40172</v>
      </c>
      <c r="D92" s="145" t="s">
        <v>326</v>
      </c>
      <c r="E92" s="146">
        <v>60</v>
      </c>
      <c r="F92" s="146">
        <v>60</v>
      </c>
      <c r="G92" s="146">
        <v>7</v>
      </c>
      <c r="H92" s="141">
        <v>86816.5</v>
      </c>
      <c r="I92" s="142">
        <v>12153</v>
      </c>
      <c r="J92" s="129">
        <f t="shared" si="5"/>
        <v>202.55</v>
      </c>
      <c r="K92" s="130">
        <f t="shared" si="6"/>
        <v>7.14362708796182</v>
      </c>
      <c r="L92" s="144">
        <f>421775.5+397095.5+287050+215248.5+189819.5+180729.5+86816.5</f>
        <v>1778535</v>
      </c>
      <c r="M92" s="143">
        <f>43739+40732+31780+27356+25902+24895+12153</f>
        <v>206557</v>
      </c>
      <c r="N92" s="133">
        <f t="shared" si="7"/>
        <v>8.610383574509699</v>
      </c>
      <c r="O92" s="108">
        <v>1</v>
      </c>
      <c r="P92" s="341"/>
      <c r="Q92" s="83"/>
      <c r="R92" s="83"/>
      <c r="S92" s="83"/>
      <c r="T92" s="83"/>
    </row>
    <row r="93" spans="1:20" ht="12" customHeight="1">
      <c r="A93" s="290">
        <v>89</v>
      </c>
      <c r="B93" s="151" t="s">
        <v>225</v>
      </c>
      <c r="C93" s="139">
        <v>40172</v>
      </c>
      <c r="D93" s="145" t="s">
        <v>326</v>
      </c>
      <c r="E93" s="146">
        <v>60</v>
      </c>
      <c r="F93" s="146">
        <v>36</v>
      </c>
      <c r="G93" s="146">
        <v>8</v>
      </c>
      <c r="H93" s="150">
        <v>23840</v>
      </c>
      <c r="I93" s="152">
        <v>4496</v>
      </c>
      <c r="J93" s="129">
        <f t="shared" si="5"/>
        <v>124.88888888888889</v>
      </c>
      <c r="K93" s="130">
        <f t="shared" si="6"/>
        <v>5.302491103202847</v>
      </c>
      <c r="L93" s="154">
        <f>421775.5+397095.5+287050+215248.5+189819.5+180729.5+86816.5+23840</f>
        <v>1802375</v>
      </c>
      <c r="M93" s="153">
        <f>43739+40732+31780+27356+25902+24895+12153+4496</f>
        <v>211053</v>
      </c>
      <c r="N93" s="133">
        <f t="shared" si="7"/>
        <v>8.539916513861447</v>
      </c>
      <c r="O93" s="149">
        <v>1</v>
      </c>
      <c r="P93" s="341"/>
      <c r="Q93" s="83"/>
      <c r="R93" s="83"/>
      <c r="S93" s="83"/>
      <c r="T93" s="83"/>
    </row>
    <row r="94" spans="1:20" ht="12" customHeight="1">
      <c r="A94" s="290">
        <v>90</v>
      </c>
      <c r="B94" s="151" t="s">
        <v>225</v>
      </c>
      <c r="C94" s="139">
        <v>40172</v>
      </c>
      <c r="D94" s="145" t="s">
        <v>326</v>
      </c>
      <c r="E94" s="146">
        <v>60</v>
      </c>
      <c r="F94" s="146">
        <v>29</v>
      </c>
      <c r="G94" s="146">
        <v>9</v>
      </c>
      <c r="H94" s="150">
        <v>19148</v>
      </c>
      <c r="I94" s="152">
        <v>3179</v>
      </c>
      <c r="J94" s="129">
        <f t="shared" si="5"/>
        <v>109.62068965517241</v>
      </c>
      <c r="K94" s="130">
        <f t="shared" si="6"/>
        <v>6.023277760301982</v>
      </c>
      <c r="L94" s="154">
        <f>421775.5+397095.5+287050+215248.5+189819.5+180729.5+86816.5+23840+19148</f>
        <v>1821523</v>
      </c>
      <c r="M94" s="153">
        <f>43739+40732+31780+27356+25902+24895+12153+4496+3179</f>
        <v>214232</v>
      </c>
      <c r="N94" s="133">
        <f t="shared" si="7"/>
        <v>8.502571978042496</v>
      </c>
      <c r="O94" s="149">
        <v>1</v>
      </c>
      <c r="P94" s="341"/>
      <c r="Q94" s="83"/>
      <c r="R94" s="83"/>
      <c r="S94" s="83"/>
      <c r="T94" s="83"/>
    </row>
    <row r="95" spans="1:20" ht="12" customHeight="1">
      <c r="A95" s="290">
        <v>91</v>
      </c>
      <c r="B95" s="151" t="s">
        <v>225</v>
      </c>
      <c r="C95" s="139">
        <v>40172</v>
      </c>
      <c r="D95" s="145" t="s">
        <v>326</v>
      </c>
      <c r="E95" s="146">
        <v>60</v>
      </c>
      <c r="F95" s="146">
        <v>21</v>
      </c>
      <c r="G95" s="146">
        <v>10</v>
      </c>
      <c r="H95" s="157">
        <v>14942.5</v>
      </c>
      <c r="I95" s="158">
        <v>3069</v>
      </c>
      <c r="J95" s="129">
        <f t="shared" si="5"/>
        <v>146.14285714285714</v>
      </c>
      <c r="K95" s="130">
        <f t="shared" si="6"/>
        <v>4.868849788204627</v>
      </c>
      <c r="L95" s="154">
        <f>421775.5+397095.5+287050+215248.5+189819.5+180729.5+86816.5+23840+19148+14942.5</f>
        <v>1836465.5</v>
      </c>
      <c r="M95" s="153">
        <f>43739+40732+31780+27356+25902+24895+12153+4496+3179+3069</f>
        <v>217301</v>
      </c>
      <c r="N95" s="133">
        <f t="shared" si="7"/>
        <v>8.451251950060055</v>
      </c>
      <c r="O95" s="159">
        <v>1</v>
      </c>
      <c r="P95" s="341"/>
      <c r="Q95" s="83"/>
      <c r="R95" s="83"/>
      <c r="S95" s="83"/>
      <c r="T95" s="83"/>
    </row>
    <row r="96" spans="1:20" ht="12" customHeight="1">
      <c r="A96" s="290">
        <v>92</v>
      </c>
      <c r="B96" s="151" t="s">
        <v>225</v>
      </c>
      <c r="C96" s="171">
        <v>40172</v>
      </c>
      <c r="D96" s="145" t="s">
        <v>326</v>
      </c>
      <c r="E96" s="156">
        <v>60</v>
      </c>
      <c r="F96" s="156">
        <v>17</v>
      </c>
      <c r="G96" s="156">
        <v>11</v>
      </c>
      <c r="H96" s="157">
        <v>8798.5</v>
      </c>
      <c r="I96" s="158">
        <v>1650</v>
      </c>
      <c r="J96" s="129">
        <f t="shared" si="5"/>
        <v>97.05882352941177</v>
      </c>
      <c r="K96" s="130">
        <f t="shared" si="6"/>
        <v>5.332424242424242</v>
      </c>
      <c r="L96" s="154">
        <f>421775.5+397095.5+287050+215248.5+189819.5+180729.5+86816.5+23840+19148+14942.5+8798.5</f>
        <v>1845264</v>
      </c>
      <c r="M96" s="153">
        <f>43739+40732+31780+27356+25902+24895+12153+4496+3179+3069+1650</f>
        <v>218951</v>
      </c>
      <c r="N96" s="133">
        <f t="shared" si="7"/>
        <v>8.427748674360931</v>
      </c>
      <c r="O96" s="149">
        <v>1</v>
      </c>
      <c r="P96" s="341"/>
      <c r="Q96" s="83"/>
      <c r="R96" s="83"/>
      <c r="S96" s="83"/>
      <c r="T96" s="83"/>
    </row>
    <row r="97" spans="1:20" ht="12" customHeight="1">
      <c r="A97" s="290">
        <v>93</v>
      </c>
      <c r="B97" s="182" t="s">
        <v>225</v>
      </c>
      <c r="C97" s="139">
        <v>40172</v>
      </c>
      <c r="D97" s="145" t="s">
        <v>326</v>
      </c>
      <c r="E97" s="156">
        <v>60</v>
      </c>
      <c r="F97" s="156">
        <v>9</v>
      </c>
      <c r="G97" s="156">
        <v>17</v>
      </c>
      <c r="H97" s="157">
        <v>8547</v>
      </c>
      <c r="I97" s="158">
        <v>1945</v>
      </c>
      <c r="J97" s="129">
        <f t="shared" si="5"/>
        <v>216.11111111111111</v>
      </c>
      <c r="K97" s="130">
        <f t="shared" si="6"/>
        <v>4.394344473007712</v>
      </c>
      <c r="L97" s="154">
        <f>421775.5+397095.5+287050+215248.5+189819.5+180729.5+86816.5+23840+19148+14942.5+8798.5+9599+13618.5+4298+4028+3310+8547</f>
        <v>1888664.5</v>
      </c>
      <c r="M97" s="153">
        <f>43739+40732+31780+27356+25902+24895+12153+4496+3179+3069+1650+2236+3335+954+829+540+1945</f>
        <v>228790</v>
      </c>
      <c r="N97" s="133">
        <f t="shared" si="7"/>
        <v>8.25501333100223</v>
      </c>
      <c r="O97" s="149">
        <v>1</v>
      </c>
      <c r="P97" s="341"/>
      <c r="Q97" s="83"/>
      <c r="R97" s="83"/>
      <c r="S97" s="83"/>
      <c r="T97" s="83"/>
    </row>
    <row r="98" spans="1:20" ht="12" customHeight="1">
      <c r="A98" s="290">
        <v>94</v>
      </c>
      <c r="B98" s="123" t="s">
        <v>225</v>
      </c>
      <c r="C98" s="139">
        <v>40172</v>
      </c>
      <c r="D98" s="145" t="s">
        <v>326</v>
      </c>
      <c r="E98" s="156">
        <v>60</v>
      </c>
      <c r="F98" s="156">
        <v>14</v>
      </c>
      <c r="G98" s="156">
        <v>18</v>
      </c>
      <c r="H98" s="157">
        <v>6712.5</v>
      </c>
      <c r="I98" s="158">
        <v>1297</v>
      </c>
      <c r="J98" s="129">
        <f t="shared" si="5"/>
        <v>92.64285714285714</v>
      </c>
      <c r="K98" s="130">
        <f t="shared" si="6"/>
        <v>5.175404780262143</v>
      </c>
      <c r="L98" s="154">
        <f>421775.5+397095.5+287050+215248.5+189819.5+180729.5+86816.5+23840+19148+14942.5+8798.5+9599+13618.5+4298+4028+3310+8547+6712.5</f>
        <v>1895377</v>
      </c>
      <c r="M98" s="153">
        <f>43739+40732+31780+27356+25902+24895+12153+4496+3179+3069+1650+2236+3335+954+829+540+1945+1297</f>
        <v>230087</v>
      </c>
      <c r="N98" s="133">
        <f t="shared" si="7"/>
        <v>8.237653583209829</v>
      </c>
      <c r="O98" s="149">
        <v>1</v>
      </c>
      <c r="P98" s="341"/>
      <c r="Q98" s="83"/>
      <c r="R98" s="83"/>
      <c r="S98" s="83"/>
      <c r="T98" s="83"/>
    </row>
    <row r="99" spans="1:20" ht="12" customHeight="1">
      <c r="A99" s="290">
        <v>95</v>
      </c>
      <c r="B99" s="182" t="s">
        <v>225</v>
      </c>
      <c r="C99" s="171">
        <v>40172</v>
      </c>
      <c r="D99" s="145" t="s">
        <v>326</v>
      </c>
      <c r="E99" s="156">
        <v>60</v>
      </c>
      <c r="F99" s="156">
        <v>12</v>
      </c>
      <c r="G99" s="156">
        <v>14</v>
      </c>
      <c r="H99" s="157">
        <v>4298</v>
      </c>
      <c r="I99" s="158">
        <v>954</v>
      </c>
      <c r="J99" s="129">
        <f t="shared" si="5"/>
        <v>79.5</v>
      </c>
      <c r="K99" s="130">
        <f t="shared" si="6"/>
        <v>4.50524109014675</v>
      </c>
      <c r="L99" s="154">
        <f>421775.5+397095.5+287050+215248.5+189819.5+180729.5+86816.5+23840+19148+14942.5+8798.5+9599+13618.5+4298</f>
        <v>1872779.5</v>
      </c>
      <c r="M99" s="153">
        <f>43739+40732+31780+27356+25902+24895+12153+4496+3179+3069+1650+2236+3335+954</f>
        <v>225476</v>
      </c>
      <c r="N99" s="133">
        <f t="shared" si="7"/>
        <v>8.30589286664656</v>
      </c>
      <c r="O99" s="108">
        <v>1</v>
      </c>
      <c r="P99" s="341"/>
      <c r="Q99" s="83"/>
      <c r="R99" s="83"/>
      <c r="S99" s="83"/>
      <c r="T99" s="83"/>
    </row>
    <row r="100" spans="1:20" ht="12" customHeight="1">
      <c r="A100" s="290">
        <v>96</v>
      </c>
      <c r="B100" s="182" t="s">
        <v>225</v>
      </c>
      <c r="C100" s="171">
        <v>40172</v>
      </c>
      <c r="D100" s="145" t="s">
        <v>326</v>
      </c>
      <c r="E100" s="156">
        <v>60</v>
      </c>
      <c r="F100" s="156">
        <v>9</v>
      </c>
      <c r="G100" s="156">
        <v>15</v>
      </c>
      <c r="H100" s="157">
        <v>4028</v>
      </c>
      <c r="I100" s="158">
        <v>829</v>
      </c>
      <c r="J100" s="129">
        <f t="shared" si="5"/>
        <v>92.11111111111111</v>
      </c>
      <c r="K100" s="130">
        <f t="shared" si="6"/>
        <v>4.858866103739445</v>
      </c>
      <c r="L100" s="154">
        <f>421775.5+397095.5+287050+215248.5+189819.5+180729.5+86816.5+23840+19148+14942.5+8798.5+9599+13618.5+4298+4028</f>
        <v>1876807.5</v>
      </c>
      <c r="M100" s="153">
        <f>43739+40732+31780+27356+25902+24895+12153+4496+3179+3069+1650+2236+3335+954+829</f>
        <v>226305</v>
      </c>
      <c r="N100" s="133">
        <f t="shared" si="7"/>
        <v>8.293265725459005</v>
      </c>
      <c r="O100" s="149">
        <v>1</v>
      </c>
      <c r="P100" s="341"/>
      <c r="Q100" s="83"/>
      <c r="R100" s="83"/>
      <c r="S100" s="83"/>
      <c r="T100" s="83"/>
    </row>
    <row r="101" spans="1:20" ht="12" customHeight="1">
      <c r="A101" s="290">
        <v>97</v>
      </c>
      <c r="B101" s="182" t="s">
        <v>225</v>
      </c>
      <c r="C101" s="139">
        <v>40172</v>
      </c>
      <c r="D101" s="145" t="s">
        <v>326</v>
      </c>
      <c r="E101" s="156">
        <v>60</v>
      </c>
      <c r="F101" s="156">
        <v>8</v>
      </c>
      <c r="G101" s="156">
        <v>16</v>
      </c>
      <c r="H101" s="157">
        <v>3310</v>
      </c>
      <c r="I101" s="158">
        <v>540</v>
      </c>
      <c r="J101" s="129">
        <f aca="true" t="shared" si="8" ref="J101:J132">I101/F101</f>
        <v>67.5</v>
      </c>
      <c r="K101" s="130">
        <f t="shared" si="6"/>
        <v>6.12962962962963</v>
      </c>
      <c r="L101" s="154">
        <f>421775.5+397095.5+287050+215248.5+189819.5+180729.5+86816.5+23840+19148+14942.5+8798.5+9599+13618.5+4298+4028+3310</f>
        <v>1880117.5</v>
      </c>
      <c r="M101" s="153">
        <f>43739+40732+31780+27356+25902+24895+12153+4496+3179+3069+1650+2236+3335+954+829+540</f>
        <v>226845</v>
      </c>
      <c r="N101" s="133">
        <f aca="true" t="shared" si="9" ref="N101:N132">+L101/M101</f>
        <v>8.288115232868257</v>
      </c>
      <c r="O101" s="110"/>
      <c r="P101" s="341"/>
      <c r="Q101" s="83"/>
      <c r="R101" s="83"/>
      <c r="S101" s="83"/>
      <c r="T101" s="83"/>
    </row>
    <row r="102" spans="1:20" ht="12" customHeight="1">
      <c r="A102" s="290">
        <v>98</v>
      </c>
      <c r="B102" s="183" t="s">
        <v>225</v>
      </c>
      <c r="C102" s="139">
        <v>40172</v>
      </c>
      <c r="D102" s="145" t="s">
        <v>326</v>
      </c>
      <c r="E102" s="146">
        <v>60</v>
      </c>
      <c r="F102" s="146">
        <v>8</v>
      </c>
      <c r="G102" s="146">
        <v>22</v>
      </c>
      <c r="H102" s="137">
        <v>2291</v>
      </c>
      <c r="I102" s="135">
        <v>594</v>
      </c>
      <c r="J102" s="129">
        <f t="shared" si="8"/>
        <v>74.25</v>
      </c>
      <c r="K102" s="130">
        <f t="shared" si="6"/>
        <v>3.856902356902357</v>
      </c>
      <c r="L102" s="144">
        <f>421775.5+397095.5+287050+215248.5+189819.5+180729.5+86816.5+23840+19148+14942.5+8798.5+9599+13618.5+4298+4028+3310+8547+6712.5+1803+1172+973+2291</f>
        <v>1901616</v>
      </c>
      <c r="M102" s="143">
        <f>43739+40732+31780+27356+25902+24895+12153+4496+3179+3069+1650+2236+3335+954+829+540+1945+1297+429+261+173+594</f>
        <v>231544</v>
      </c>
      <c r="N102" s="133">
        <f t="shared" si="9"/>
        <v>8.212763016964379</v>
      </c>
      <c r="O102" s="181">
        <v>1</v>
      </c>
      <c r="P102" s="341"/>
      <c r="Q102" s="83"/>
      <c r="R102" s="83"/>
      <c r="S102" s="83"/>
      <c r="T102" s="83"/>
    </row>
    <row r="103" spans="1:20" ht="12" customHeight="1">
      <c r="A103" s="290">
        <v>99</v>
      </c>
      <c r="B103" s="151" t="s">
        <v>225</v>
      </c>
      <c r="C103" s="139">
        <v>40172</v>
      </c>
      <c r="D103" s="145" t="s">
        <v>326</v>
      </c>
      <c r="E103" s="146">
        <v>60</v>
      </c>
      <c r="F103" s="146">
        <v>3</v>
      </c>
      <c r="G103" s="146">
        <v>27</v>
      </c>
      <c r="H103" s="127">
        <v>2061.5</v>
      </c>
      <c r="I103" s="128">
        <v>480</v>
      </c>
      <c r="J103" s="129">
        <f t="shared" si="8"/>
        <v>160</v>
      </c>
      <c r="K103" s="130">
        <f t="shared" si="6"/>
        <v>4.294791666666667</v>
      </c>
      <c r="L103" s="131">
        <f>421775.5+397095.5+287050+215248.5+189819.5+180729.5+86816.5+23840+19148+14942.5+8798.5+9599+13618.5+4298+4028+3310+8547+6712.5+1803+1172+973+2291+380.5+3015+1103.5+65+2061.5</f>
        <v>1908241.5</v>
      </c>
      <c r="M103" s="132">
        <f>43739+40732+31780+27356+25902+24895+12153+4496+3179+3069+1650+2236+3335+954+829+540+1945+1297+429+261+173+594+53+613+200+10+480</f>
        <v>232900</v>
      </c>
      <c r="N103" s="133">
        <f t="shared" si="9"/>
        <v>8.193394160583942</v>
      </c>
      <c r="O103" s="108">
        <v>1</v>
      </c>
      <c r="P103" s="341"/>
      <c r="Q103" s="83"/>
      <c r="R103" s="83"/>
      <c r="S103" s="83"/>
      <c r="T103" s="83"/>
    </row>
    <row r="104" spans="1:20" ht="12" customHeight="1">
      <c r="A104" s="290">
        <v>100</v>
      </c>
      <c r="B104" s="151" t="s">
        <v>225</v>
      </c>
      <c r="C104" s="139">
        <v>40172</v>
      </c>
      <c r="D104" s="145" t="s">
        <v>326</v>
      </c>
      <c r="E104" s="146">
        <v>60</v>
      </c>
      <c r="F104" s="146">
        <v>8</v>
      </c>
      <c r="G104" s="146">
        <v>19</v>
      </c>
      <c r="H104" s="127">
        <v>1803</v>
      </c>
      <c r="I104" s="128">
        <v>429</v>
      </c>
      <c r="J104" s="129">
        <f t="shared" si="8"/>
        <v>53.625</v>
      </c>
      <c r="K104" s="130">
        <f t="shared" si="6"/>
        <v>4.2027972027972025</v>
      </c>
      <c r="L104" s="131">
        <f>421775.5+397095.5+287050+215248.5+189819.5+180729.5+86816.5+23840+19148+14942.5+8798.5+9599+13618.5+4298+4028+3310+8547+6712.5+1803</f>
        <v>1897180</v>
      </c>
      <c r="M104" s="132">
        <f>43739+40732+31780+27356+25902+24895+12153+4496+3179+3069+1650+2236+3335+954+829+540+1945+1297+429</f>
        <v>230516</v>
      </c>
      <c r="N104" s="133">
        <f t="shared" si="9"/>
        <v>8.230144545281021</v>
      </c>
      <c r="O104" s="109">
        <v>1</v>
      </c>
      <c r="P104" s="341"/>
      <c r="Q104" s="83"/>
      <c r="R104" s="83"/>
      <c r="S104" s="83"/>
      <c r="T104" s="83"/>
    </row>
    <row r="105" spans="1:20" ht="12" customHeight="1">
      <c r="A105" s="290">
        <v>101</v>
      </c>
      <c r="B105" s="123" t="s">
        <v>225</v>
      </c>
      <c r="C105" s="139">
        <v>40172</v>
      </c>
      <c r="D105" s="145" t="s">
        <v>326</v>
      </c>
      <c r="E105" s="156">
        <v>60</v>
      </c>
      <c r="F105" s="156">
        <v>6</v>
      </c>
      <c r="G105" s="156">
        <v>20</v>
      </c>
      <c r="H105" s="157">
        <v>1172</v>
      </c>
      <c r="I105" s="184">
        <v>261</v>
      </c>
      <c r="J105" s="129">
        <f t="shared" si="8"/>
        <v>43.5</v>
      </c>
      <c r="K105" s="130">
        <f t="shared" si="6"/>
        <v>4.490421455938697</v>
      </c>
      <c r="L105" s="144">
        <f>421775.5+397095.5+287050+215248.5+189819.5+180729.5+86816.5+23840+19148+14942.5+8798.5+9599+13618.5+4298+4028+3310+8547+6712.5+1803+1172</f>
        <v>1898352</v>
      </c>
      <c r="M105" s="143">
        <f>43739+40732+31780+27356+25902+24895+12153+4496+3179+3069+1650+2236+3335+954+829+540+1945+1297+429+261</f>
        <v>230777</v>
      </c>
      <c r="N105" s="133">
        <f t="shared" si="9"/>
        <v>8.225915060859618</v>
      </c>
      <c r="O105" s="149">
        <v>1</v>
      </c>
      <c r="P105" s="341"/>
      <c r="Q105" s="83"/>
      <c r="R105" s="83"/>
      <c r="S105" s="83"/>
      <c r="T105" s="83"/>
    </row>
    <row r="106" spans="1:20" ht="12" customHeight="1">
      <c r="A106" s="290">
        <v>102</v>
      </c>
      <c r="B106" s="123" t="s">
        <v>225</v>
      </c>
      <c r="C106" s="139">
        <v>40172</v>
      </c>
      <c r="D106" s="145" t="s">
        <v>338</v>
      </c>
      <c r="E106" s="146">
        <v>60</v>
      </c>
      <c r="F106" s="146">
        <v>8</v>
      </c>
      <c r="G106" s="146">
        <v>25</v>
      </c>
      <c r="H106" s="137">
        <v>1103.5</v>
      </c>
      <c r="I106" s="135">
        <v>200</v>
      </c>
      <c r="J106" s="129">
        <f t="shared" si="8"/>
        <v>25</v>
      </c>
      <c r="K106" s="130">
        <f t="shared" si="6"/>
        <v>5.5175</v>
      </c>
      <c r="L106" s="138">
        <f>421775.5+397095.5+287050+215248.5+189819.5+180729.5+86816.5+23840+19148+14942.5+8798.5+9599+13618.5+4298+4028+3310+8547+6712.5+1803+1172+973+2291+380.5+3015+1103.5</f>
        <v>1906115</v>
      </c>
      <c r="M106" s="136">
        <f>43739+40732+31780+27356+25902+24895+12153+4496+3179+3069+1650+2236+3335+954+829+540+1945+1297+429+261+173+594+53+613+200</f>
        <v>232410</v>
      </c>
      <c r="N106" s="133">
        <f t="shared" si="9"/>
        <v>8.20151886751861</v>
      </c>
      <c r="O106" s="149">
        <v>1</v>
      </c>
      <c r="P106" s="341"/>
      <c r="Q106" s="83"/>
      <c r="R106" s="83"/>
      <c r="S106" s="83"/>
      <c r="T106" s="83"/>
    </row>
    <row r="107" spans="1:20" ht="12" customHeight="1">
      <c r="A107" s="290">
        <v>103</v>
      </c>
      <c r="B107" s="151" t="s">
        <v>225</v>
      </c>
      <c r="C107" s="139">
        <v>40172</v>
      </c>
      <c r="D107" s="145" t="s">
        <v>326</v>
      </c>
      <c r="E107" s="146">
        <v>60</v>
      </c>
      <c r="F107" s="146">
        <v>5</v>
      </c>
      <c r="G107" s="146">
        <v>21</v>
      </c>
      <c r="H107" s="137">
        <v>923</v>
      </c>
      <c r="I107" s="135">
        <v>163</v>
      </c>
      <c r="J107" s="129">
        <f t="shared" si="8"/>
        <v>32.6</v>
      </c>
      <c r="K107" s="130">
        <f t="shared" si="6"/>
        <v>5.662576687116564</v>
      </c>
      <c r="L107" s="138">
        <f>421775.5+397095.5+287050+215248.5+189819.5+180729.5+86816.5+23840+19148+14942.5+8798.5+9599+13618.5+4298+4028+3310+8547+6712.5+1803+1172+923</f>
        <v>1899275</v>
      </c>
      <c r="M107" s="136">
        <f>43739+40732+31780+27356+25902+24895+12153+4496+3179+3069+1650+2236+3335+954+829+540+1945+1297+429+261+163</f>
        <v>230940</v>
      </c>
      <c r="N107" s="133">
        <f t="shared" si="9"/>
        <v>8.224105828353684</v>
      </c>
      <c r="O107" s="149">
        <v>1</v>
      </c>
      <c r="P107" s="341"/>
      <c r="Q107" s="83"/>
      <c r="R107" s="83"/>
      <c r="S107" s="83"/>
      <c r="T107" s="83"/>
    </row>
    <row r="108" spans="1:20" ht="12" customHeight="1">
      <c r="A108" s="290">
        <v>104</v>
      </c>
      <c r="B108" s="123" t="s">
        <v>225</v>
      </c>
      <c r="C108" s="139">
        <v>39877</v>
      </c>
      <c r="D108" s="145" t="s">
        <v>334</v>
      </c>
      <c r="E108" s="146">
        <v>75</v>
      </c>
      <c r="F108" s="146">
        <v>1</v>
      </c>
      <c r="G108" s="146">
        <v>14</v>
      </c>
      <c r="H108" s="137">
        <v>609</v>
      </c>
      <c r="I108" s="135">
        <v>280</v>
      </c>
      <c r="J108" s="129">
        <f t="shared" si="8"/>
        <v>280</v>
      </c>
      <c r="K108" s="130">
        <f t="shared" si="6"/>
        <v>2.175</v>
      </c>
      <c r="L108" s="144">
        <v>3748613</v>
      </c>
      <c r="M108" s="143">
        <v>334112</v>
      </c>
      <c r="N108" s="133">
        <f t="shared" si="9"/>
        <v>11.219629944449766</v>
      </c>
      <c r="O108" s="149">
        <v>1</v>
      </c>
      <c r="P108" s="341"/>
      <c r="Q108" s="83"/>
      <c r="R108" s="83"/>
      <c r="S108" s="83"/>
      <c r="T108" s="83"/>
    </row>
    <row r="109" spans="1:20" ht="12" customHeight="1">
      <c r="A109" s="290">
        <v>105</v>
      </c>
      <c r="B109" s="123" t="s">
        <v>225</v>
      </c>
      <c r="C109" s="124">
        <v>40172</v>
      </c>
      <c r="D109" s="125" t="s">
        <v>326</v>
      </c>
      <c r="E109" s="126">
        <v>60</v>
      </c>
      <c r="F109" s="126">
        <v>8</v>
      </c>
      <c r="G109" s="126">
        <v>23</v>
      </c>
      <c r="H109" s="127">
        <v>380.5</v>
      </c>
      <c r="I109" s="128">
        <v>53</v>
      </c>
      <c r="J109" s="129">
        <f t="shared" si="8"/>
        <v>6.625</v>
      </c>
      <c r="K109" s="130">
        <f t="shared" si="6"/>
        <v>7.179245283018868</v>
      </c>
      <c r="L109" s="131">
        <f>421775.5+397095.5+287050+215248.5+189819.5+180729.5+86816.5+23840+19148+14942.5+8798.5+9599+13618.5+4298+4028+3310+8547+6712.5+1803+1172+973+2291+380.5</f>
        <v>1901996.5</v>
      </c>
      <c r="M109" s="132">
        <f>43739+40732+31780+27356+25902+24895+12153+4496+3179+3069+1650+2236+3335+954+829+540+1945+1297+429+261+173+594+53</f>
        <v>231597</v>
      </c>
      <c r="N109" s="133">
        <f t="shared" si="9"/>
        <v>8.212526500775054</v>
      </c>
      <c r="O109" s="108">
        <v>1</v>
      </c>
      <c r="P109" s="341"/>
      <c r="Q109" s="83"/>
      <c r="R109" s="83"/>
      <c r="S109" s="83"/>
      <c r="T109" s="83"/>
    </row>
    <row r="110" spans="1:20" ht="12" customHeight="1">
      <c r="A110" s="290">
        <v>106</v>
      </c>
      <c r="B110" s="123" t="s">
        <v>225</v>
      </c>
      <c r="C110" s="124">
        <v>40172</v>
      </c>
      <c r="D110" s="125" t="s">
        <v>338</v>
      </c>
      <c r="E110" s="126">
        <v>60</v>
      </c>
      <c r="F110" s="126">
        <v>1</v>
      </c>
      <c r="G110" s="126">
        <v>26</v>
      </c>
      <c r="H110" s="127">
        <v>65</v>
      </c>
      <c r="I110" s="128">
        <v>10</v>
      </c>
      <c r="J110" s="129">
        <f t="shared" si="8"/>
        <v>10</v>
      </c>
      <c r="K110" s="130">
        <f t="shared" si="6"/>
        <v>6.5</v>
      </c>
      <c r="L110" s="131">
        <f>421775.5+397095.5+287050+215248.5+189819.5+180729.5+86816.5+23840+19148+14942.5+8798.5+9599+13618.5+4298+4028+3310+8547+6712.5+1803+1172+973+2291+380.5+3015+1103.5+65</f>
        <v>1906180</v>
      </c>
      <c r="M110" s="132">
        <f>43739+40732+31780+27356+25902+24895+12153+4496+3179+3069+1650+2236+3335+954+829+540+1945+1297+429+261+173+594+53+613+200+10</f>
        <v>232420</v>
      </c>
      <c r="N110" s="133">
        <f t="shared" si="9"/>
        <v>8.20144565872128</v>
      </c>
      <c r="O110" s="149">
        <v>1</v>
      </c>
      <c r="P110" s="341"/>
      <c r="Q110" s="83"/>
      <c r="R110" s="83"/>
      <c r="S110" s="83"/>
      <c r="T110" s="83"/>
    </row>
    <row r="111" spans="1:20" ht="12" customHeight="1">
      <c r="A111" s="290">
        <v>107</v>
      </c>
      <c r="B111" s="123" t="s">
        <v>44</v>
      </c>
      <c r="C111" s="139">
        <v>40172</v>
      </c>
      <c r="D111" s="125" t="s">
        <v>326</v>
      </c>
      <c r="E111" s="146">
        <v>60</v>
      </c>
      <c r="F111" s="146">
        <v>1</v>
      </c>
      <c r="G111" s="146">
        <v>31</v>
      </c>
      <c r="H111" s="141">
        <v>2970</v>
      </c>
      <c r="I111" s="142">
        <v>743</v>
      </c>
      <c r="J111" s="129">
        <f t="shared" si="8"/>
        <v>743</v>
      </c>
      <c r="K111" s="130">
        <f t="shared" si="6"/>
        <v>3.9973082099596233</v>
      </c>
      <c r="L111" s="144">
        <f>421775.5+397095.5+287050+215248.5+189819.5+180729.5+86816.5+23840+19148+14942.5+8798.5+9599+13618.5+4298+4028+3310+8547+6712.5+1803+1172+973+2291+380.5+3015+1103.5+65+2061.5+1262+1020+2232+2970</f>
        <v>1915725.5</v>
      </c>
      <c r="M111" s="143">
        <f>43739+40732+31780+27356+25902+24895+12153+4496+3179+3069+1650+2236+3335+954+829+540+1945+1297+429+261+173+594+53+613+200+10+480+240+102+533+743</f>
        <v>234518</v>
      </c>
      <c r="N111" s="133">
        <f t="shared" si="9"/>
        <v>8.16877808952831</v>
      </c>
      <c r="O111" s="159"/>
      <c r="P111" s="341"/>
      <c r="Q111" s="83"/>
      <c r="R111" s="83"/>
      <c r="S111" s="83"/>
      <c r="T111" s="83"/>
    </row>
    <row r="112" spans="1:20" ht="12" customHeight="1">
      <c r="A112" s="290">
        <v>108</v>
      </c>
      <c r="B112" s="123" t="s">
        <v>44</v>
      </c>
      <c r="C112" s="139">
        <v>40172</v>
      </c>
      <c r="D112" s="125" t="s">
        <v>326</v>
      </c>
      <c r="E112" s="146">
        <v>60</v>
      </c>
      <c r="F112" s="146">
        <v>1</v>
      </c>
      <c r="G112" s="146">
        <v>30</v>
      </c>
      <c r="H112" s="141">
        <v>2232</v>
      </c>
      <c r="I112" s="142">
        <v>533</v>
      </c>
      <c r="J112" s="129">
        <f t="shared" si="8"/>
        <v>533</v>
      </c>
      <c r="K112" s="130">
        <f t="shared" si="6"/>
        <v>4.1876172607879925</v>
      </c>
      <c r="L112" s="144">
        <f>421775.5+397095.5+287050+215248.5+189819.5+180729.5+86816.5+23840+19148+14942.5+8798.5+9599+13618.5+4298+4028+3310+8547+6712.5+1803+1172+973+2291+380.5+3015+1103.5+65+2061.5+1262+1020+2232</f>
        <v>1912755.5</v>
      </c>
      <c r="M112" s="143">
        <f>43739+40732+31780+27356+25902+24895+12153+4496+3179+3069+1650+2236+3335+954+829+540+1945+1297+429+261+173+594+53+613+200+10+480+240+102+533</f>
        <v>233775</v>
      </c>
      <c r="N112" s="133">
        <f t="shared" si="9"/>
        <v>8.182036145866752</v>
      </c>
      <c r="O112" s="149"/>
      <c r="P112" s="341"/>
      <c r="Q112" s="83"/>
      <c r="R112" s="83"/>
      <c r="S112" s="83"/>
      <c r="T112" s="83"/>
    </row>
    <row r="113" spans="1:20" ht="12" customHeight="1">
      <c r="A113" s="290">
        <v>109</v>
      </c>
      <c r="B113" s="123" t="s">
        <v>44</v>
      </c>
      <c r="C113" s="139">
        <v>40172</v>
      </c>
      <c r="D113" s="125" t="s">
        <v>338</v>
      </c>
      <c r="E113" s="146">
        <v>60</v>
      </c>
      <c r="F113" s="146">
        <v>1</v>
      </c>
      <c r="G113" s="146">
        <v>29</v>
      </c>
      <c r="H113" s="141">
        <v>1020</v>
      </c>
      <c r="I113" s="142">
        <v>102</v>
      </c>
      <c r="J113" s="129">
        <f t="shared" si="8"/>
        <v>102</v>
      </c>
      <c r="K113" s="130">
        <f t="shared" si="6"/>
        <v>10</v>
      </c>
      <c r="L113" s="144">
        <f>421775.5+397095.5+287050+215248.5+189819.5+180729.5+86816.5+23840+19148+14942.5+8798.5+9599+13618.5+4298+4028+3310+8547+6712.5+1803+1172+973+2291+380.5+3015+1103.5+65+2061.5+1262+1020</f>
        <v>1910523.5</v>
      </c>
      <c r="M113" s="143">
        <f>43739+40732+31780+27356+25902+24895+12153+4496+3179+3069+1650+2236+3335+954+829+540+1945+1297+429+261+173+594+53+613+200+10+480+240+102</f>
        <v>233242</v>
      </c>
      <c r="N113" s="133">
        <f t="shared" si="9"/>
        <v>8.19116411280987</v>
      </c>
      <c r="O113" s="108"/>
      <c r="P113" s="341"/>
      <c r="Q113" s="83"/>
      <c r="R113" s="83"/>
      <c r="S113" s="83"/>
      <c r="T113" s="83"/>
    </row>
    <row r="114" spans="1:20" ht="12" customHeight="1">
      <c r="A114" s="290">
        <v>110</v>
      </c>
      <c r="B114" s="123" t="s">
        <v>165</v>
      </c>
      <c r="C114" s="139">
        <v>32509</v>
      </c>
      <c r="D114" s="145" t="s">
        <v>336</v>
      </c>
      <c r="E114" s="146">
        <v>1</v>
      </c>
      <c r="F114" s="146">
        <v>1</v>
      </c>
      <c r="G114" s="146">
        <v>20</v>
      </c>
      <c r="H114" s="137">
        <v>1420</v>
      </c>
      <c r="I114" s="135">
        <v>355</v>
      </c>
      <c r="J114" s="129">
        <f t="shared" si="8"/>
        <v>355</v>
      </c>
      <c r="K114" s="130">
        <f t="shared" si="6"/>
        <v>4</v>
      </c>
      <c r="L114" s="144">
        <v>1420</v>
      </c>
      <c r="M114" s="143">
        <v>355</v>
      </c>
      <c r="N114" s="133">
        <f t="shared" si="9"/>
        <v>4</v>
      </c>
      <c r="O114" s="149"/>
      <c r="P114" s="341"/>
      <c r="Q114" s="83"/>
      <c r="R114" s="83"/>
      <c r="S114" s="83"/>
      <c r="T114" s="83"/>
    </row>
    <row r="115" spans="1:20" ht="12" customHeight="1">
      <c r="A115" s="290">
        <v>111</v>
      </c>
      <c r="B115" s="123" t="s">
        <v>166</v>
      </c>
      <c r="C115" s="139">
        <v>40123</v>
      </c>
      <c r="D115" s="145" t="s">
        <v>326</v>
      </c>
      <c r="E115" s="146">
        <v>144</v>
      </c>
      <c r="F115" s="146">
        <v>8</v>
      </c>
      <c r="G115" s="146">
        <v>10</v>
      </c>
      <c r="H115" s="127">
        <v>13616</v>
      </c>
      <c r="I115" s="128">
        <v>2381</v>
      </c>
      <c r="J115" s="129">
        <f t="shared" si="8"/>
        <v>297.625</v>
      </c>
      <c r="K115" s="130">
        <f t="shared" si="6"/>
        <v>5.718605627887443</v>
      </c>
      <c r="L115" s="131">
        <f>909778+593215.5+203934.5+91391+32233.5+29451.5+14597.5+12123.5+12906+13616</f>
        <v>1913247</v>
      </c>
      <c r="M115" s="132">
        <f>103944+67300+25860+13426+5611+5689+2739+1975+2803+2381</f>
        <v>231728</v>
      </c>
      <c r="N115" s="133">
        <f t="shared" si="9"/>
        <v>8.256434267762204</v>
      </c>
      <c r="O115" s="149"/>
      <c r="P115" s="341"/>
      <c r="Q115" s="83"/>
      <c r="R115" s="83"/>
      <c r="S115" s="83"/>
      <c r="T115" s="83"/>
    </row>
    <row r="116" spans="1:20" ht="12" customHeight="1">
      <c r="A116" s="290">
        <v>112</v>
      </c>
      <c r="B116" s="123" t="s">
        <v>166</v>
      </c>
      <c r="C116" s="139">
        <v>40123</v>
      </c>
      <c r="D116" s="145" t="s">
        <v>326</v>
      </c>
      <c r="E116" s="146">
        <v>144</v>
      </c>
      <c r="F116" s="146">
        <v>12</v>
      </c>
      <c r="G116" s="146">
        <v>9</v>
      </c>
      <c r="H116" s="127">
        <v>12906</v>
      </c>
      <c r="I116" s="128">
        <v>2803</v>
      </c>
      <c r="J116" s="129">
        <f t="shared" si="8"/>
        <v>233.58333333333334</v>
      </c>
      <c r="K116" s="130">
        <f t="shared" si="6"/>
        <v>4.6043524794862645</v>
      </c>
      <c r="L116" s="131">
        <f>909778+593215.5+203934.5+91391+32233.5+29451.5+14597.5+12123.5+12906</f>
        <v>1899631</v>
      </c>
      <c r="M116" s="132">
        <f>103944+67300+25860+13426+5611+5689+2739+1975+2803</f>
        <v>229347</v>
      </c>
      <c r="N116" s="133">
        <f t="shared" si="9"/>
        <v>8.282781113334815</v>
      </c>
      <c r="O116" s="108"/>
      <c r="P116" s="341"/>
      <c r="Q116" s="83"/>
      <c r="R116" s="83"/>
      <c r="S116" s="83"/>
      <c r="T116" s="83"/>
    </row>
    <row r="117" spans="1:20" ht="12" customHeight="1">
      <c r="A117" s="290">
        <v>113</v>
      </c>
      <c r="B117" s="123" t="s">
        <v>166</v>
      </c>
      <c r="C117" s="139">
        <v>40123</v>
      </c>
      <c r="D117" s="145" t="s">
        <v>326</v>
      </c>
      <c r="E117" s="146">
        <v>144</v>
      </c>
      <c r="F117" s="146">
        <v>7</v>
      </c>
      <c r="G117" s="146">
        <v>12</v>
      </c>
      <c r="H117" s="137">
        <v>7885.5</v>
      </c>
      <c r="I117" s="135">
        <v>1755</v>
      </c>
      <c r="J117" s="129">
        <f t="shared" si="8"/>
        <v>250.71428571428572</v>
      </c>
      <c r="K117" s="130">
        <f t="shared" si="6"/>
        <v>4.493162393162393</v>
      </c>
      <c r="L117" s="138">
        <f>909778+593215.5+203934.5+91391+32233.5+29451.5+14597.5+12123.5+12906+13616+5350+7885.5</f>
        <v>1926482.5</v>
      </c>
      <c r="M117" s="136">
        <f>103944+67300+25860+13426+5611+5689+2739+1975+2803+2381+1177+1755</f>
        <v>234660</v>
      </c>
      <c r="N117" s="133">
        <f t="shared" si="9"/>
        <v>8.209675701014234</v>
      </c>
      <c r="O117" s="148"/>
      <c r="P117" s="341"/>
      <c r="Q117" s="83"/>
      <c r="R117" s="83"/>
      <c r="S117" s="83"/>
      <c r="T117" s="83"/>
    </row>
    <row r="118" spans="1:20" ht="12" customHeight="1">
      <c r="A118" s="290">
        <v>114</v>
      </c>
      <c r="B118" s="123" t="s">
        <v>166</v>
      </c>
      <c r="C118" s="139">
        <v>40123</v>
      </c>
      <c r="D118" s="125" t="s">
        <v>326</v>
      </c>
      <c r="E118" s="146">
        <v>144</v>
      </c>
      <c r="F118" s="146">
        <v>1</v>
      </c>
      <c r="G118" s="146">
        <v>22</v>
      </c>
      <c r="H118" s="141">
        <v>5940</v>
      </c>
      <c r="I118" s="142">
        <v>1485</v>
      </c>
      <c r="J118" s="129">
        <f t="shared" si="8"/>
        <v>1485</v>
      </c>
      <c r="K118" s="130">
        <f t="shared" si="6"/>
        <v>4</v>
      </c>
      <c r="L118" s="144">
        <f>909778+593215.5+203934.5+91391+32233.5+29451.5+14597.5+12123.5+12906+13616+5350+7885.5+2130+3662+3564+2376+1780+1424+2848+1620+109+5940</f>
        <v>1951935.5</v>
      </c>
      <c r="M118" s="143">
        <f>103944+67300+25860+13426+5611+5689+2739+1975+2803+2381+1177+1755+350+881+891+594+445+356+712+393+20+1485</f>
        <v>240787</v>
      </c>
      <c r="N118" s="133">
        <f t="shared" si="9"/>
        <v>8.106482077520797</v>
      </c>
      <c r="O118" s="148">
        <v>1</v>
      </c>
      <c r="P118" s="341"/>
      <c r="Q118" s="83"/>
      <c r="R118" s="83"/>
      <c r="S118" s="83"/>
      <c r="T118" s="83"/>
    </row>
    <row r="119" spans="1:20" ht="12" customHeight="1">
      <c r="A119" s="290">
        <v>115</v>
      </c>
      <c r="B119" s="123" t="s">
        <v>166</v>
      </c>
      <c r="C119" s="168">
        <v>40123</v>
      </c>
      <c r="D119" s="145" t="s">
        <v>326</v>
      </c>
      <c r="E119" s="169">
        <v>144</v>
      </c>
      <c r="F119" s="169">
        <v>2</v>
      </c>
      <c r="G119" s="169">
        <v>11</v>
      </c>
      <c r="H119" s="127">
        <v>5350</v>
      </c>
      <c r="I119" s="135">
        <v>1177</v>
      </c>
      <c r="J119" s="129">
        <f t="shared" si="8"/>
        <v>588.5</v>
      </c>
      <c r="K119" s="130">
        <f t="shared" si="6"/>
        <v>4.545454545454546</v>
      </c>
      <c r="L119" s="131">
        <f>909778+593215.5+203934.5+91391+32233.5+29451.5+14597.5+12123.5+12906+13616+5350</f>
        <v>1918597</v>
      </c>
      <c r="M119" s="136">
        <f>103944+67300+25860+13426+5611+5689+2739+1975+2803+2381+1177</f>
        <v>232905</v>
      </c>
      <c r="N119" s="133">
        <f t="shared" si="9"/>
        <v>8.237680599386016</v>
      </c>
      <c r="O119" s="108"/>
      <c r="P119" s="341"/>
      <c r="Q119" s="83"/>
      <c r="R119" s="83"/>
      <c r="S119" s="83"/>
      <c r="T119" s="83"/>
    </row>
    <row r="120" spans="1:20" ht="12" customHeight="1">
      <c r="A120" s="290">
        <v>116</v>
      </c>
      <c r="B120" s="123" t="s">
        <v>166</v>
      </c>
      <c r="C120" s="139">
        <v>40123</v>
      </c>
      <c r="D120" s="145" t="s">
        <v>326</v>
      </c>
      <c r="E120" s="146">
        <v>144</v>
      </c>
      <c r="F120" s="146">
        <v>3</v>
      </c>
      <c r="G120" s="146">
        <v>14</v>
      </c>
      <c r="H120" s="141">
        <v>3662</v>
      </c>
      <c r="I120" s="142">
        <v>881</v>
      </c>
      <c r="J120" s="129">
        <f t="shared" si="8"/>
        <v>293.6666666666667</v>
      </c>
      <c r="K120" s="130">
        <f t="shared" si="6"/>
        <v>4.156640181611805</v>
      </c>
      <c r="L120" s="144">
        <f>909778+593215.5+203934.5+91391+32233.5+29451.5+14597.5+12123.5+12906+13616+5350+7885.5+2130+3662</f>
        <v>1932274.5</v>
      </c>
      <c r="M120" s="143">
        <f>103944+67300+25860+13426+5611+5689+2739+1975+2803+2381+1177+1755+350+881</f>
        <v>235891</v>
      </c>
      <c r="N120" s="133">
        <f t="shared" si="9"/>
        <v>8.191387123713918</v>
      </c>
      <c r="O120" s="108"/>
      <c r="P120" s="341"/>
      <c r="Q120" s="83"/>
      <c r="R120" s="83"/>
      <c r="S120" s="83"/>
      <c r="T120" s="83"/>
    </row>
    <row r="121" spans="1:20" ht="12" customHeight="1">
      <c r="A121" s="290">
        <v>117</v>
      </c>
      <c r="B121" s="123" t="s">
        <v>166</v>
      </c>
      <c r="C121" s="139">
        <v>40123</v>
      </c>
      <c r="D121" s="145" t="s">
        <v>326</v>
      </c>
      <c r="E121" s="146">
        <v>144</v>
      </c>
      <c r="F121" s="146">
        <v>2</v>
      </c>
      <c r="G121" s="146">
        <v>15</v>
      </c>
      <c r="H121" s="150">
        <v>3564</v>
      </c>
      <c r="I121" s="152">
        <v>891</v>
      </c>
      <c r="J121" s="129">
        <f t="shared" si="8"/>
        <v>445.5</v>
      </c>
      <c r="K121" s="130">
        <f t="shared" si="6"/>
        <v>4</v>
      </c>
      <c r="L121" s="154">
        <f>909778+593215.5+203934.5+91391+32233.5+29451.5+14597.5+12123.5+12906+13616+5350+7885.5+2130+3662+3564</f>
        <v>1935838.5</v>
      </c>
      <c r="M121" s="153">
        <f>103944+67300+25860+13426+5611+5689+2739+1975+2803+2381+1177+1755+350+881+891</f>
        <v>236782</v>
      </c>
      <c r="N121" s="133">
        <f t="shared" si="9"/>
        <v>8.175615122771157</v>
      </c>
      <c r="O121" s="149"/>
      <c r="P121" s="341"/>
      <c r="Q121" s="83"/>
      <c r="R121" s="83"/>
      <c r="S121" s="83"/>
      <c r="T121" s="83"/>
    </row>
    <row r="122" spans="1:20" ht="12" customHeight="1">
      <c r="A122" s="290">
        <v>118</v>
      </c>
      <c r="B122" s="123" t="s">
        <v>166</v>
      </c>
      <c r="C122" s="124">
        <v>40123</v>
      </c>
      <c r="D122" s="125" t="s">
        <v>326</v>
      </c>
      <c r="E122" s="126">
        <v>144</v>
      </c>
      <c r="F122" s="126">
        <v>2</v>
      </c>
      <c r="G122" s="126">
        <v>19</v>
      </c>
      <c r="H122" s="137">
        <v>2848</v>
      </c>
      <c r="I122" s="135">
        <v>712</v>
      </c>
      <c r="J122" s="129">
        <f t="shared" si="8"/>
        <v>356</v>
      </c>
      <c r="K122" s="130">
        <f t="shared" si="6"/>
        <v>4</v>
      </c>
      <c r="L122" s="138">
        <f>909778+593215.5+203934.5+91391+32233.5+29451.5+14597.5+12123.5+12906+13616+5350+7885.5+2130+3662+3564+2376+1780+1424+2848</f>
        <v>1944266.5</v>
      </c>
      <c r="M122" s="136">
        <f>103944+67300+25860+13426+5611+5689+2739+1975+2803+2381+1177+1755+350+881+891+594+445+356+712</f>
        <v>238889</v>
      </c>
      <c r="N122" s="133">
        <f t="shared" si="9"/>
        <v>8.13878621451804</v>
      </c>
      <c r="O122" s="159"/>
      <c r="P122" s="341"/>
      <c r="Q122" s="83"/>
      <c r="R122" s="83"/>
      <c r="S122" s="83"/>
      <c r="T122" s="83"/>
    </row>
    <row r="123" spans="1:20" ht="12" customHeight="1">
      <c r="A123" s="290">
        <v>119</v>
      </c>
      <c r="B123" s="123" t="s">
        <v>166</v>
      </c>
      <c r="C123" s="171">
        <v>40123</v>
      </c>
      <c r="D123" s="145" t="s">
        <v>326</v>
      </c>
      <c r="E123" s="156">
        <v>144</v>
      </c>
      <c r="F123" s="156">
        <v>1</v>
      </c>
      <c r="G123" s="156">
        <v>16</v>
      </c>
      <c r="H123" s="157">
        <v>2376</v>
      </c>
      <c r="I123" s="158">
        <v>594</v>
      </c>
      <c r="J123" s="129">
        <f t="shared" si="8"/>
        <v>594</v>
      </c>
      <c r="K123" s="130">
        <f t="shared" si="6"/>
        <v>4</v>
      </c>
      <c r="L123" s="154">
        <f>909778+593215.5+203934.5+91391+32233.5+29451.5+14597.5+12123.5+12906+13616+5350+7885.5+2130+3662+3564+2376</f>
        <v>1938214.5</v>
      </c>
      <c r="M123" s="153">
        <f>103944+67300+25860+13426+5611+5689+2739+1975+2803+2381+1177+1755+350+881+891+594</f>
        <v>237376</v>
      </c>
      <c r="N123" s="133">
        <f t="shared" si="9"/>
        <v>8.165166234160152</v>
      </c>
      <c r="O123" s="149"/>
      <c r="P123" s="341"/>
      <c r="Q123" s="83"/>
      <c r="R123" s="83"/>
      <c r="S123" s="83"/>
      <c r="T123" s="83"/>
    </row>
    <row r="124" spans="1:20" ht="12" customHeight="1">
      <c r="A124" s="290">
        <v>120</v>
      </c>
      <c r="B124" s="123" t="s">
        <v>166</v>
      </c>
      <c r="C124" s="168">
        <v>40123</v>
      </c>
      <c r="D124" s="145" t="s">
        <v>326</v>
      </c>
      <c r="E124" s="169">
        <v>144</v>
      </c>
      <c r="F124" s="169">
        <v>3</v>
      </c>
      <c r="G124" s="169">
        <v>13</v>
      </c>
      <c r="H124" s="137">
        <v>2130</v>
      </c>
      <c r="I124" s="135">
        <v>350</v>
      </c>
      <c r="J124" s="129">
        <f t="shared" si="8"/>
        <v>116.66666666666667</v>
      </c>
      <c r="K124" s="130">
        <f t="shared" si="6"/>
        <v>6.085714285714285</v>
      </c>
      <c r="L124" s="138">
        <f>909778+593215.5+203934.5+91391+32233.5+29451.5+14597.5+12123.5+12906+13616+5350+7885.5+2130</f>
        <v>1928612.5</v>
      </c>
      <c r="M124" s="136">
        <f>103944+67300+25860+13426+5611+5689+2739+1975+2803+2381+1177+1755+350</f>
        <v>235010</v>
      </c>
      <c r="N124" s="133">
        <f t="shared" si="9"/>
        <v>8.206512488830263</v>
      </c>
      <c r="O124" s="108"/>
      <c r="P124" s="341"/>
      <c r="Q124" s="83"/>
      <c r="R124" s="83"/>
      <c r="S124" s="83"/>
      <c r="T124" s="83"/>
    </row>
    <row r="125" spans="1:20" ht="12" customHeight="1">
      <c r="A125" s="290">
        <v>121</v>
      </c>
      <c r="B125" s="123" t="s">
        <v>166</v>
      </c>
      <c r="C125" s="139">
        <v>40123</v>
      </c>
      <c r="D125" s="145" t="s">
        <v>326</v>
      </c>
      <c r="E125" s="146">
        <v>144</v>
      </c>
      <c r="F125" s="146">
        <v>1</v>
      </c>
      <c r="G125" s="146">
        <v>17</v>
      </c>
      <c r="H125" s="127">
        <v>1780</v>
      </c>
      <c r="I125" s="128">
        <v>445</v>
      </c>
      <c r="J125" s="129">
        <f t="shared" si="8"/>
        <v>445</v>
      </c>
      <c r="K125" s="130">
        <f t="shared" si="6"/>
        <v>4</v>
      </c>
      <c r="L125" s="131">
        <f>909778+593215.5+203934.5+91391+32233.5+29451.5+14597.5+12123.5+12906+13616+5350+7885.5+2130+3662+3564+2376+1780</f>
        <v>1939994.5</v>
      </c>
      <c r="M125" s="132">
        <f>103944+67300+25860+13426+5611+5689+2739+1975+2803+2381+1177+1755+350+881+891+594+445</f>
        <v>237821</v>
      </c>
      <c r="N125" s="133">
        <f t="shared" si="9"/>
        <v>8.157372561716585</v>
      </c>
      <c r="O125" s="108"/>
      <c r="P125" s="341"/>
      <c r="Q125" s="83"/>
      <c r="R125" s="83"/>
      <c r="S125" s="83"/>
      <c r="T125" s="83"/>
    </row>
    <row r="126" spans="1:20" ht="12" customHeight="1">
      <c r="A126" s="290">
        <v>122</v>
      </c>
      <c r="B126" s="123" t="s">
        <v>166</v>
      </c>
      <c r="C126" s="139">
        <v>40123</v>
      </c>
      <c r="D126" s="125" t="s">
        <v>326</v>
      </c>
      <c r="E126" s="146">
        <v>144</v>
      </c>
      <c r="F126" s="146">
        <v>2</v>
      </c>
      <c r="G126" s="146">
        <v>20</v>
      </c>
      <c r="H126" s="141">
        <v>1620</v>
      </c>
      <c r="I126" s="142">
        <v>393</v>
      </c>
      <c r="J126" s="129">
        <f t="shared" si="8"/>
        <v>196.5</v>
      </c>
      <c r="K126" s="130">
        <f t="shared" si="6"/>
        <v>4.122137404580153</v>
      </c>
      <c r="L126" s="144">
        <f>909778+593215.5+203934.5+91391+32233.5+29451.5+14597.5+12123.5+12906+13616+5350+7885.5+2130+3662+3564+2376+1780+1424+2848+1620</f>
        <v>1945886.5</v>
      </c>
      <c r="M126" s="143">
        <f>103944+67300+25860+13426+5611+5689+2739+1975+2803+2381+1177+1755+350+881+891+594+445+356+712+393</f>
        <v>239282</v>
      </c>
      <c r="N126" s="133">
        <f t="shared" si="9"/>
        <v>8.132189216071414</v>
      </c>
      <c r="O126" s="149"/>
      <c r="P126" s="341"/>
      <c r="Q126" s="83"/>
      <c r="R126" s="83"/>
      <c r="S126" s="83"/>
      <c r="T126" s="83"/>
    </row>
    <row r="127" spans="1:20" ht="12" customHeight="1">
      <c r="A127" s="290">
        <v>123</v>
      </c>
      <c r="B127" s="123" t="s">
        <v>166</v>
      </c>
      <c r="C127" s="139">
        <v>40123</v>
      </c>
      <c r="D127" s="125" t="s">
        <v>326</v>
      </c>
      <c r="E127" s="146">
        <v>144</v>
      </c>
      <c r="F127" s="146">
        <v>1</v>
      </c>
      <c r="G127" s="146">
        <v>21</v>
      </c>
      <c r="H127" s="141">
        <v>109</v>
      </c>
      <c r="I127" s="142">
        <v>20</v>
      </c>
      <c r="J127" s="129">
        <f t="shared" si="8"/>
        <v>20</v>
      </c>
      <c r="K127" s="130">
        <f t="shared" si="6"/>
        <v>5.45</v>
      </c>
      <c r="L127" s="144">
        <f>909778+593215.5+203934.5+91391+32233.5+29451.5+14597.5+12123.5+12906+13616+5350+7885.5+2130+3662+3564+2376+1780+1424+2848+1620+109</f>
        <v>1945995.5</v>
      </c>
      <c r="M127" s="143">
        <f>103944+67300+25860+13426+5611+5689+2739+1975+2803+2381+1177+1755+350+881+891+594+445+356+712+393+20</f>
        <v>239302</v>
      </c>
      <c r="N127" s="133">
        <f t="shared" si="9"/>
        <v>8.131965048348949</v>
      </c>
      <c r="O127" s="149"/>
      <c r="P127" s="341"/>
      <c r="Q127" s="83"/>
      <c r="R127" s="83"/>
      <c r="S127" s="83"/>
      <c r="T127" s="83"/>
    </row>
    <row r="128" spans="1:20" ht="12" customHeight="1">
      <c r="A128" s="290">
        <v>124</v>
      </c>
      <c r="B128" s="151" t="s">
        <v>140</v>
      </c>
      <c r="C128" s="139">
        <v>39808</v>
      </c>
      <c r="D128" s="125" t="s">
        <v>326</v>
      </c>
      <c r="E128" s="146">
        <v>75</v>
      </c>
      <c r="F128" s="146">
        <v>1</v>
      </c>
      <c r="G128" s="146">
        <v>26</v>
      </c>
      <c r="H128" s="150">
        <v>372</v>
      </c>
      <c r="I128" s="152">
        <v>31</v>
      </c>
      <c r="J128" s="129">
        <f t="shared" si="8"/>
        <v>31</v>
      </c>
      <c r="K128" s="130">
        <f t="shared" si="6"/>
        <v>12</v>
      </c>
      <c r="L128" s="154">
        <v>1791896.5</v>
      </c>
      <c r="M128" s="153">
        <v>182081</v>
      </c>
      <c r="N128" s="133">
        <f t="shared" si="9"/>
        <v>9.841205287756548</v>
      </c>
      <c r="O128" s="149"/>
      <c r="P128" s="341"/>
      <c r="Q128" s="83"/>
      <c r="R128" s="83"/>
      <c r="S128" s="83"/>
      <c r="T128" s="83"/>
    </row>
    <row r="129" spans="1:20" ht="12" customHeight="1">
      <c r="A129" s="290">
        <v>125</v>
      </c>
      <c r="B129" s="151" t="s">
        <v>222</v>
      </c>
      <c r="C129" s="139">
        <v>40165</v>
      </c>
      <c r="D129" s="145" t="s">
        <v>326</v>
      </c>
      <c r="E129" s="146">
        <v>125</v>
      </c>
      <c r="F129" s="146">
        <v>156</v>
      </c>
      <c r="G129" s="146">
        <v>3</v>
      </c>
      <c r="H129" s="127">
        <v>3469556.5</v>
      </c>
      <c r="I129" s="128">
        <v>309119</v>
      </c>
      <c r="J129" s="129">
        <f t="shared" si="8"/>
        <v>1981.5320512820513</v>
      </c>
      <c r="K129" s="130">
        <f t="shared" si="6"/>
        <v>11.224015670340549</v>
      </c>
      <c r="L129" s="131">
        <f>4033069.5+3582182.5+3469556.5</f>
        <v>11084808.5</v>
      </c>
      <c r="M129" s="132">
        <f>383242+338340+309119</f>
        <v>1030701</v>
      </c>
      <c r="N129" s="133">
        <f t="shared" si="9"/>
        <v>10.754630586367918</v>
      </c>
      <c r="O129" s="149"/>
      <c r="P129" s="341"/>
      <c r="Q129" s="83"/>
      <c r="R129" s="83"/>
      <c r="S129" s="83"/>
      <c r="T129" s="83"/>
    </row>
    <row r="130" spans="1:20" ht="12" customHeight="1">
      <c r="A130" s="290">
        <v>126</v>
      </c>
      <c r="B130" s="167" t="s">
        <v>222</v>
      </c>
      <c r="C130" s="168">
        <v>40165</v>
      </c>
      <c r="D130" s="145" t="s">
        <v>326</v>
      </c>
      <c r="E130" s="169">
        <v>125</v>
      </c>
      <c r="F130" s="169">
        <v>156</v>
      </c>
      <c r="G130" s="169">
        <v>5</v>
      </c>
      <c r="H130" s="127">
        <v>3107541.5</v>
      </c>
      <c r="I130" s="135">
        <v>290779</v>
      </c>
      <c r="J130" s="129">
        <f t="shared" si="8"/>
        <v>1863.9679487179487</v>
      </c>
      <c r="K130" s="130">
        <f t="shared" si="6"/>
        <v>10.686952978034865</v>
      </c>
      <c r="L130" s="131">
        <f>4033069.5+3582182.5+3469556.5+3099545+3107541.5</f>
        <v>17291895</v>
      </c>
      <c r="M130" s="136">
        <f>383242+338340+309119+280170+290779</f>
        <v>1601650</v>
      </c>
      <c r="N130" s="133">
        <f t="shared" si="9"/>
        <v>10.796300689913526</v>
      </c>
      <c r="O130" s="185"/>
      <c r="P130" s="341"/>
      <c r="Q130" s="83"/>
      <c r="R130" s="83"/>
      <c r="S130" s="83"/>
      <c r="T130" s="83"/>
    </row>
    <row r="131" spans="1:20" ht="12" customHeight="1">
      <c r="A131" s="290">
        <v>127</v>
      </c>
      <c r="B131" s="151" t="s">
        <v>222</v>
      </c>
      <c r="C131" s="139">
        <v>40165</v>
      </c>
      <c r="D131" s="145" t="s">
        <v>326</v>
      </c>
      <c r="E131" s="146">
        <v>125</v>
      </c>
      <c r="F131" s="146">
        <v>158</v>
      </c>
      <c r="G131" s="146">
        <v>4</v>
      </c>
      <c r="H131" s="127">
        <v>3099545</v>
      </c>
      <c r="I131" s="128">
        <v>280170</v>
      </c>
      <c r="J131" s="129">
        <f t="shared" si="8"/>
        <v>1773.2278481012659</v>
      </c>
      <c r="K131" s="130">
        <f t="shared" si="6"/>
        <v>11.063086697362316</v>
      </c>
      <c r="L131" s="131">
        <f>4033069.5+3582182.5+3469556.5+3099545</f>
        <v>14184353.5</v>
      </c>
      <c r="M131" s="132">
        <f>383242+338340+309119+280170</f>
        <v>1310871</v>
      </c>
      <c r="N131" s="133">
        <f t="shared" si="9"/>
        <v>10.820556332392737</v>
      </c>
      <c r="O131" s="149"/>
      <c r="P131" s="341"/>
      <c r="Q131" s="83"/>
      <c r="R131" s="83"/>
      <c r="S131" s="83"/>
      <c r="T131" s="83"/>
    </row>
    <row r="132" spans="1:20" ht="12" customHeight="1">
      <c r="A132" s="290">
        <v>128</v>
      </c>
      <c r="B132" s="151" t="s">
        <v>222</v>
      </c>
      <c r="C132" s="139">
        <v>40165</v>
      </c>
      <c r="D132" s="145" t="s">
        <v>326</v>
      </c>
      <c r="E132" s="146">
        <v>125</v>
      </c>
      <c r="F132" s="146">
        <v>146</v>
      </c>
      <c r="G132" s="146">
        <v>6</v>
      </c>
      <c r="H132" s="137">
        <v>2751160</v>
      </c>
      <c r="I132" s="135">
        <v>261753</v>
      </c>
      <c r="J132" s="129">
        <f t="shared" si="8"/>
        <v>1792.8287671232877</v>
      </c>
      <c r="K132" s="130">
        <f t="shared" si="6"/>
        <v>10.510519459184804</v>
      </c>
      <c r="L132" s="138">
        <f>4033069.5+3582182.5+3469556.5+3099545+3107521.5+2751160</f>
        <v>20043035</v>
      </c>
      <c r="M132" s="136">
        <f>383242+338340+309119+280170+290777+261753</f>
        <v>1863401</v>
      </c>
      <c r="N132" s="133">
        <f t="shared" si="9"/>
        <v>10.756157692305628</v>
      </c>
      <c r="O132" s="149"/>
      <c r="P132" s="341"/>
      <c r="Q132" s="83"/>
      <c r="R132" s="83"/>
      <c r="S132" s="83"/>
      <c r="T132" s="83"/>
    </row>
    <row r="133" spans="1:20" ht="12" customHeight="1">
      <c r="A133" s="290">
        <v>129</v>
      </c>
      <c r="B133" s="167" t="s">
        <v>222</v>
      </c>
      <c r="C133" s="168">
        <v>40165</v>
      </c>
      <c r="D133" s="145" t="s">
        <v>326</v>
      </c>
      <c r="E133" s="169">
        <v>125</v>
      </c>
      <c r="F133" s="169">
        <v>147</v>
      </c>
      <c r="G133" s="169">
        <v>7</v>
      </c>
      <c r="H133" s="137">
        <v>2297673.5</v>
      </c>
      <c r="I133" s="135">
        <v>222617</v>
      </c>
      <c r="J133" s="129">
        <f aca="true" t="shared" si="10" ref="J133:J155">I133/F133</f>
        <v>1514.4013605442176</v>
      </c>
      <c r="K133" s="130">
        <f aca="true" t="shared" si="11" ref="K133:K196">H133/I133</f>
        <v>10.32119514682167</v>
      </c>
      <c r="L133" s="138">
        <f>4033069.5+3582182.5+3469556.5+3099545+3107521.5+2751160+2297673.5</f>
        <v>22340708.5</v>
      </c>
      <c r="M133" s="136">
        <f>383242+338340+309119+280170+290777+261753+222617</f>
        <v>2086018</v>
      </c>
      <c r="N133" s="133">
        <f aca="true" t="shared" si="12" ref="N133:N155">+L133/M133</f>
        <v>10.709739081829591</v>
      </c>
      <c r="O133" s="148">
        <v>1</v>
      </c>
      <c r="P133" s="341"/>
      <c r="Q133" s="83"/>
      <c r="R133" s="83"/>
      <c r="S133" s="83"/>
      <c r="T133" s="83"/>
    </row>
    <row r="134" spans="1:20" ht="12" customHeight="1">
      <c r="A134" s="290">
        <v>130</v>
      </c>
      <c r="B134" s="151" t="s">
        <v>222</v>
      </c>
      <c r="C134" s="139">
        <v>40165</v>
      </c>
      <c r="D134" s="145" t="s">
        <v>326</v>
      </c>
      <c r="E134" s="146">
        <v>125</v>
      </c>
      <c r="F134" s="146">
        <v>147</v>
      </c>
      <c r="G134" s="146">
        <v>8</v>
      </c>
      <c r="H134" s="141">
        <v>1520298</v>
      </c>
      <c r="I134" s="142">
        <v>140396</v>
      </c>
      <c r="J134" s="129">
        <f t="shared" si="10"/>
        <v>955.0748299319728</v>
      </c>
      <c r="K134" s="130">
        <f t="shared" si="11"/>
        <v>10.82864184164791</v>
      </c>
      <c r="L134" s="144">
        <f>4033069.5+3582182.5+3469556.5+3099545+3107521.5+2751160+2297673.5+1520298</f>
        <v>23861006.5</v>
      </c>
      <c r="M134" s="143">
        <f>383242+338340+309119+280170+290777+261753+222617+140396</f>
        <v>2226414</v>
      </c>
      <c r="N134" s="133">
        <f t="shared" si="12"/>
        <v>10.717237000845305</v>
      </c>
      <c r="O134" s="149"/>
      <c r="P134" s="341"/>
      <c r="Q134" s="83"/>
      <c r="R134" s="83"/>
      <c r="S134" s="83"/>
      <c r="T134" s="83"/>
    </row>
    <row r="135" spans="1:20" ht="12" customHeight="1">
      <c r="A135" s="290">
        <v>131</v>
      </c>
      <c r="B135" s="151" t="s">
        <v>222</v>
      </c>
      <c r="C135" s="139">
        <v>40165</v>
      </c>
      <c r="D135" s="145" t="s">
        <v>326</v>
      </c>
      <c r="E135" s="146">
        <v>125</v>
      </c>
      <c r="F135" s="146">
        <v>122</v>
      </c>
      <c r="G135" s="146">
        <v>9</v>
      </c>
      <c r="H135" s="150">
        <v>778693.5</v>
      </c>
      <c r="I135" s="152">
        <v>74659</v>
      </c>
      <c r="J135" s="129">
        <f t="shared" si="10"/>
        <v>611.9590163934427</v>
      </c>
      <c r="K135" s="130">
        <f t="shared" si="11"/>
        <v>10.430001741250218</v>
      </c>
      <c r="L135" s="154">
        <f>4033069.5+3582182.5+3469556.5+3099545+3107521.5+2751160+2297667.5+1520298+788693.5</f>
        <v>24649694</v>
      </c>
      <c r="M135" s="153">
        <f>383242+338340+309119+280170+290777+261753+222617+140396+74659</f>
        <v>2301073</v>
      </c>
      <c r="N135" s="133">
        <f t="shared" si="12"/>
        <v>10.712260758350562</v>
      </c>
      <c r="O135" s="149"/>
      <c r="P135" s="341"/>
      <c r="Q135" s="83"/>
      <c r="R135" s="83"/>
      <c r="S135" s="83"/>
      <c r="T135" s="83"/>
    </row>
    <row r="136" spans="1:20" ht="12" customHeight="1">
      <c r="A136" s="290">
        <v>132</v>
      </c>
      <c r="B136" s="151" t="s">
        <v>222</v>
      </c>
      <c r="C136" s="139">
        <v>40165</v>
      </c>
      <c r="D136" s="145" t="s">
        <v>326</v>
      </c>
      <c r="E136" s="146">
        <v>125</v>
      </c>
      <c r="F136" s="146">
        <v>106</v>
      </c>
      <c r="G136" s="146">
        <v>10</v>
      </c>
      <c r="H136" s="150">
        <v>562184.5</v>
      </c>
      <c r="I136" s="152">
        <v>50484</v>
      </c>
      <c r="J136" s="129">
        <f t="shared" si="10"/>
        <v>476.2641509433962</v>
      </c>
      <c r="K136" s="130">
        <f t="shared" si="11"/>
        <v>11.135894540844625</v>
      </c>
      <c r="L136" s="154">
        <f>4033069.5+3582182.5+3469556.5+3099545+3107521.5+2751160+2297667.5+1520298+788693.5+562184.5</f>
        <v>25211878.5</v>
      </c>
      <c r="M136" s="153">
        <f>383242+338340+309119+280170+290777+261753+222617+140396+74659+50484</f>
        <v>2351557</v>
      </c>
      <c r="N136" s="133">
        <f t="shared" si="12"/>
        <v>10.721355467887872</v>
      </c>
      <c r="O136" s="148"/>
      <c r="P136" s="341"/>
      <c r="Q136" s="83"/>
      <c r="R136" s="83"/>
      <c r="S136" s="83"/>
      <c r="T136" s="83"/>
    </row>
    <row r="137" spans="1:20" ht="12" customHeight="1">
      <c r="A137" s="290">
        <v>133</v>
      </c>
      <c r="B137" s="151" t="s">
        <v>222</v>
      </c>
      <c r="C137" s="171">
        <v>40165</v>
      </c>
      <c r="D137" s="145" t="s">
        <v>326</v>
      </c>
      <c r="E137" s="156">
        <v>125</v>
      </c>
      <c r="F137" s="156">
        <v>64</v>
      </c>
      <c r="G137" s="156">
        <v>11</v>
      </c>
      <c r="H137" s="157">
        <v>348660.5</v>
      </c>
      <c r="I137" s="158">
        <v>29496</v>
      </c>
      <c r="J137" s="129">
        <f t="shared" si="10"/>
        <v>460.875</v>
      </c>
      <c r="K137" s="130">
        <f t="shared" si="11"/>
        <v>11.820602793599132</v>
      </c>
      <c r="L137" s="154">
        <f>4033069.5+3582182.5+3469556.5+3099545+3107521.5+2751160+2297667.5+1520298+788693.5+562184.5+348660.5</f>
        <v>25560539</v>
      </c>
      <c r="M137" s="153">
        <f>383242+338340+309119+280170+290777+261753+222617+140396+74659+50484+29496</f>
        <v>2381053</v>
      </c>
      <c r="N137" s="133">
        <f t="shared" si="12"/>
        <v>10.73497272005285</v>
      </c>
      <c r="O137" s="147"/>
      <c r="P137" s="341"/>
      <c r="Q137" s="83"/>
      <c r="R137" s="83"/>
      <c r="S137" s="83"/>
      <c r="T137" s="83"/>
    </row>
    <row r="138" spans="1:20" ht="12" customHeight="1">
      <c r="A138" s="290">
        <v>134</v>
      </c>
      <c r="B138" s="151" t="s">
        <v>222</v>
      </c>
      <c r="C138" s="171">
        <v>40165</v>
      </c>
      <c r="D138" s="145" t="s">
        <v>326</v>
      </c>
      <c r="E138" s="156">
        <v>125</v>
      </c>
      <c r="F138" s="156">
        <v>53</v>
      </c>
      <c r="G138" s="156">
        <v>12</v>
      </c>
      <c r="H138" s="157">
        <v>276467.5</v>
      </c>
      <c r="I138" s="158">
        <v>23353</v>
      </c>
      <c r="J138" s="129">
        <f t="shared" si="10"/>
        <v>440.62264150943395</v>
      </c>
      <c r="K138" s="130">
        <f t="shared" si="11"/>
        <v>11.838628869952469</v>
      </c>
      <c r="L138" s="154">
        <f>4033069.5+3582182.5+3469556.5+3099545+3107521.5+2751160+2297667.5+1520298+788693.5+562184.5+348660.5+276467.5</f>
        <v>25837006.5</v>
      </c>
      <c r="M138" s="153">
        <f>383242+338340+309119+280170+290777+261753+222617+140396+74659+50484+29496+23353</f>
        <v>2404406</v>
      </c>
      <c r="N138" s="133">
        <f t="shared" si="12"/>
        <v>10.74569207529843</v>
      </c>
      <c r="O138" s="166"/>
      <c r="P138" s="341"/>
      <c r="Q138" s="83"/>
      <c r="R138" s="83"/>
      <c r="S138" s="83"/>
      <c r="T138" s="83"/>
    </row>
    <row r="139" spans="1:20" ht="12" customHeight="1">
      <c r="A139" s="290">
        <v>135</v>
      </c>
      <c r="B139" s="182" t="s">
        <v>222</v>
      </c>
      <c r="C139" s="171">
        <v>40165</v>
      </c>
      <c r="D139" s="145" t="s">
        <v>326</v>
      </c>
      <c r="E139" s="156">
        <v>125</v>
      </c>
      <c r="F139" s="156">
        <v>40</v>
      </c>
      <c r="G139" s="156">
        <v>13</v>
      </c>
      <c r="H139" s="157">
        <v>182912.5</v>
      </c>
      <c r="I139" s="158">
        <v>15006</v>
      </c>
      <c r="J139" s="129">
        <f t="shared" si="10"/>
        <v>375.15</v>
      </c>
      <c r="K139" s="130">
        <f t="shared" si="11"/>
        <v>12.189290950286551</v>
      </c>
      <c r="L139" s="154">
        <f>4033069.5+3582182.5+3469556.5+3099545+3107521.5+2751160+2297667.5+1520298+788693.5+562184.5+348660.5+276467.5+182912.5</f>
        <v>26019919</v>
      </c>
      <c r="M139" s="153">
        <f>383242+338340+309119+280170+290777+261753+222617+140396+74659+50484+29496+23353+15006</f>
        <v>2419412</v>
      </c>
      <c r="N139" s="133">
        <f t="shared" si="12"/>
        <v>10.754645756902917</v>
      </c>
      <c r="O139" s="170"/>
      <c r="P139" s="341"/>
      <c r="Q139" s="83"/>
      <c r="R139" s="83"/>
      <c r="S139" s="83"/>
      <c r="T139" s="83"/>
    </row>
    <row r="140" spans="1:20" ht="12" customHeight="1">
      <c r="A140" s="290">
        <v>136</v>
      </c>
      <c r="B140" s="123" t="s">
        <v>222</v>
      </c>
      <c r="C140" s="139">
        <v>40165</v>
      </c>
      <c r="D140" s="125" t="s">
        <v>326</v>
      </c>
      <c r="E140" s="146">
        <v>150</v>
      </c>
      <c r="F140" s="146">
        <v>68</v>
      </c>
      <c r="G140" s="146">
        <v>38</v>
      </c>
      <c r="H140" s="141">
        <v>135084.5</v>
      </c>
      <c r="I140" s="142">
        <v>11058</v>
      </c>
      <c r="J140" s="129">
        <f t="shared" si="10"/>
        <v>162.61764705882354</v>
      </c>
      <c r="K140" s="130">
        <f t="shared" si="11"/>
        <v>12.215997467896546</v>
      </c>
      <c r="L140" s="144">
        <f>26351050.5+1782+1045+250+135084.5</f>
        <v>26489212</v>
      </c>
      <c r="M140" s="143">
        <f>2457871+446+113+30+11058</f>
        <v>2469518</v>
      </c>
      <c r="N140" s="133">
        <f t="shared" si="12"/>
        <v>10.726470509629815</v>
      </c>
      <c r="O140" s="149"/>
      <c r="P140" s="341"/>
      <c r="Q140" s="83"/>
      <c r="R140" s="83"/>
      <c r="S140" s="83"/>
      <c r="T140" s="83"/>
    </row>
    <row r="141" spans="1:20" ht="12" customHeight="1">
      <c r="A141" s="290">
        <v>137</v>
      </c>
      <c r="B141" s="182" t="s">
        <v>222</v>
      </c>
      <c r="C141" s="171">
        <v>40165</v>
      </c>
      <c r="D141" s="145" t="s">
        <v>326</v>
      </c>
      <c r="E141" s="156">
        <v>125</v>
      </c>
      <c r="F141" s="156">
        <v>7</v>
      </c>
      <c r="G141" s="156">
        <v>14</v>
      </c>
      <c r="H141" s="157">
        <v>83992.5</v>
      </c>
      <c r="I141" s="158">
        <v>11893</v>
      </c>
      <c r="J141" s="129">
        <f t="shared" si="10"/>
        <v>1699</v>
      </c>
      <c r="K141" s="130">
        <f t="shared" si="11"/>
        <v>7.062347599428235</v>
      </c>
      <c r="L141" s="154">
        <f>4033069.5+3582182.5+3469556.5+3099545+3107521.5+2751160+2297667.5+1520298+788693.5+562184.5+348660.5+276467.5+182912.5+83992.5</f>
        <v>26103911.5</v>
      </c>
      <c r="M141" s="153">
        <f>383242+338340+309119+280170+290777+261753+222617+140396+74659+50484+29496+23353+15006+11893</f>
        <v>2431305</v>
      </c>
      <c r="N141" s="133">
        <f t="shared" si="12"/>
        <v>10.736584468012035</v>
      </c>
      <c r="O141" s="149"/>
      <c r="P141" s="341"/>
      <c r="Q141" s="83"/>
      <c r="R141" s="83"/>
      <c r="S141" s="83"/>
      <c r="T141" s="83"/>
    </row>
    <row r="142" spans="1:20" ht="12" customHeight="1">
      <c r="A142" s="290">
        <v>138</v>
      </c>
      <c r="B142" s="123" t="s">
        <v>222</v>
      </c>
      <c r="C142" s="124">
        <v>40165</v>
      </c>
      <c r="D142" s="125" t="s">
        <v>326</v>
      </c>
      <c r="E142" s="126">
        <v>150</v>
      </c>
      <c r="F142" s="126">
        <v>57</v>
      </c>
      <c r="G142" s="126">
        <v>39</v>
      </c>
      <c r="H142" s="137">
        <v>75530.5</v>
      </c>
      <c r="I142" s="135">
        <v>6318</v>
      </c>
      <c r="J142" s="129">
        <f t="shared" si="10"/>
        <v>110.84210526315789</v>
      </c>
      <c r="K142" s="130">
        <f t="shared" si="11"/>
        <v>11.954811649256094</v>
      </c>
      <c r="L142" s="138">
        <f>26351050.5+1782+1045+250+135084.5+75530.5</f>
        <v>26564742.5</v>
      </c>
      <c r="M142" s="136">
        <f>2457871+446+113+30+11058+6318</f>
        <v>2475836</v>
      </c>
      <c r="N142" s="133">
        <f t="shared" si="12"/>
        <v>10.729605070772054</v>
      </c>
      <c r="O142" s="149"/>
      <c r="P142" s="341"/>
      <c r="Q142" s="83"/>
      <c r="R142" s="83"/>
      <c r="S142" s="83"/>
      <c r="T142" s="83"/>
    </row>
    <row r="143" spans="1:20" ht="12" customHeight="1">
      <c r="A143" s="290">
        <v>139</v>
      </c>
      <c r="B143" s="123" t="s">
        <v>222</v>
      </c>
      <c r="C143" s="124">
        <v>40165</v>
      </c>
      <c r="D143" s="145" t="s">
        <v>326</v>
      </c>
      <c r="E143" s="126">
        <v>125</v>
      </c>
      <c r="F143" s="126">
        <v>5</v>
      </c>
      <c r="G143" s="126">
        <v>15</v>
      </c>
      <c r="H143" s="127">
        <v>49671.5</v>
      </c>
      <c r="I143" s="135">
        <v>4985</v>
      </c>
      <c r="J143" s="129">
        <f t="shared" si="10"/>
        <v>997</v>
      </c>
      <c r="K143" s="130">
        <f t="shared" si="11"/>
        <v>9.964192577733199</v>
      </c>
      <c r="L143" s="131">
        <f>4033069.5+3582182.5+3469556.5+3099545+3107521.5+2751160+2297667.5+1520298+788693.5+562184.5+348660.5+276467.5+182912.5+83992.5+49671.5</f>
        <v>26153583</v>
      </c>
      <c r="M143" s="136">
        <f>383242+338340+309119+280170+290777+261753+222617+140396+74659+50484+29496+23353+15006+11893+4985</f>
        <v>2436290</v>
      </c>
      <c r="N143" s="133">
        <f t="shared" si="12"/>
        <v>10.735004043032644</v>
      </c>
      <c r="O143" s="149">
        <v>1</v>
      </c>
      <c r="P143" s="341"/>
      <c r="Q143" s="83"/>
      <c r="R143" s="83"/>
      <c r="S143" s="83"/>
      <c r="T143" s="83"/>
    </row>
    <row r="144" spans="1:20" ht="12" customHeight="1">
      <c r="A144" s="290">
        <v>140</v>
      </c>
      <c r="B144" s="182" t="s">
        <v>222</v>
      </c>
      <c r="C144" s="139">
        <v>40165</v>
      </c>
      <c r="D144" s="145" t="s">
        <v>326</v>
      </c>
      <c r="E144" s="156">
        <v>125</v>
      </c>
      <c r="F144" s="156">
        <v>7</v>
      </c>
      <c r="G144" s="156">
        <v>17</v>
      </c>
      <c r="H144" s="157">
        <v>44685</v>
      </c>
      <c r="I144" s="158">
        <v>4321</v>
      </c>
      <c r="J144" s="129">
        <f t="shared" si="10"/>
        <v>617.2857142857143</v>
      </c>
      <c r="K144" s="130">
        <f t="shared" si="11"/>
        <v>10.341356167553807</v>
      </c>
      <c r="L144" s="154">
        <f>4033069.5+3582182.5+3469556.5+3099545+3107521.5+2751160+2297667.5+1520298+788693.5+562184.5+348660.5+276467.5+182912.5+83992.5+49671.5+34864+44685</f>
        <v>26233132</v>
      </c>
      <c r="M144" s="153">
        <f>383242+338340+309119+280170+290777+261753+222617+140396+74659+50484+29496+23353+15006+11893+4985+3244+4321</f>
        <v>2443855</v>
      </c>
      <c r="N144" s="133">
        <f t="shared" si="12"/>
        <v>10.734324254098546</v>
      </c>
      <c r="O144" s="108">
        <v>1</v>
      </c>
      <c r="P144" s="341"/>
      <c r="Q144" s="83"/>
      <c r="R144" s="83"/>
      <c r="S144" s="83"/>
      <c r="T144" s="83"/>
    </row>
    <row r="145" spans="1:20" ht="12" customHeight="1">
      <c r="A145" s="290">
        <v>141</v>
      </c>
      <c r="B145" s="182" t="s">
        <v>222</v>
      </c>
      <c r="C145" s="139">
        <v>40165</v>
      </c>
      <c r="D145" s="145" t="s">
        <v>326</v>
      </c>
      <c r="E145" s="156">
        <v>150</v>
      </c>
      <c r="F145" s="156">
        <v>25</v>
      </c>
      <c r="G145" s="156">
        <v>40</v>
      </c>
      <c r="H145" s="157">
        <v>42949.5</v>
      </c>
      <c r="I145" s="158">
        <v>3444</v>
      </c>
      <c r="J145" s="129">
        <f t="shared" si="10"/>
        <v>137.76</v>
      </c>
      <c r="K145" s="130">
        <f t="shared" si="11"/>
        <v>12.470818815331011</v>
      </c>
      <c r="L145" s="154">
        <v>26607692</v>
      </c>
      <c r="M145" s="153">
        <v>2479280</v>
      </c>
      <c r="N145" s="133">
        <f t="shared" si="12"/>
        <v>10.73202381336517</v>
      </c>
      <c r="O145" s="110"/>
      <c r="P145" s="341"/>
      <c r="Q145" s="83"/>
      <c r="R145" s="83"/>
      <c r="S145" s="83"/>
      <c r="T145" s="83"/>
    </row>
    <row r="146" spans="1:20" ht="12" customHeight="1">
      <c r="A146" s="290">
        <v>142</v>
      </c>
      <c r="B146" s="123" t="s">
        <v>222</v>
      </c>
      <c r="C146" s="124">
        <v>40165</v>
      </c>
      <c r="D146" s="145" t="s">
        <v>326</v>
      </c>
      <c r="E146" s="126">
        <v>125</v>
      </c>
      <c r="F146" s="126">
        <v>6</v>
      </c>
      <c r="G146" s="126">
        <v>16</v>
      </c>
      <c r="H146" s="127">
        <v>34864</v>
      </c>
      <c r="I146" s="135">
        <v>3244</v>
      </c>
      <c r="J146" s="129">
        <f t="shared" si="10"/>
        <v>540.6666666666666</v>
      </c>
      <c r="K146" s="130">
        <f t="shared" si="11"/>
        <v>10.747225647348952</v>
      </c>
      <c r="L146" s="131">
        <f>4033069.5+3582182.5+3469556.5+3099545+3107521.5+2751160+2297667.5+1520298+788693.5+562184.5+348660.5+276467.5+182912.5+83992.5+49671.5+34864</f>
        <v>26188447</v>
      </c>
      <c r="M146" s="136">
        <f>383242+338340+309119+280170+290777+261753+222617+140396+74659+50484+29496+23353+15006+11893+4985+3244</f>
        <v>2439534</v>
      </c>
      <c r="N146" s="133">
        <f t="shared" si="12"/>
        <v>10.735020294859591</v>
      </c>
      <c r="O146" s="108"/>
      <c r="P146" s="341"/>
      <c r="Q146" s="83"/>
      <c r="R146" s="83"/>
      <c r="S146" s="83"/>
      <c r="T146" s="83"/>
    </row>
    <row r="147" spans="1:20" ht="12" customHeight="1">
      <c r="A147" s="290">
        <v>143</v>
      </c>
      <c r="B147" s="182" t="s">
        <v>222</v>
      </c>
      <c r="C147" s="139">
        <v>40165</v>
      </c>
      <c r="D147" s="145" t="s">
        <v>326</v>
      </c>
      <c r="E147" s="156">
        <v>125</v>
      </c>
      <c r="F147" s="156">
        <v>5</v>
      </c>
      <c r="G147" s="156">
        <v>18</v>
      </c>
      <c r="H147" s="157">
        <v>34334</v>
      </c>
      <c r="I147" s="158">
        <v>2421</v>
      </c>
      <c r="J147" s="129">
        <f t="shared" si="10"/>
        <v>484.2</v>
      </c>
      <c r="K147" s="130">
        <f t="shared" si="11"/>
        <v>14.181743081371334</v>
      </c>
      <c r="L147" s="154">
        <f>4033069.5+3582182.5+3469556.5+3099545+3107521.5+2751160+2297667.5+1520298+788693.5+562184.5+348660.5+276467.5+182912.5+83992.5+49671.5+36300+44685+34334</f>
        <v>26268902</v>
      </c>
      <c r="M147" s="153">
        <f>383242+338340+309119+280170+290777+261753+222617+140396+74659+50484+29496+23353+15006+11893+4985+3385+4321+2421</f>
        <v>2446417</v>
      </c>
      <c r="N147" s="133">
        <f t="shared" si="12"/>
        <v>10.73770416081968</v>
      </c>
      <c r="O147" s="110"/>
      <c r="P147" s="341"/>
      <c r="Q147" s="83"/>
      <c r="R147" s="83"/>
      <c r="S147" s="83"/>
      <c r="T147" s="83"/>
    </row>
    <row r="148" spans="1:20" ht="12" customHeight="1">
      <c r="A148" s="290">
        <v>144</v>
      </c>
      <c r="B148" s="161" t="s">
        <v>222</v>
      </c>
      <c r="C148" s="139">
        <v>40165</v>
      </c>
      <c r="D148" s="145" t="s">
        <v>326</v>
      </c>
      <c r="E148" s="146">
        <v>125</v>
      </c>
      <c r="F148" s="146">
        <v>2</v>
      </c>
      <c r="G148" s="146">
        <v>28</v>
      </c>
      <c r="H148" s="127">
        <v>14538</v>
      </c>
      <c r="I148" s="128">
        <v>926</v>
      </c>
      <c r="J148" s="129">
        <f t="shared" si="10"/>
        <v>463</v>
      </c>
      <c r="K148" s="130">
        <f t="shared" si="11"/>
        <v>15.699784017278617</v>
      </c>
      <c r="L148" s="131">
        <f>4033069.5+3582182.5+3469556.5+3099545+3107521.5+2751160+2297667.5+1520298+788693.5+562184.5+348660.5+276467.5+182912.5+83992.5+49671.5+34864+44685+34334+3879.5+2808.5+2736+5711.5+5766+2541+1542+835+676+14538</f>
        <v>26308499.5</v>
      </c>
      <c r="M148" s="132">
        <f>383242+338340+309119+280170+290777+261753+222617+140396+74659+50484+29496+23353+15006+11893+4985+3244+4321+2421+508+237+230+636+1071+618+170+166+146+926</f>
        <v>2450984</v>
      </c>
      <c r="N148" s="133">
        <f t="shared" si="12"/>
        <v>10.733851995769863</v>
      </c>
      <c r="O148" s="147"/>
      <c r="P148" s="341"/>
      <c r="Q148" s="83"/>
      <c r="R148" s="83"/>
      <c r="S148" s="83"/>
      <c r="T148" s="83"/>
    </row>
    <row r="149" spans="1:20" ht="12" customHeight="1">
      <c r="A149" s="290">
        <v>145</v>
      </c>
      <c r="B149" s="123" t="s">
        <v>222</v>
      </c>
      <c r="C149" s="124">
        <v>40165</v>
      </c>
      <c r="D149" s="125" t="s">
        <v>326</v>
      </c>
      <c r="E149" s="126">
        <v>125</v>
      </c>
      <c r="F149" s="126">
        <v>7</v>
      </c>
      <c r="G149" s="126">
        <v>30</v>
      </c>
      <c r="H149" s="137">
        <v>13254.5</v>
      </c>
      <c r="I149" s="135">
        <v>2328</v>
      </c>
      <c r="J149" s="129">
        <f t="shared" si="10"/>
        <v>332.57142857142856</v>
      </c>
      <c r="K149" s="130">
        <f t="shared" si="11"/>
        <v>5.693513745704467</v>
      </c>
      <c r="L149" s="138">
        <f>4033069.5+3582182.5+3469556.5+3099545+3107521.5+2751160+2297667.5+1520298+788693.5+562184.5+348660.5+276467.5+182912.5+83992.5+49671.5+34864+44685+34334+3879.5+2808.5+2736+5711.5+5766+2541+1542+835+676+14538+9150+13254.5</f>
        <v>26330904</v>
      </c>
      <c r="M149" s="136">
        <f>383242+338340+309119+280170+290777+261753+222617+140396+74659+50484+29496+23353+15006+11893+4985+3244+4321+2421+508+237+230+636+1071+618+170+166+146+926+1340+2328</f>
        <v>2454652</v>
      </c>
      <c r="N149" s="133">
        <f t="shared" si="12"/>
        <v>10.726939704691338</v>
      </c>
      <c r="O149" s="110"/>
      <c r="P149" s="341"/>
      <c r="Q149" s="83"/>
      <c r="R149" s="83"/>
      <c r="S149" s="83"/>
      <c r="T149" s="83"/>
    </row>
    <row r="150" spans="1:20" ht="12" customHeight="1">
      <c r="A150" s="290">
        <v>146</v>
      </c>
      <c r="B150" s="123" t="s">
        <v>222</v>
      </c>
      <c r="C150" s="124">
        <v>40165</v>
      </c>
      <c r="D150" s="125" t="s">
        <v>326</v>
      </c>
      <c r="E150" s="126">
        <v>125</v>
      </c>
      <c r="F150" s="126">
        <v>5</v>
      </c>
      <c r="G150" s="126">
        <v>31</v>
      </c>
      <c r="H150" s="127">
        <v>8780.5</v>
      </c>
      <c r="I150" s="128">
        <v>1474</v>
      </c>
      <c r="J150" s="129">
        <f t="shared" si="10"/>
        <v>294.8</v>
      </c>
      <c r="K150" s="130">
        <f t="shared" si="11"/>
        <v>5.956919945725915</v>
      </c>
      <c r="L150" s="131">
        <f>4033069.5+3582182.5+3469556.5+3099545+3107521.5+2751160+2297667.5+1520298+788693.5+562184.5+348660.5+276467.5+182912.5+83992.5+49671.5+34864+44685+34334+3879.5+2808.5+2736+5711.5+5766+2541+1542+835+676+14538+9150+13254.5+8780.5</f>
        <v>26339684.5</v>
      </c>
      <c r="M150" s="132">
        <f>383242+338340+309119+280170+290777+261753+222617+140396+74659+50484+29496+23353+15006+11893+4985+3244+4321+2421+508+237+230+636+1071+618+170+166+146+926+1340+2328+1474</f>
        <v>2456126</v>
      </c>
      <c r="N150" s="133">
        <f t="shared" si="12"/>
        <v>10.724077062821696</v>
      </c>
      <c r="O150" s="110"/>
      <c r="P150" s="341"/>
      <c r="Q150" s="83"/>
      <c r="R150" s="83"/>
      <c r="S150" s="83"/>
      <c r="T150" s="83"/>
    </row>
    <row r="151" spans="1:20" ht="12" customHeight="1">
      <c r="A151" s="290">
        <v>147</v>
      </c>
      <c r="B151" s="123" t="s">
        <v>222</v>
      </c>
      <c r="C151" s="139">
        <v>40165</v>
      </c>
      <c r="D151" s="125" t="s">
        <v>326</v>
      </c>
      <c r="E151" s="146">
        <v>125</v>
      </c>
      <c r="F151" s="146">
        <v>4</v>
      </c>
      <c r="G151" s="146">
        <v>32</v>
      </c>
      <c r="H151" s="141">
        <v>8011.5</v>
      </c>
      <c r="I151" s="142">
        <v>1296</v>
      </c>
      <c r="J151" s="129">
        <f t="shared" si="10"/>
        <v>324</v>
      </c>
      <c r="K151" s="130">
        <f t="shared" si="11"/>
        <v>6.181712962962963</v>
      </c>
      <c r="L151" s="144">
        <f>4033069.5+3582182.5+3469556.5+3099545+3107521.5+2751160+2297667.5+1520298+788693.5+562184.5+348660.5+276467.5+182912.5+83992.5+49671.5+34864+44685+34334+3879.5+2808.5+2736+5711.5+5766+2541+1542+835+676+14538+9150+13254.5+8780.5+8011.5</f>
        <v>26347696</v>
      </c>
      <c r="M151" s="143">
        <f>383242+338340+309119+280170+290777+261753+222617+140396+74659+50484+29496+23353+15006+11893+4985+3244+4321+2421+508+237+230+636+1071+618+170+166+146+926+1340+2328+1474+1296</f>
        <v>2457422</v>
      </c>
      <c r="N151" s="133">
        <f t="shared" si="12"/>
        <v>10.721681501996809</v>
      </c>
      <c r="O151" s="110"/>
      <c r="P151" s="341"/>
      <c r="Q151" s="83"/>
      <c r="R151" s="83"/>
      <c r="S151" s="83"/>
      <c r="T151" s="83"/>
    </row>
    <row r="152" spans="1:20" ht="12" customHeight="1">
      <c r="A152" s="290">
        <v>148</v>
      </c>
      <c r="B152" s="240" t="s">
        <v>222</v>
      </c>
      <c r="C152" s="139">
        <v>40165</v>
      </c>
      <c r="D152" s="235" t="s">
        <v>326</v>
      </c>
      <c r="E152" s="140">
        <v>150</v>
      </c>
      <c r="F152" s="140">
        <v>1</v>
      </c>
      <c r="G152" s="140">
        <v>42</v>
      </c>
      <c r="H152" s="236">
        <v>6113</v>
      </c>
      <c r="I152" s="237">
        <v>464</v>
      </c>
      <c r="J152" s="129">
        <f t="shared" si="10"/>
        <v>464</v>
      </c>
      <c r="K152" s="130">
        <f t="shared" si="11"/>
        <v>13.174568965517242</v>
      </c>
      <c r="L152" s="238">
        <v>26619107.5</v>
      </c>
      <c r="M152" s="239">
        <v>2480176</v>
      </c>
      <c r="N152" s="133">
        <f t="shared" si="12"/>
        <v>10.732749409719311</v>
      </c>
      <c r="O152" s="108">
        <v>1</v>
      </c>
      <c r="P152" s="341"/>
      <c r="Q152" s="83"/>
      <c r="R152" s="83"/>
      <c r="S152" s="83"/>
      <c r="T152" s="83"/>
    </row>
    <row r="153" spans="1:20" ht="12" customHeight="1">
      <c r="A153" s="290">
        <v>149</v>
      </c>
      <c r="B153" s="183" t="s">
        <v>222</v>
      </c>
      <c r="C153" s="139">
        <v>40165</v>
      </c>
      <c r="D153" s="145" t="s">
        <v>326</v>
      </c>
      <c r="E153" s="146">
        <v>125</v>
      </c>
      <c r="F153" s="146">
        <v>4</v>
      </c>
      <c r="G153" s="146">
        <v>23</v>
      </c>
      <c r="H153" s="137">
        <v>5766</v>
      </c>
      <c r="I153" s="135">
        <v>1071</v>
      </c>
      <c r="J153" s="129">
        <f t="shared" si="10"/>
        <v>267.75</v>
      </c>
      <c r="K153" s="130">
        <f t="shared" si="11"/>
        <v>5.383753501400561</v>
      </c>
      <c r="L153" s="144">
        <f>4033069.5+3582182.5+3469556.5+3099545+3107521.5+2751160+2297667.5+1520298+788693.5+562184.5+348660.5+276467.5+182912.5+83992.5+49671.5+34864+44685+34334+3879.5+2808.5+2736+5711.5+5766</f>
        <v>26288367.5</v>
      </c>
      <c r="M153" s="143">
        <f>383242+338340+309119+280170+290777+261753+222617+140396+74659+50484+29496+23353+15006+11893+4985+3244+4321+2421+508+237+230+636+1071</f>
        <v>2448958</v>
      </c>
      <c r="N153" s="133">
        <f t="shared" si="12"/>
        <v>10.73451137177526</v>
      </c>
      <c r="O153" s="149">
        <v>1</v>
      </c>
      <c r="P153" s="341"/>
      <c r="Q153" s="83"/>
      <c r="R153" s="83"/>
      <c r="S153" s="83"/>
      <c r="T153" s="83"/>
    </row>
    <row r="154" spans="1:20" ht="12" customHeight="1">
      <c r="A154" s="290">
        <v>150</v>
      </c>
      <c r="B154" s="183" t="s">
        <v>222</v>
      </c>
      <c r="C154" s="139">
        <v>40165</v>
      </c>
      <c r="D154" s="145" t="s">
        <v>326</v>
      </c>
      <c r="E154" s="146">
        <v>125</v>
      </c>
      <c r="F154" s="146">
        <v>4</v>
      </c>
      <c r="G154" s="146">
        <v>22</v>
      </c>
      <c r="H154" s="137">
        <v>5711.5</v>
      </c>
      <c r="I154" s="135">
        <v>636</v>
      </c>
      <c r="J154" s="129">
        <f t="shared" si="10"/>
        <v>159</v>
      </c>
      <c r="K154" s="130">
        <f t="shared" si="11"/>
        <v>8.980345911949685</v>
      </c>
      <c r="L154" s="138">
        <f>4033069.5+3582182.5+3469556.5+3099545+3107521.5+2751160+2297667.5+1520298+788693.5+562184.5+348660.5+276467.5+182912.5+83992.5+49671.5+36300+44685+34334+3879.5+3304.5+2736+5711.5</f>
        <v>26284533.5</v>
      </c>
      <c r="M154" s="136">
        <f>383242+338340+309119+280170+290777+261753+222617+140396+74659+50484+29496+23353+15006+11893+4985+3385+4321+2421+508+281+230+636</f>
        <v>2448072</v>
      </c>
      <c r="N154" s="133">
        <f t="shared" si="12"/>
        <v>10.736830248456744</v>
      </c>
      <c r="O154" s="149">
        <v>1</v>
      </c>
      <c r="P154" s="341"/>
      <c r="Q154" s="83"/>
      <c r="R154" s="83"/>
      <c r="S154" s="83"/>
      <c r="T154" s="83"/>
    </row>
    <row r="155" spans="1:20" ht="12" customHeight="1">
      <c r="A155" s="290">
        <v>151</v>
      </c>
      <c r="B155" s="151" t="s">
        <v>222</v>
      </c>
      <c r="C155" s="139">
        <v>40165</v>
      </c>
      <c r="D155" s="145" t="s">
        <v>326</v>
      </c>
      <c r="E155" s="140">
        <v>150</v>
      </c>
      <c r="F155" s="140">
        <v>4</v>
      </c>
      <c r="G155" s="140">
        <v>41</v>
      </c>
      <c r="H155" s="186">
        <v>5302.5</v>
      </c>
      <c r="I155" s="187">
        <v>432</v>
      </c>
      <c r="J155" s="129">
        <f t="shared" si="10"/>
        <v>108</v>
      </c>
      <c r="K155" s="130">
        <f t="shared" si="11"/>
        <v>12.274305555555555</v>
      </c>
      <c r="L155" s="188">
        <f>26351050.5+1782+1045+250+135084.5+75530.5+42949.5+5302.5</f>
        <v>26612994.5</v>
      </c>
      <c r="M155" s="189">
        <f>2457871+446+113+30+11058+6318+3444+432</f>
        <v>2479712</v>
      </c>
      <c r="N155" s="133">
        <f t="shared" si="12"/>
        <v>10.732292500096785</v>
      </c>
      <c r="O155" s="149">
        <v>1</v>
      </c>
      <c r="P155" s="341"/>
      <c r="Q155" s="83"/>
      <c r="R155" s="83"/>
      <c r="S155" s="83"/>
      <c r="T155" s="83"/>
    </row>
    <row r="156" spans="1:20" ht="12" customHeight="1">
      <c r="A156" s="290">
        <v>152</v>
      </c>
      <c r="B156" s="449" t="s">
        <v>222</v>
      </c>
      <c r="C156" s="440">
        <v>40165</v>
      </c>
      <c r="D156" s="439" t="s">
        <v>452</v>
      </c>
      <c r="E156" s="441">
        <v>150</v>
      </c>
      <c r="F156" s="441">
        <v>2</v>
      </c>
      <c r="G156" s="441">
        <v>43</v>
      </c>
      <c r="H156" s="442">
        <v>4133</v>
      </c>
      <c r="I156" s="443">
        <v>353</v>
      </c>
      <c r="J156" s="444">
        <f>(I156/F156)</f>
        <v>176.5</v>
      </c>
      <c r="K156" s="445">
        <f t="shared" si="11"/>
        <v>11.708215297450424</v>
      </c>
      <c r="L156" s="446">
        <f>26351050.5+1782+1045+250+135084.5+75530.5+42949.5+5302.5+6113+4133</f>
        <v>26623240.5</v>
      </c>
      <c r="M156" s="447">
        <f>2457871+446+113+30+11058+6318+3444+432+464+353</f>
        <v>2480529</v>
      </c>
      <c r="N156" s="451">
        <v>10.72108768116797</v>
      </c>
      <c r="O156" s="108">
        <v>1</v>
      </c>
      <c r="P156" s="341"/>
      <c r="Q156" s="83"/>
      <c r="R156" s="83"/>
      <c r="S156" s="83"/>
      <c r="T156" s="83"/>
    </row>
    <row r="157" spans="1:20" ht="12" customHeight="1">
      <c r="A157" s="290">
        <v>153</v>
      </c>
      <c r="B157" s="123" t="s">
        <v>222</v>
      </c>
      <c r="C157" s="139">
        <v>40165</v>
      </c>
      <c r="D157" s="145" t="s">
        <v>326</v>
      </c>
      <c r="E157" s="156">
        <v>125</v>
      </c>
      <c r="F157" s="156">
        <v>4</v>
      </c>
      <c r="G157" s="156">
        <v>19</v>
      </c>
      <c r="H157" s="157">
        <v>3879.5</v>
      </c>
      <c r="I157" s="158">
        <v>508</v>
      </c>
      <c r="J157" s="129">
        <f aca="true" t="shared" si="13" ref="J157:J166">I157/F157</f>
        <v>127</v>
      </c>
      <c r="K157" s="130">
        <f t="shared" si="11"/>
        <v>7.636811023622047</v>
      </c>
      <c r="L157" s="154">
        <f>4033069.5+3582182.5+3469556.5+3099545+3107521.5+2751160+2297667.5+1520298+788693.5+562184.5+348660.5+276467.5+182912.5+83992.5+49671.5+36300+44685+34334+3879.5</f>
        <v>26272781.5</v>
      </c>
      <c r="M157" s="153">
        <f>383242+338340+309119+280170+290777+261753+222617+140396+74659+50484+29496+23353+15006+11893+4985+3385+4321+2421+508</f>
        <v>2446925</v>
      </c>
      <c r="N157" s="133">
        <f aca="true" t="shared" si="14" ref="N157:N166">+L157/M157</f>
        <v>10.73706039212481</v>
      </c>
      <c r="O157" s="108">
        <v>1</v>
      </c>
      <c r="P157" s="341"/>
      <c r="Q157" s="83"/>
      <c r="R157" s="83"/>
      <c r="S157" s="83"/>
      <c r="T157" s="83"/>
    </row>
    <row r="158" spans="1:20" ht="12" customHeight="1">
      <c r="A158" s="290">
        <v>154</v>
      </c>
      <c r="B158" s="123" t="s">
        <v>222</v>
      </c>
      <c r="C158" s="139">
        <v>40165</v>
      </c>
      <c r="D158" s="125" t="s">
        <v>338</v>
      </c>
      <c r="E158" s="146">
        <v>125</v>
      </c>
      <c r="F158" s="146">
        <v>5</v>
      </c>
      <c r="G158" s="146">
        <v>33</v>
      </c>
      <c r="H158" s="141">
        <f>1690+1440.5</f>
        <v>3130.5</v>
      </c>
      <c r="I158" s="142">
        <f>338+83</f>
        <v>421</v>
      </c>
      <c r="J158" s="129">
        <f t="shared" si="13"/>
        <v>84.2</v>
      </c>
      <c r="K158" s="130">
        <f t="shared" si="11"/>
        <v>7.435866983372922</v>
      </c>
      <c r="L158" s="144">
        <f>4033069.5+3582182.5+3469556.5+3099545+3107521.5+2751160+2297667.5+1520298+788693.5+562184.5+348660.5+276467.5+182912.5+83992.5+49671.5+34864+44685+34334+3879.5+2808.5+2736+5711.5+5766+2541+1542+835+676+14538+9150+13254.5+8780.5+8011.5+3130.5</f>
        <v>26350826.5</v>
      </c>
      <c r="M158" s="143">
        <f>383242+338340+309119+280170+290777+261753+222617+140396+74659+50484+29496+23353+15006+11893+4985+3244+4321+2421+508+237+230+636+1071+618+170+166+146+926+1340+2328+1474+1296+421</f>
        <v>2457843</v>
      </c>
      <c r="N158" s="133">
        <f t="shared" si="14"/>
        <v>10.721118680078426</v>
      </c>
      <c r="O158" s="170">
        <v>1</v>
      </c>
      <c r="P158" s="341"/>
      <c r="Q158" s="83"/>
      <c r="R158" s="83"/>
      <c r="S158" s="83"/>
      <c r="T158" s="83"/>
    </row>
    <row r="159" spans="1:20" ht="12" customHeight="1">
      <c r="A159" s="290">
        <v>155</v>
      </c>
      <c r="B159" s="123" t="s">
        <v>222</v>
      </c>
      <c r="C159" s="139">
        <v>40165</v>
      </c>
      <c r="D159" s="145" t="s">
        <v>326</v>
      </c>
      <c r="E159" s="156">
        <v>125</v>
      </c>
      <c r="F159" s="156">
        <v>2</v>
      </c>
      <c r="G159" s="156">
        <v>20</v>
      </c>
      <c r="H159" s="157">
        <v>2808.5</v>
      </c>
      <c r="I159" s="158">
        <v>237</v>
      </c>
      <c r="J159" s="129">
        <f t="shared" si="13"/>
        <v>118.5</v>
      </c>
      <c r="K159" s="130">
        <f t="shared" si="11"/>
        <v>11.850210970464135</v>
      </c>
      <c r="L159" s="154">
        <f>4033069.5+3582182.5+3469556.5+3099545+3107521.5+2751160+2297667.5+1520298+788693.5+562184.5+348660.5+276467.5+182912.5+83992.5+49671.5+36300+44685+34334+3879.5+2808.5</f>
        <v>26275590</v>
      </c>
      <c r="M159" s="153">
        <f>383242+338340+309119+280170+290777+261753+222617+140396+74659+50484+29496+23353+15006+11893+4985+3385+4321+2421+508+237</f>
        <v>2447162</v>
      </c>
      <c r="N159" s="133">
        <f t="shared" si="14"/>
        <v>10.73716819728322</v>
      </c>
      <c r="O159" s="159">
        <v>1</v>
      </c>
      <c r="P159" s="341"/>
      <c r="Q159" s="83"/>
      <c r="R159" s="83"/>
      <c r="S159" s="83"/>
      <c r="T159" s="83"/>
    </row>
    <row r="160" spans="1:20" ht="12" customHeight="1">
      <c r="A160" s="290">
        <v>156</v>
      </c>
      <c r="B160" s="123" t="s">
        <v>222</v>
      </c>
      <c r="C160" s="139">
        <v>40165</v>
      </c>
      <c r="D160" s="145" t="s">
        <v>326</v>
      </c>
      <c r="E160" s="156">
        <v>125</v>
      </c>
      <c r="F160" s="156">
        <v>4</v>
      </c>
      <c r="G160" s="156">
        <v>21</v>
      </c>
      <c r="H160" s="157">
        <v>2736</v>
      </c>
      <c r="I160" s="184">
        <v>230</v>
      </c>
      <c r="J160" s="129">
        <f t="shared" si="13"/>
        <v>57.5</v>
      </c>
      <c r="K160" s="130">
        <f t="shared" si="11"/>
        <v>11.895652173913044</v>
      </c>
      <c r="L160" s="144">
        <f>4033069.5+3582182.5+3469556.5+3099545+3107521.5+2751160+2297667.5+1520298+788693.5+562184.5+348660.5+276467.5+182912.5+83992.5+49671.5+36300+44685+34334+3879.5+3304.5+2736</f>
        <v>26278822</v>
      </c>
      <c r="M160" s="143">
        <f>383242+338340+309119+280170+290777+261753+222617+140396+74659+50484+29496+23353+15006+11893+4985+3385+4321+2421+508+281+230</f>
        <v>2447436</v>
      </c>
      <c r="N160" s="133">
        <f t="shared" si="14"/>
        <v>10.737286695137279</v>
      </c>
      <c r="O160" s="583"/>
      <c r="P160" s="341"/>
      <c r="Q160" s="83"/>
      <c r="R160" s="83"/>
      <c r="S160" s="83"/>
      <c r="T160" s="83"/>
    </row>
    <row r="161" spans="1:20" ht="12" customHeight="1">
      <c r="A161" s="290">
        <v>157</v>
      </c>
      <c r="B161" s="123" t="s">
        <v>222</v>
      </c>
      <c r="C161" s="124">
        <v>40165</v>
      </c>
      <c r="D161" s="125" t="s">
        <v>326</v>
      </c>
      <c r="E161" s="126">
        <v>125</v>
      </c>
      <c r="F161" s="126">
        <v>2</v>
      </c>
      <c r="G161" s="126">
        <v>24</v>
      </c>
      <c r="H161" s="127">
        <v>2541</v>
      </c>
      <c r="I161" s="128">
        <v>618</v>
      </c>
      <c r="J161" s="129">
        <f t="shared" si="13"/>
        <v>309</v>
      </c>
      <c r="K161" s="130">
        <f t="shared" si="11"/>
        <v>4.111650485436893</v>
      </c>
      <c r="L161" s="131">
        <f>4033069.5+3582182.5+3469556.5+3099545+3107521.5+2751160+2297667.5+1520298+788693.5+562184.5+348660.5+276467.5+182912.5+83992.5+49671.5+34864+44685+34334+3879.5+2808.5+2736+5711.5+5766+2541</f>
        <v>26290908.5</v>
      </c>
      <c r="M161" s="132">
        <f>383242+338340+309119+280170+290777+261753+222617+140396+74659+50484+29496+23353+15006+11893+4985+3244+4321+2421+508+237+230+636+1071+618</f>
        <v>2449576</v>
      </c>
      <c r="N161" s="133">
        <f t="shared" si="14"/>
        <v>10.732840499743629</v>
      </c>
      <c r="O161" s="108"/>
      <c r="P161" s="341"/>
      <c r="Q161" s="83"/>
      <c r="R161" s="83"/>
      <c r="S161" s="83"/>
      <c r="T161" s="83"/>
    </row>
    <row r="162" spans="1:20" ht="12" customHeight="1">
      <c r="A162" s="290">
        <v>158</v>
      </c>
      <c r="B162" s="123" t="s">
        <v>222</v>
      </c>
      <c r="C162" s="139">
        <v>40165</v>
      </c>
      <c r="D162" s="125" t="s">
        <v>326</v>
      </c>
      <c r="E162" s="146">
        <v>125</v>
      </c>
      <c r="F162" s="146">
        <v>1</v>
      </c>
      <c r="G162" s="146">
        <v>35</v>
      </c>
      <c r="H162" s="141">
        <v>1782</v>
      </c>
      <c r="I162" s="142">
        <v>446</v>
      </c>
      <c r="J162" s="129">
        <f t="shared" si="13"/>
        <v>446</v>
      </c>
      <c r="K162" s="130">
        <f t="shared" si="11"/>
        <v>3.995515695067265</v>
      </c>
      <c r="L162" s="144">
        <f>26351050.5+1782</f>
        <v>26352832.5</v>
      </c>
      <c r="M162" s="143">
        <f>2457871+446</f>
        <v>2458317</v>
      </c>
      <c r="N162" s="133">
        <f t="shared" si="14"/>
        <v>10.719867494712846</v>
      </c>
      <c r="O162" s="110">
        <v>1</v>
      </c>
      <c r="P162" s="341"/>
      <c r="Q162" s="83"/>
      <c r="R162" s="83"/>
      <c r="S162" s="83"/>
      <c r="T162" s="83"/>
    </row>
    <row r="163" spans="1:20" ht="12" customHeight="1">
      <c r="A163" s="290">
        <v>159</v>
      </c>
      <c r="B163" s="123" t="s">
        <v>222</v>
      </c>
      <c r="C163" s="139">
        <v>40165</v>
      </c>
      <c r="D163" s="145" t="s">
        <v>326</v>
      </c>
      <c r="E163" s="146">
        <v>125</v>
      </c>
      <c r="F163" s="146">
        <v>3</v>
      </c>
      <c r="G163" s="146">
        <v>25</v>
      </c>
      <c r="H163" s="137">
        <v>1542</v>
      </c>
      <c r="I163" s="135">
        <v>170</v>
      </c>
      <c r="J163" s="129">
        <f t="shared" si="13"/>
        <v>56.666666666666664</v>
      </c>
      <c r="K163" s="130">
        <f t="shared" si="11"/>
        <v>9.070588235294117</v>
      </c>
      <c r="L163" s="144">
        <f>4033069.5+3582182.5+3469556.5+3099545+3107521.5+2751160+2297667.5+1520298+788693.5+562184.5+348660.5+276467.5+182912.5+83992.5+49671.5+34864+44685+34334+3879.5+2808.5+2736+5711.5+5766+2541+1542</f>
        <v>26292450.5</v>
      </c>
      <c r="M163" s="143">
        <f>383242+338340+309119+280170+290777+261753+222617+140396+74659+50484+29496+23353+15006+11893+4985+3244+4321+2421+508+237+230+636+1071+618+170</f>
        <v>2449746</v>
      </c>
      <c r="N163" s="133">
        <f t="shared" si="14"/>
        <v>10.732725147831653</v>
      </c>
      <c r="O163" s="149"/>
      <c r="P163" s="341"/>
      <c r="Q163" s="83"/>
      <c r="R163" s="83"/>
      <c r="S163" s="83"/>
      <c r="T163" s="83"/>
    </row>
    <row r="164" spans="1:20" ht="12" customHeight="1">
      <c r="A164" s="290">
        <v>160</v>
      </c>
      <c r="B164" s="123" t="s">
        <v>222</v>
      </c>
      <c r="C164" s="139">
        <v>40165</v>
      </c>
      <c r="D164" s="125" t="s">
        <v>326</v>
      </c>
      <c r="E164" s="146">
        <v>125</v>
      </c>
      <c r="F164" s="146">
        <v>2</v>
      </c>
      <c r="G164" s="146">
        <v>36</v>
      </c>
      <c r="H164" s="141">
        <v>1045</v>
      </c>
      <c r="I164" s="142">
        <v>113</v>
      </c>
      <c r="J164" s="129">
        <f t="shared" si="13"/>
        <v>56.5</v>
      </c>
      <c r="K164" s="130">
        <f t="shared" si="11"/>
        <v>9.247787610619469</v>
      </c>
      <c r="L164" s="144">
        <f>26351050.5+1782+1045</f>
        <v>26353877.5</v>
      </c>
      <c r="M164" s="143">
        <f>2457871+446+113</f>
        <v>2458430</v>
      </c>
      <c r="N164" s="133">
        <f t="shared" si="14"/>
        <v>10.719799831599842</v>
      </c>
      <c r="O164" s="108"/>
      <c r="P164" s="341"/>
      <c r="Q164" s="83"/>
      <c r="R164" s="83"/>
      <c r="S164" s="83"/>
      <c r="T164" s="83"/>
    </row>
    <row r="165" spans="1:20" ht="12" customHeight="1">
      <c r="A165" s="290">
        <v>161</v>
      </c>
      <c r="B165" s="151" t="s">
        <v>222</v>
      </c>
      <c r="C165" s="139">
        <v>40165</v>
      </c>
      <c r="D165" s="145" t="s">
        <v>338</v>
      </c>
      <c r="E165" s="146">
        <v>125</v>
      </c>
      <c r="F165" s="146">
        <v>3</v>
      </c>
      <c r="G165" s="146">
        <v>26</v>
      </c>
      <c r="H165" s="137">
        <v>835</v>
      </c>
      <c r="I165" s="135">
        <v>166</v>
      </c>
      <c r="J165" s="129">
        <f t="shared" si="13"/>
        <v>55.333333333333336</v>
      </c>
      <c r="K165" s="130">
        <f t="shared" si="11"/>
        <v>5.030120481927711</v>
      </c>
      <c r="L165" s="138">
        <f>4033069.5+3582182.5+3469556.5+3099545+3107521.5+2751160+2297667.5+1520298+788693.5+562184.5+348660.5+276467.5+182912.5+83992.5+49671.5+34864+44685+34334+3879.5+2808.5+2736+5711.5+5766+2541+1542+835</f>
        <v>26293285.5</v>
      </c>
      <c r="M165" s="136">
        <f>383242+338340+309119+280170+290777+261753+222617+140396+74659+50484+29496+23353+15006+11893+4985+3244+4321+2421+508+237+230+636+1071+618+170+166</f>
        <v>2449912</v>
      </c>
      <c r="N165" s="133">
        <f t="shared" si="14"/>
        <v>10.732338753391959</v>
      </c>
      <c r="O165" s="149"/>
      <c r="P165" s="341"/>
      <c r="Q165" s="83"/>
      <c r="R165" s="83"/>
      <c r="S165" s="83"/>
      <c r="T165" s="83"/>
    </row>
    <row r="166" spans="1:20" ht="12" customHeight="1">
      <c r="A166" s="290">
        <v>162</v>
      </c>
      <c r="B166" s="123" t="s">
        <v>222</v>
      </c>
      <c r="C166" s="124">
        <v>40165</v>
      </c>
      <c r="D166" s="125" t="s">
        <v>338</v>
      </c>
      <c r="E166" s="126">
        <v>125</v>
      </c>
      <c r="F166" s="126">
        <v>2</v>
      </c>
      <c r="G166" s="126">
        <v>27</v>
      </c>
      <c r="H166" s="127">
        <v>676</v>
      </c>
      <c r="I166" s="128">
        <v>146</v>
      </c>
      <c r="J166" s="129">
        <f t="shared" si="13"/>
        <v>73</v>
      </c>
      <c r="K166" s="130">
        <f t="shared" si="11"/>
        <v>4.63013698630137</v>
      </c>
      <c r="L166" s="131">
        <f>4033069.5+3582182.5+3469556.5+3099545+3107521.5+2751160+2297667.5+1520298+788693.5+562184.5+348660.5+276467.5+182912.5+83992.5+49671.5+34864+44685+34334+3879.5+2808.5+2736+5711.5+5766+2541+1542+835+676</f>
        <v>26293961.5</v>
      </c>
      <c r="M166" s="132">
        <f>383242+338340+309119+280170+290777+261753+222617+140396+74659+50484+29496+23353+15006+11893+4985+3244+4321+2421+508+237+230+636+1071+618+170+166+146</f>
        <v>2450058</v>
      </c>
      <c r="N166" s="133">
        <f t="shared" si="14"/>
        <v>10.731975120588983</v>
      </c>
      <c r="O166" s="110"/>
      <c r="P166" s="341"/>
      <c r="Q166" s="83"/>
      <c r="R166" s="83"/>
      <c r="S166" s="83"/>
      <c r="T166" s="83"/>
    </row>
    <row r="167" spans="1:20" ht="12" customHeight="1">
      <c r="A167" s="290">
        <v>163</v>
      </c>
      <c r="B167" s="506" t="s">
        <v>222</v>
      </c>
      <c r="C167" s="440">
        <v>40165</v>
      </c>
      <c r="D167" s="485" t="s">
        <v>326</v>
      </c>
      <c r="E167" s="486">
        <v>150</v>
      </c>
      <c r="F167" s="486">
        <v>1</v>
      </c>
      <c r="G167" s="486">
        <v>44</v>
      </c>
      <c r="H167" s="442">
        <v>420</v>
      </c>
      <c r="I167" s="443">
        <v>42</v>
      </c>
      <c r="J167" s="444">
        <f>(I167/F167)</f>
        <v>42</v>
      </c>
      <c r="K167" s="445">
        <f t="shared" si="11"/>
        <v>10</v>
      </c>
      <c r="L167" s="446">
        <f>26351050.5+1782+1045+250+135084.5+75530.5+42949.5+5302.5+6113+4133+420</f>
        <v>26623660.5</v>
      </c>
      <c r="M167" s="447">
        <f>2457871+446+113+30+11058+6318+3444+432+464+353+42</f>
        <v>2480571</v>
      </c>
      <c r="N167" s="451">
        <v>10.72108768116797</v>
      </c>
      <c r="O167" s="108"/>
      <c r="P167" s="341"/>
      <c r="Q167" s="83"/>
      <c r="R167" s="83"/>
      <c r="S167" s="83"/>
      <c r="T167" s="83"/>
    </row>
    <row r="168" spans="1:20" ht="12" customHeight="1">
      <c r="A168" s="290">
        <v>164</v>
      </c>
      <c r="B168" s="123" t="s">
        <v>222</v>
      </c>
      <c r="C168" s="139">
        <v>40165</v>
      </c>
      <c r="D168" s="125" t="s">
        <v>326</v>
      </c>
      <c r="E168" s="146">
        <v>125</v>
      </c>
      <c r="F168" s="146">
        <v>1</v>
      </c>
      <c r="G168" s="146">
        <v>37</v>
      </c>
      <c r="H168" s="141">
        <v>250</v>
      </c>
      <c r="I168" s="142">
        <v>30</v>
      </c>
      <c r="J168" s="129">
        <f aca="true" t="shared" si="15" ref="J168:J199">I168/F168</f>
        <v>30</v>
      </c>
      <c r="K168" s="130">
        <f t="shared" si="11"/>
        <v>8.333333333333334</v>
      </c>
      <c r="L168" s="144">
        <f>26351050.5+1782+1045+250</f>
        <v>26354127.5</v>
      </c>
      <c r="M168" s="143">
        <f>2457871+446+113+30</f>
        <v>2458460</v>
      </c>
      <c r="N168" s="133">
        <f aca="true" t="shared" si="16" ref="N168:N199">+L168/M168</f>
        <v>10.719770710119343</v>
      </c>
      <c r="O168" s="159"/>
      <c r="P168" s="341"/>
      <c r="Q168" s="83"/>
      <c r="R168" s="83"/>
      <c r="S168" s="83"/>
      <c r="T168" s="83"/>
    </row>
    <row r="169" spans="1:20" ht="12" customHeight="1">
      <c r="A169" s="290">
        <v>165</v>
      </c>
      <c r="B169" s="151" t="s">
        <v>222</v>
      </c>
      <c r="C169" s="139">
        <v>40165</v>
      </c>
      <c r="D169" s="125" t="s">
        <v>326</v>
      </c>
      <c r="E169" s="146">
        <v>125</v>
      </c>
      <c r="F169" s="146">
        <v>1</v>
      </c>
      <c r="G169" s="146">
        <v>34</v>
      </c>
      <c r="H169" s="150">
        <v>224</v>
      </c>
      <c r="I169" s="152">
        <v>28</v>
      </c>
      <c r="J169" s="129">
        <f t="shared" si="15"/>
        <v>28</v>
      </c>
      <c r="K169" s="130">
        <f t="shared" si="11"/>
        <v>8</v>
      </c>
      <c r="L169" s="154">
        <v>26351050.5</v>
      </c>
      <c r="M169" s="153">
        <v>2457871</v>
      </c>
      <c r="N169" s="133">
        <f t="shared" si="16"/>
        <v>10.72108768116797</v>
      </c>
      <c r="O169" s="148"/>
      <c r="P169" s="341"/>
      <c r="Q169" s="83"/>
      <c r="R169" s="83"/>
      <c r="S169" s="83"/>
      <c r="T169" s="83"/>
    </row>
    <row r="170" spans="1:20" ht="12" customHeight="1">
      <c r="A170" s="290">
        <v>166</v>
      </c>
      <c r="B170" s="123" t="s">
        <v>32</v>
      </c>
      <c r="C170" s="124">
        <v>40165</v>
      </c>
      <c r="D170" s="125" t="s">
        <v>449</v>
      </c>
      <c r="E170" s="126">
        <v>38</v>
      </c>
      <c r="F170" s="126">
        <v>1</v>
      </c>
      <c r="G170" s="126">
        <v>27</v>
      </c>
      <c r="H170" s="137">
        <v>182</v>
      </c>
      <c r="I170" s="135">
        <v>34</v>
      </c>
      <c r="J170" s="129">
        <f t="shared" si="15"/>
        <v>34</v>
      </c>
      <c r="K170" s="130">
        <f t="shared" si="11"/>
        <v>5.352941176470588</v>
      </c>
      <c r="L170" s="138">
        <v>1133841</v>
      </c>
      <c r="M170" s="136">
        <v>138560</v>
      </c>
      <c r="N170" s="133">
        <f t="shared" si="16"/>
        <v>8.183032621247113</v>
      </c>
      <c r="O170" s="149"/>
      <c r="P170" s="341"/>
      <c r="Q170" s="83"/>
      <c r="R170" s="83"/>
      <c r="S170" s="83"/>
      <c r="T170" s="83"/>
    </row>
    <row r="171" spans="1:20" ht="12" customHeight="1">
      <c r="A171" s="290">
        <v>167</v>
      </c>
      <c r="B171" s="123" t="s">
        <v>56</v>
      </c>
      <c r="C171" s="124">
        <v>40165</v>
      </c>
      <c r="D171" s="155" t="s">
        <v>423</v>
      </c>
      <c r="E171" s="126">
        <v>38</v>
      </c>
      <c r="F171" s="126">
        <v>40</v>
      </c>
      <c r="G171" s="126">
        <v>4</v>
      </c>
      <c r="H171" s="162">
        <v>118129</v>
      </c>
      <c r="I171" s="165">
        <v>14601</v>
      </c>
      <c r="J171" s="129">
        <f t="shared" si="15"/>
        <v>365.025</v>
      </c>
      <c r="K171" s="130">
        <f t="shared" si="11"/>
        <v>8.090473255256489</v>
      </c>
      <c r="L171" s="164">
        <v>736893.5</v>
      </c>
      <c r="M171" s="153">
        <v>81207</v>
      </c>
      <c r="N171" s="133">
        <f t="shared" si="16"/>
        <v>9.074260839582795</v>
      </c>
      <c r="O171" s="108"/>
      <c r="P171" s="341"/>
      <c r="Q171" s="83"/>
      <c r="R171" s="83"/>
      <c r="S171" s="83"/>
      <c r="T171" s="83"/>
    </row>
    <row r="172" spans="1:20" ht="12" customHeight="1">
      <c r="A172" s="290">
        <v>168</v>
      </c>
      <c r="B172" s="123" t="s">
        <v>56</v>
      </c>
      <c r="C172" s="124">
        <v>40165</v>
      </c>
      <c r="D172" s="155" t="s">
        <v>423</v>
      </c>
      <c r="E172" s="126">
        <v>38</v>
      </c>
      <c r="F172" s="126">
        <v>39</v>
      </c>
      <c r="G172" s="126">
        <v>5</v>
      </c>
      <c r="H172" s="162">
        <v>117691</v>
      </c>
      <c r="I172" s="163">
        <v>16123</v>
      </c>
      <c r="J172" s="129">
        <f t="shared" si="15"/>
        <v>413.4102564102564</v>
      </c>
      <c r="K172" s="130">
        <f t="shared" si="11"/>
        <v>7.299572039942938</v>
      </c>
      <c r="L172" s="164">
        <v>854584.5</v>
      </c>
      <c r="M172" s="143">
        <v>97330</v>
      </c>
      <c r="N172" s="133">
        <f t="shared" si="16"/>
        <v>8.780278434192951</v>
      </c>
      <c r="O172" s="185"/>
      <c r="P172" s="341"/>
      <c r="Q172" s="83"/>
      <c r="R172" s="83"/>
      <c r="S172" s="83"/>
      <c r="T172" s="83"/>
    </row>
    <row r="173" spans="1:20" ht="12" customHeight="1">
      <c r="A173" s="290">
        <v>169</v>
      </c>
      <c r="B173" s="123" t="s">
        <v>56</v>
      </c>
      <c r="C173" s="124">
        <v>40165</v>
      </c>
      <c r="D173" s="134" t="s">
        <v>423</v>
      </c>
      <c r="E173" s="126">
        <v>38</v>
      </c>
      <c r="F173" s="126">
        <v>29</v>
      </c>
      <c r="G173" s="126">
        <v>3</v>
      </c>
      <c r="H173" s="162">
        <v>96495.25</v>
      </c>
      <c r="I173" s="165">
        <v>11131</v>
      </c>
      <c r="J173" s="129">
        <f t="shared" si="15"/>
        <v>383.82758620689657</v>
      </c>
      <c r="K173" s="130">
        <f t="shared" si="11"/>
        <v>8.669054891743778</v>
      </c>
      <c r="L173" s="164">
        <v>618764.5</v>
      </c>
      <c r="M173" s="153">
        <v>66606</v>
      </c>
      <c r="N173" s="133">
        <f t="shared" si="16"/>
        <v>9.289921328408852</v>
      </c>
      <c r="O173" s="181"/>
      <c r="P173" s="341"/>
      <c r="Q173" s="83"/>
      <c r="R173" s="83"/>
      <c r="S173" s="83"/>
      <c r="T173" s="83"/>
    </row>
    <row r="174" spans="1:20" ht="12" customHeight="1">
      <c r="A174" s="290">
        <v>170</v>
      </c>
      <c r="B174" s="123" t="s">
        <v>56</v>
      </c>
      <c r="C174" s="139">
        <v>40165</v>
      </c>
      <c r="D174" s="155" t="s">
        <v>423</v>
      </c>
      <c r="E174" s="146">
        <v>38</v>
      </c>
      <c r="F174" s="146">
        <v>39</v>
      </c>
      <c r="G174" s="146">
        <v>7</v>
      </c>
      <c r="H174" s="141">
        <v>75701.5</v>
      </c>
      <c r="I174" s="142">
        <v>9938</v>
      </c>
      <c r="J174" s="129">
        <f t="shared" si="15"/>
        <v>254.82051282051282</v>
      </c>
      <c r="K174" s="130">
        <f t="shared" si="11"/>
        <v>7.617377742000403</v>
      </c>
      <c r="L174" s="144">
        <v>997325.5</v>
      </c>
      <c r="M174" s="143">
        <v>116477</v>
      </c>
      <c r="N174" s="133">
        <f t="shared" si="16"/>
        <v>8.562424341286263</v>
      </c>
      <c r="O174" s="149"/>
      <c r="P174" s="341"/>
      <c r="Q174" s="83"/>
      <c r="R174" s="83"/>
      <c r="S174" s="83"/>
      <c r="T174" s="83"/>
    </row>
    <row r="175" spans="1:20" ht="12" customHeight="1">
      <c r="A175" s="290">
        <v>171</v>
      </c>
      <c r="B175" s="123" t="s">
        <v>56</v>
      </c>
      <c r="C175" s="139">
        <v>40165</v>
      </c>
      <c r="D175" s="140" t="s">
        <v>423</v>
      </c>
      <c r="E175" s="146">
        <v>38</v>
      </c>
      <c r="F175" s="146">
        <v>40</v>
      </c>
      <c r="G175" s="146">
        <v>6</v>
      </c>
      <c r="H175" s="137">
        <v>67039.5</v>
      </c>
      <c r="I175" s="135">
        <v>9209</v>
      </c>
      <c r="J175" s="129">
        <f t="shared" si="15"/>
        <v>230.225</v>
      </c>
      <c r="K175" s="130">
        <f t="shared" si="11"/>
        <v>7.279780649364752</v>
      </c>
      <c r="L175" s="138">
        <v>921624</v>
      </c>
      <c r="M175" s="136">
        <v>106539</v>
      </c>
      <c r="N175" s="133">
        <f t="shared" si="16"/>
        <v>8.650578661335286</v>
      </c>
      <c r="O175" s="149"/>
      <c r="P175" s="341"/>
      <c r="Q175" s="83"/>
      <c r="R175" s="83"/>
      <c r="S175" s="83"/>
      <c r="T175" s="83"/>
    </row>
    <row r="176" spans="1:20" ht="12" customHeight="1">
      <c r="A176" s="290">
        <v>172</v>
      </c>
      <c r="B176" s="123" t="s">
        <v>56</v>
      </c>
      <c r="C176" s="139">
        <v>40165</v>
      </c>
      <c r="D176" s="155" t="s">
        <v>423</v>
      </c>
      <c r="E176" s="146">
        <v>38</v>
      </c>
      <c r="F176" s="146">
        <v>39</v>
      </c>
      <c r="G176" s="146">
        <v>8</v>
      </c>
      <c r="H176" s="141">
        <v>51709.5</v>
      </c>
      <c r="I176" s="142">
        <v>7331</v>
      </c>
      <c r="J176" s="129">
        <f t="shared" si="15"/>
        <v>187.97435897435898</v>
      </c>
      <c r="K176" s="130">
        <f t="shared" si="11"/>
        <v>7.053539762651753</v>
      </c>
      <c r="L176" s="144">
        <v>1049035</v>
      </c>
      <c r="M176" s="143">
        <v>123808</v>
      </c>
      <c r="N176" s="133">
        <f t="shared" si="16"/>
        <v>8.473079284052726</v>
      </c>
      <c r="O176" s="185"/>
      <c r="P176" s="341"/>
      <c r="Q176" s="83"/>
      <c r="R176" s="83"/>
      <c r="S176" s="83"/>
      <c r="T176" s="83"/>
    </row>
    <row r="177" spans="1:20" ht="12" customHeight="1">
      <c r="A177" s="290">
        <v>173</v>
      </c>
      <c r="B177" s="123" t="s">
        <v>56</v>
      </c>
      <c r="C177" s="139">
        <v>40165</v>
      </c>
      <c r="D177" s="155" t="s">
        <v>423</v>
      </c>
      <c r="E177" s="146">
        <v>38</v>
      </c>
      <c r="F177" s="146">
        <v>17</v>
      </c>
      <c r="G177" s="146">
        <v>9</v>
      </c>
      <c r="H177" s="150">
        <v>25015.5</v>
      </c>
      <c r="I177" s="152">
        <v>4196</v>
      </c>
      <c r="J177" s="129">
        <f t="shared" si="15"/>
        <v>246.8235294117647</v>
      </c>
      <c r="K177" s="130">
        <f t="shared" si="11"/>
        <v>5.961749285033365</v>
      </c>
      <c r="L177" s="154">
        <v>1074050.5</v>
      </c>
      <c r="M177" s="153">
        <v>128004</v>
      </c>
      <c r="N177" s="133">
        <f t="shared" si="16"/>
        <v>8.390757320083747</v>
      </c>
      <c r="O177" s="148">
        <v>1</v>
      </c>
      <c r="P177" s="341"/>
      <c r="Q177" s="83"/>
      <c r="R177" s="83"/>
      <c r="S177" s="83"/>
      <c r="T177" s="83"/>
    </row>
    <row r="178" spans="1:20" ht="12" customHeight="1">
      <c r="A178" s="290">
        <v>174</v>
      </c>
      <c r="B178" s="123" t="s">
        <v>56</v>
      </c>
      <c r="C178" s="139">
        <v>40165</v>
      </c>
      <c r="D178" s="155" t="s">
        <v>423</v>
      </c>
      <c r="E178" s="146">
        <v>38</v>
      </c>
      <c r="F178" s="146">
        <v>14</v>
      </c>
      <c r="G178" s="146">
        <v>10</v>
      </c>
      <c r="H178" s="150">
        <v>19410.5</v>
      </c>
      <c r="I178" s="152">
        <v>2888</v>
      </c>
      <c r="J178" s="129">
        <f t="shared" si="15"/>
        <v>206.28571428571428</v>
      </c>
      <c r="K178" s="130">
        <f t="shared" si="11"/>
        <v>6.721087257617729</v>
      </c>
      <c r="L178" s="154">
        <v>1093461</v>
      </c>
      <c r="M178" s="153">
        <v>130892</v>
      </c>
      <c r="N178" s="133">
        <f t="shared" si="16"/>
        <v>8.353917733704122</v>
      </c>
      <c r="O178" s="149"/>
      <c r="P178" s="341"/>
      <c r="Q178" s="83"/>
      <c r="R178" s="83"/>
      <c r="S178" s="83"/>
      <c r="T178" s="83"/>
    </row>
    <row r="179" spans="1:20" ht="12" customHeight="1">
      <c r="A179" s="290">
        <v>175</v>
      </c>
      <c r="B179" s="123" t="s">
        <v>56</v>
      </c>
      <c r="C179" s="171">
        <v>40165</v>
      </c>
      <c r="D179" s="190" t="s">
        <v>423</v>
      </c>
      <c r="E179" s="156">
        <v>38</v>
      </c>
      <c r="F179" s="156">
        <v>8</v>
      </c>
      <c r="G179" s="156">
        <v>12</v>
      </c>
      <c r="H179" s="157">
        <v>12339</v>
      </c>
      <c r="I179" s="158">
        <v>2784</v>
      </c>
      <c r="J179" s="129">
        <f t="shared" si="15"/>
        <v>348</v>
      </c>
      <c r="K179" s="130">
        <f t="shared" si="11"/>
        <v>4.432112068965517</v>
      </c>
      <c r="L179" s="154">
        <v>1115146</v>
      </c>
      <c r="M179" s="153">
        <v>135705</v>
      </c>
      <c r="N179" s="133">
        <f t="shared" si="16"/>
        <v>8.217427508197929</v>
      </c>
      <c r="O179" s="185"/>
      <c r="P179" s="341"/>
      <c r="Q179" s="83"/>
      <c r="R179" s="83"/>
      <c r="S179" s="83"/>
      <c r="T179" s="83"/>
    </row>
    <row r="180" spans="1:20" ht="12" customHeight="1">
      <c r="A180" s="290">
        <v>176</v>
      </c>
      <c r="B180" s="123" t="s">
        <v>56</v>
      </c>
      <c r="C180" s="171">
        <v>40165</v>
      </c>
      <c r="D180" s="155" t="s">
        <v>423</v>
      </c>
      <c r="E180" s="156">
        <v>38</v>
      </c>
      <c r="F180" s="156">
        <v>7</v>
      </c>
      <c r="G180" s="156">
        <v>11</v>
      </c>
      <c r="H180" s="157">
        <v>9346</v>
      </c>
      <c r="I180" s="158">
        <v>2029</v>
      </c>
      <c r="J180" s="129">
        <f t="shared" si="15"/>
        <v>289.85714285714283</v>
      </c>
      <c r="K180" s="130">
        <f t="shared" si="11"/>
        <v>4.606209955643174</v>
      </c>
      <c r="L180" s="154">
        <v>1102807</v>
      </c>
      <c r="M180" s="153">
        <v>132921</v>
      </c>
      <c r="N180" s="133">
        <f t="shared" si="16"/>
        <v>8.29671007590975</v>
      </c>
      <c r="O180" s="149"/>
      <c r="P180" s="341"/>
      <c r="Q180" s="83"/>
      <c r="R180" s="83"/>
      <c r="S180" s="83"/>
      <c r="T180" s="83"/>
    </row>
    <row r="181" spans="1:20" ht="12" customHeight="1">
      <c r="A181" s="290">
        <v>177</v>
      </c>
      <c r="B181" s="123" t="s">
        <v>56</v>
      </c>
      <c r="C181" s="124">
        <v>40165</v>
      </c>
      <c r="D181" s="191" t="s">
        <v>423</v>
      </c>
      <c r="E181" s="126">
        <v>38</v>
      </c>
      <c r="F181" s="126">
        <v>3</v>
      </c>
      <c r="G181" s="126">
        <v>15</v>
      </c>
      <c r="H181" s="127">
        <v>7930</v>
      </c>
      <c r="I181" s="135">
        <v>1093</v>
      </c>
      <c r="J181" s="129">
        <f t="shared" si="15"/>
        <v>364.3333333333333</v>
      </c>
      <c r="K181" s="130">
        <f t="shared" si="11"/>
        <v>7.255260750228728</v>
      </c>
      <c r="L181" s="131">
        <v>1123334</v>
      </c>
      <c r="M181" s="136">
        <v>136858</v>
      </c>
      <c r="N181" s="133">
        <f t="shared" si="16"/>
        <v>8.208025836998933</v>
      </c>
      <c r="O181" s="170"/>
      <c r="P181" s="341"/>
      <c r="Q181" s="83"/>
      <c r="R181" s="83"/>
      <c r="S181" s="83"/>
      <c r="T181" s="83"/>
    </row>
    <row r="182" spans="1:20" ht="12" customHeight="1">
      <c r="A182" s="290">
        <v>178</v>
      </c>
      <c r="B182" s="123" t="s">
        <v>56</v>
      </c>
      <c r="C182" s="139">
        <v>40165</v>
      </c>
      <c r="D182" s="125" t="s">
        <v>449</v>
      </c>
      <c r="E182" s="146">
        <v>38</v>
      </c>
      <c r="F182" s="146">
        <v>1</v>
      </c>
      <c r="G182" s="146">
        <v>35</v>
      </c>
      <c r="H182" s="141">
        <v>3020</v>
      </c>
      <c r="I182" s="142">
        <v>604</v>
      </c>
      <c r="J182" s="129">
        <f t="shared" si="15"/>
        <v>604</v>
      </c>
      <c r="K182" s="130">
        <f t="shared" si="11"/>
        <v>5</v>
      </c>
      <c r="L182" s="144">
        <v>1139070</v>
      </c>
      <c r="M182" s="143">
        <v>139573</v>
      </c>
      <c r="N182" s="133">
        <f t="shared" si="16"/>
        <v>8.161105657971097</v>
      </c>
      <c r="O182" s="149"/>
      <c r="P182" s="341"/>
      <c r="Q182" s="83"/>
      <c r="R182" s="83"/>
      <c r="S182" s="83"/>
      <c r="T182" s="83"/>
    </row>
    <row r="183" spans="1:20" ht="12" customHeight="1">
      <c r="A183" s="290">
        <v>179</v>
      </c>
      <c r="B183" s="123" t="s">
        <v>56</v>
      </c>
      <c r="C183" s="139">
        <v>40165</v>
      </c>
      <c r="D183" s="145" t="s">
        <v>423</v>
      </c>
      <c r="E183" s="146">
        <v>38</v>
      </c>
      <c r="F183" s="146">
        <v>2</v>
      </c>
      <c r="G183" s="146">
        <v>20</v>
      </c>
      <c r="H183" s="150">
        <v>1398</v>
      </c>
      <c r="I183" s="142">
        <v>223</v>
      </c>
      <c r="J183" s="129">
        <f t="shared" si="15"/>
        <v>111.5</v>
      </c>
      <c r="K183" s="130">
        <f t="shared" si="11"/>
        <v>6.2690582959641254</v>
      </c>
      <c r="L183" s="144">
        <v>1129923</v>
      </c>
      <c r="M183" s="143">
        <v>137873</v>
      </c>
      <c r="N183" s="133">
        <f t="shared" si="16"/>
        <v>8.195389960325807</v>
      </c>
      <c r="O183" s="108">
        <v>1</v>
      </c>
      <c r="P183" s="341"/>
      <c r="Q183" s="83"/>
      <c r="R183" s="83"/>
      <c r="S183" s="83"/>
      <c r="T183" s="83"/>
    </row>
    <row r="184" spans="1:20" ht="12" customHeight="1">
      <c r="A184" s="290">
        <v>180</v>
      </c>
      <c r="B184" s="123" t="s">
        <v>56</v>
      </c>
      <c r="C184" s="139">
        <v>40165</v>
      </c>
      <c r="D184" s="190" t="s">
        <v>423</v>
      </c>
      <c r="E184" s="146">
        <v>38</v>
      </c>
      <c r="F184" s="146">
        <v>1</v>
      </c>
      <c r="G184" s="156">
        <v>16</v>
      </c>
      <c r="H184" s="157">
        <v>1366</v>
      </c>
      <c r="I184" s="158">
        <v>217</v>
      </c>
      <c r="J184" s="129">
        <f t="shared" si="15"/>
        <v>217</v>
      </c>
      <c r="K184" s="130">
        <f t="shared" si="11"/>
        <v>6.2949308755760365</v>
      </c>
      <c r="L184" s="154">
        <v>1124700</v>
      </c>
      <c r="M184" s="153">
        <v>137075</v>
      </c>
      <c r="N184" s="133">
        <f t="shared" si="16"/>
        <v>8.204997264271384</v>
      </c>
      <c r="O184" s="110">
        <v>1</v>
      </c>
      <c r="P184" s="341"/>
      <c r="Q184" s="83"/>
      <c r="R184" s="83"/>
      <c r="S184" s="83"/>
      <c r="T184" s="83"/>
    </row>
    <row r="185" spans="1:20" ht="12" customHeight="1">
      <c r="A185" s="290">
        <v>181</v>
      </c>
      <c r="B185" s="123" t="s">
        <v>56</v>
      </c>
      <c r="C185" s="139">
        <v>40165</v>
      </c>
      <c r="D185" s="190" t="s">
        <v>423</v>
      </c>
      <c r="E185" s="156">
        <v>38</v>
      </c>
      <c r="F185" s="156">
        <v>2</v>
      </c>
      <c r="G185" s="156">
        <v>18</v>
      </c>
      <c r="H185" s="157">
        <v>1330</v>
      </c>
      <c r="I185" s="158">
        <v>186</v>
      </c>
      <c r="J185" s="129">
        <f t="shared" si="15"/>
        <v>93</v>
      </c>
      <c r="K185" s="130">
        <f t="shared" si="11"/>
        <v>7.150537634408602</v>
      </c>
      <c r="L185" s="154">
        <v>1127286</v>
      </c>
      <c r="M185" s="153">
        <v>137459</v>
      </c>
      <c r="N185" s="133">
        <f t="shared" si="16"/>
        <v>8.200888992354084</v>
      </c>
      <c r="O185" s="148">
        <v>1</v>
      </c>
      <c r="P185" s="341"/>
      <c r="Q185" s="83"/>
      <c r="R185" s="83"/>
      <c r="S185" s="83"/>
      <c r="T185" s="83"/>
    </row>
    <row r="186" spans="1:20" ht="12" customHeight="1">
      <c r="A186" s="290">
        <v>182</v>
      </c>
      <c r="B186" s="123" t="s">
        <v>56</v>
      </c>
      <c r="C186" s="139">
        <v>40165</v>
      </c>
      <c r="D186" s="190" t="s">
        <v>423</v>
      </c>
      <c r="E186" s="156">
        <v>38</v>
      </c>
      <c r="F186" s="156">
        <v>1</v>
      </c>
      <c r="G186" s="156">
        <v>17</v>
      </c>
      <c r="H186" s="157">
        <v>1256</v>
      </c>
      <c r="I186" s="158">
        <v>198</v>
      </c>
      <c r="J186" s="129">
        <f t="shared" si="15"/>
        <v>198</v>
      </c>
      <c r="K186" s="130">
        <f t="shared" si="11"/>
        <v>6.343434343434343</v>
      </c>
      <c r="L186" s="154">
        <v>1125956</v>
      </c>
      <c r="M186" s="153">
        <v>137273</v>
      </c>
      <c r="N186" s="133">
        <f t="shared" si="16"/>
        <v>8.202312180836726</v>
      </c>
      <c r="O186" s="108">
        <v>1</v>
      </c>
      <c r="P186" s="341"/>
      <c r="Q186" s="83"/>
      <c r="R186" s="83"/>
      <c r="S186" s="83"/>
      <c r="T186" s="83"/>
    </row>
    <row r="187" spans="1:20" ht="12" customHeight="1">
      <c r="A187" s="290">
        <v>183</v>
      </c>
      <c r="B187" s="123" t="s">
        <v>56</v>
      </c>
      <c r="C187" s="139">
        <v>40165</v>
      </c>
      <c r="D187" s="190" t="s">
        <v>423</v>
      </c>
      <c r="E187" s="156">
        <v>38</v>
      </c>
      <c r="F187" s="156">
        <v>3</v>
      </c>
      <c r="G187" s="156">
        <v>19</v>
      </c>
      <c r="H187" s="157">
        <v>1239</v>
      </c>
      <c r="I187" s="184">
        <v>191</v>
      </c>
      <c r="J187" s="129">
        <f t="shared" si="15"/>
        <v>63.666666666666664</v>
      </c>
      <c r="K187" s="130">
        <f t="shared" si="11"/>
        <v>6.486910994764398</v>
      </c>
      <c r="L187" s="144">
        <v>1128525</v>
      </c>
      <c r="M187" s="143">
        <v>137650</v>
      </c>
      <c r="N187" s="133">
        <f t="shared" si="16"/>
        <v>8.198510715583</v>
      </c>
      <c r="O187" s="148">
        <v>1</v>
      </c>
      <c r="P187" s="341"/>
      <c r="Q187" s="83"/>
      <c r="R187" s="83"/>
      <c r="S187" s="83"/>
      <c r="T187" s="83"/>
    </row>
    <row r="188" spans="1:20" ht="12" customHeight="1">
      <c r="A188" s="290">
        <v>184</v>
      </c>
      <c r="B188" s="123" t="s">
        <v>56</v>
      </c>
      <c r="C188" s="139">
        <v>40165</v>
      </c>
      <c r="D188" s="145" t="s">
        <v>423</v>
      </c>
      <c r="E188" s="146">
        <v>38</v>
      </c>
      <c r="F188" s="146">
        <v>2</v>
      </c>
      <c r="G188" s="146">
        <v>21</v>
      </c>
      <c r="H188" s="137">
        <v>914</v>
      </c>
      <c r="I188" s="135">
        <v>173</v>
      </c>
      <c r="J188" s="129">
        <f t="shared" si="15"/>
        <v>86.5</v>
      </c>
      <c r="K188" s="130">
        <f t="shared" si="11"/>
        <v>5.283236994219653</v>
      </c>
      <c r="L188" s="144">
        <f>1129923+914</f>
        <v>1130837</v>
      </c>
      <c r="M188" s="143">
        <f>137873+173</f>
        <v>138046</v>
      </c>
      <c r="N188" s="133">
        <f t="shared" si="16"/>
        <v>8.19174043434797</v>
      </c>
      <c r="O188" s="149"/>
      <c r="P188" s="341"/>
      <c r="Q188" s="83"/>
      <c r="R188" s="83"/>
      <c r="S188" s="83"/>
      <c r="T188" s="83"/>
    </row>
    <row r="189" spans="1:20" ht="12" customHeight="1">
      <c r="A189" s="290">
        <v>185</v>
      </c>
      <c r="B189" s="123" t="s">
        <v>56</v>
      </c>
      <c r="C189" s="139">
        <v>40165</v>
      </c>
      <c r="D189" s="145" t="s">
        <v>423</v>
      </c>
      <c r="E189" s="146">
        <v>38</v>
      </c>
      <c r="F189" s="146">
        <v>2</v>
      </c>
      <c r="G189" s="146">
        <v>22</v>
      </c>
      <c r="H189" s="137">
        <v>892</v>
      </c>
      <c r="I189" s="135">
        <v>138</v>
      </c>
      <c r="J189" s="129">
        <f t="shared" si="15"/>
        <v>69</v>
      </c>
      <c r="K189" s="130">
        <f t="shared" si="11"/>
        <v>6.463768115942029</v>
      </c>
      <c r="L189" s="144">
        <v>1131729</v>
      </c>
      <c r="M189" s="143">
        <v>138184</v>
      </c>
      <c r="N189" s="133">
        <f t="shared" si="16"/>
        <v>8.190014762924797</v>
      </c>
      <c r="O189" s="147"/>
      <c r="P189" s="341"/>
      <c r="Q189" s="83"/>
      <c r="R189" s="83"/>
      <c r="S189" s="83"/>
      <c r="T189" s="83"/>
    </row>
    <row r="190" spans="1:20" ht="12" customHeight="1">
      <c r="A190" s="290">
        <v>186</v>
      </c>
      <c r="B190" s="123" t="s">
        <v>56</v>
      </c>
      <c r="C190" s="124">
        <v>40165</v>
      </c>
      <c r="D190" s="155" t="s">
        <v>449</v>
      </c>
      <c r="E190" s="126">
        <v>38</v>
      </c>
      <c r="F190" s="126">
        <v>81</v>
      </c>
      <c r="G190" s="126">
        <v>25</v>
      </c>
      <c r="H190" s="162">
        <v>677</v>
      </c>
      <c r="I190" s="165">
        <v>118</v>
      </c>
      <c r="J190" s="129">
        <f t="shared" si="15"/>
        <v>1.4567901234567902</v>
      </c>
      <c r="K190" s="130">
        <f t="shared" si="11"/>
        <v>5.737288135593221</v>
      </c>
      <c r="L190" s="164">
        <v>1133475</v>
      </c>
      <c r="M190" s="153">
        <v>138497</v>
      </c>
      <c r="N190" s="133">
        <f t="shared" si="16"/>
        <v>8.184112291240966</v>
      </c>
      <c r="O190" s="149"/>
      <c r="P190" s="341"/>
      <c r="Q190" s="83"/>
      <c r="R190" s="83"/>
      <c r="S190" s="83"/>
      <c r="T190" s="83"/>
    </row>
    <row r="191" spans="1:20" ht="12" customHeight="1">
      <c r="A191" s="290">
        <v>187</v>
      </c>
      <c r="B191" s="123" t="s">
        <v>56</v>
      </c>
      <c r="C191" s="139">
        <v>40165</v>
      </c>
      <c r="D191" s="125" t="s">
        <v>449</v>
      </c>
      <c r="E191" s="146">
        <v>38</v>
      </c>
      <c r="F191" s="146">
        <v>3</v>
      </c>
      <c r="G191" s="146">
        <v>30</v>
      </c>
      <c r="H191" s="150">
        <v>640</v>
      </c>
      <c r="I191" s="152">
        <v>121</v>
      </c>
      <c r="J191" s="129">
        <f t="shared" si="15"/>
        <v>40.333333333333336</v>
      </c>
      <c r="K191" s="130">
        <f t="shared" si="11"/>
        <v>5.289256198347108</v>
      </c>
      <c r="L191" s="154">
        <v>1134931</v>
      </c>
      <c r="M191" s="153">
        <v>138767</v>
      </c>
      <c r="N191" s="133">
        <f t="shared" si="16"/>
        <v>8.1786808102791</v>
      </c>
      <c r="O191" s="149"/>
      <c r="P191" s="341"/>
      <c r="Q191" s="83"/>
      <c r="R191" s="83"/>
      <c r="S191" s="83"/>
      <c r="T191" s="83"/>
    </row>
    <row r="192" spans="1:20" ht="12" customHeight="1">
      <c r="A192" s="290">
        <v>188</v>
      </c>
      <c r="B192" s="123" t="s">
        <v>56</v>
      </c>
      <c r="C192" s="124">
        <v>40165</v>
      </c>
      <c r="D192" s="125" t="s">
        <v>449</v>
      </c>
      <c r="E192" s="126">
        <v>38</v>
      </c>
      <c r="F192" s="126">
        <v>3</v>
      </c>
      <c r="G192" s="126">
        <v>24</v>
      </c>
      <c r="H192" s="127">
        <v>638</v>
      </c>
      <c r="I192" s="128">
        <v>116</v>
      </c>
      <c r="J192" s="129">
        <f t="shared" si="15"/>
        <v>38.666666666666664</v>
      </c>
      <c r="K192" s="130">
        <f t="shared" si="11"/>
        <v>5.5</v>
      </c>
      <c r="L192" s="131">
        <v>1132798</v>
      </c>
      <c r="M192" s="132">
        <v>138379</v>
      </c>
      <c r="N192" s="133">
        <f t="shared" si="16"/>
        <v>8.1861987729352</v>
      </c>
      <c r="O192" s="166"/>
      <c r="P192" s="341"/>
      <c r="Q192" s="83"/>
      <c r="R192" s="83"/>
      <c r="S192" s="83"/>
      <c r="T192" s="83"/>
    </row>
    <row r="193" spans="1:20" ht="12" customHeight="1">
      <c r="A193" s="290">
        <v>189</v>
      </c>
      <c r="B193" s="123" t="s">
        <v>56</v>
      </c>
      <c r="C193" s="124">
        <v>40165</v>
      </c>
      <c r="D193" s="155" t="s">
        <v>449</v>
      </c>
      <c r="E193" s="126">
        <v>38</v>
      </c>
      <c r="F193" s="126">
        <v>2</v>
      </c>
      <c r="G193" s="126">
        <v>23</v>
      </c>
      <c r="H193" s="192">
        <v>431</v>
      </c>
      <c r="I193" s="163">
        <v>79</v>
      </c>
      <c r="J193" s="129">
        <f t="shared" si="15"/>
        <v>39.5</v>
      </c>
      <c r="K193" s="130">
        <f t="shared" si="11"/>
        <v>5.455696202531645</v>
      </c>
      <c r="L193" s="193">
        <v>1132160</v>
      </c>
      <c r="M193" s="143">
        <v>138263</v>
      </c>
      <c r="N193" s="133">
        <f t="shared" si="16"/>
        <v>8.188452442085012</v>
      </c>
      <c r="O193" s="149"/>
      <c r="P193" s="341"/>
      <c r="Q193" s="83"/>
      <c r="R193" s="83"/>
      <c r="S193" s="83"/>
      <c r="T193" s="83"/>
    </row>
    <row r="194" spans="1:20" ht="12" customHeight="1">
      <c r="A194" s="290">
        <v>190</v>
      </c>
      <c r="B194" s="123" t="s">
        <v>56</v>
      </c>
      <c r="C194" s="139">
        <v>40165</v>
      </c>
      <c r="D194" s="125" t="s">
        <v>449</v>
      </c>
      <c r="E194" s="146">
        <v>38</v>
      </c>
      <c r="F194" s="146">
        <v>1</v>
      </c>
      <c r="G194" s="146">
        <v>34</v>
      </c>
      <c r="H194" s="141">
        <v>384</v>
      </c>
      <c r="I194" s="142">
        <v>55</v>
      </c>
      <c r="J194" s="129">
        <f t="shared" si="15"/>
        <v>55</v>
      </c>
      <c r="K194" s="130">
        <f t="shared" si="11"/>
        <v>6.9818181818181815</v>
      </c>
      <c r="L194" s="144">
        <f>1135666+H194</f>
        <v>1136050</v>
      </c>
      <c r="M194" s="143">
        <f>138914+I194</f>
        <v>138969</v>
      </c>
      <c r="N194" s="133">
        <f t="shared" si="16"/>
        <v>8.17484474954846</v>
      </c>
      <c r="O194" s="108">
        <v>1</v>
      </c>
      <c r="P194" s="341"/>
      <c r="Q194" s="83"/>
      <c r="R194" s="83"/>
      <c r="S194" s="83"/>
      <c r="T194" s="83"/>
    </row>
    <row r="195" spans="1:20" ht="12" customHeight="1">
      <c r="A195" s="290">
        <v>191</v>
      </c>
      <c r="B195" s="123" t="s">
        <v>56</v>
      </c>
      <c r="C195" s="124">
        <v>40165</v>
      </c>
      <c r="D195" s="125" t="s">
        <v>449</v>
      </c>
      <c r="E195" s="126">
        <v>38</v>
      </c>
      <c r="F195" s="126">
        <v>1</v>
      </c>
      <c r="G195" s="126">
        <v>28</v>
      </c>
      <c r="H195" s="127">
        <v>304</v>
      </c>
      <c r="I195" s="128">
        <v>58</v>
      </c>
      <c r="J195" s="129">
        <f t="shared" si="15"/>
        <v>58</v>
      </c>
      <c r="K195" s="130">
        <f t="shared" si="11"/>
        <v>5.241379310344827</v>
      </c>
      <c r="L195" s="131">
        <v>1134145</v>
      </c>
      <c r="M195" s="132">
        <v>138618</v>
      </c>
      <c r="N195" s="133">
        <f t="shared" si="16"/>
        <v>8.181801786203811</v>
      </c>
      <c r="O195" s="349"/>
      <c r="P195" s="341"/>
      <c r="Q195" s="83"/>
      <c r="R195" s="83"/>
      <c r="S195" s="83"/>
      <c r="T195" s="83"/>
    </row>
    <row r="196" spans="1:20" ht="12" customHeight="1">
      <c r="A196" s="290">
        <v>192</v>
      </c>
      <c r="B196" s="123" t="s">
        <v>56</v>
      </c>
      <c r="C196" s="139">
        <v>40165</v>
      </c>
      <c r="D196" s="125" t="s">
        <v>449</v>
      </c>
      <c r="E196" s="146">
        <v>38</v>
      </c>
      <c r="F196" s="146">
        <v>1</v>
      </c>
      <c r="G196" s="146">
        <v>32</v>
      </c>
      <c r="H196" s="141">
        <v>295</v>
      </c>
      <c r="I196" s="142">
        <v>59</v>
      </c>
      <c r="J196" s="129">
        <f t="shared" si="15"/>
        <v>59</v>
      </c>
      <c r="K196" s="130">
        <f t="shared" si="11"/>
        <v>5</v>
      </c>
      <c r="L196" s="144">
        <f>1135116+H196</f>
        <v>1135411</v>
      </c>
      <c r="M196" s="143">
        <f>138804+I196</f>
        <v>138863</v>
      </c>
      <c r="N196" s="133">
        <f t="shared" si="16"/>
        <v>8.176483296486465</v>
      </c>
      <c r="O196" s="159">
        <v>1</v>
      </c>
      <c r="P196" s="341"/>
      <c r="Q196" s="83"/>
      <c r="R196" s="83"/>
      <c r="S196" s="83"/>
      <c r="T196" s="83"/>
    </row>
    <row r="197" spans="1:20" ht="12" customHeight="1">
      <c r="A197" s="290">
        <v>193</v>
      </c>
      <c r="B197" s="123" t="s">
        <v>56</v>
      </c>
      <c r="C197" s="139">
        <v>40165</v>
      </c>
      <c r="D197" s="125" t="s">
        <v>449</v>
      </c>
      <c r="E197" s="146">
        <v>38</v>
      </c>
      <c r="F197" s="146">
        <v>1</v>
      </c>
      <c r="G197" s="146">
        <v>33</v>
      </c>
      <c r="H197" s="141">
        <v>255</v>
      </c>
      <c r="I197" s="142">
        <v>51</v>
      </c>
      <c r="J197" s="129">
        <f t="shared" si="15"/>
        <v>51</v>
      </c>
      <c r="K197" s="130">
        <f aca="true" t="shared" si="17" ref="K197:K233">H197/I197</f>
        <v>5</v>
      </c>
      <c r="L197" s="144">
        <f>1135411+H197</f>
        <v>1135666</v>
      </c>
      <c r="M197" s="143">
        <f>138863+J197</f>
        <v>138914</v>
      </c>
      <c r="N197" s="133">
        <f t="shared" si="16"/>
        <v>8.175317102667838</v>
      </c>
      <c r="O197" s="149">
        <v>1</v>
      </c>
      <c r="P197" s="341"/>
      <c r="Q197" s="83"/>
      <c r="R197" s="83"/>
      <c r="S197" s="83"/>
      <c r="T197" s="83"/>
    </row>
    <row r="198" spans="1:20" ht="12" customHeight="1">
      <c r="A198" s="290">
        <v>194</v>
      </c>
      <c r="B198" s="123" t="s">
        <v>56</v>
      </c>
      <c r="C198" s="139">
        <v>40165</v>
      </c>
      <c r="D198" s="125" t="s">
        <v>449</v>
      </c>
      <c r="E198" s="146">
        <v>38</v>
      </c>
      <c r="F198" s="146">
        <v>1</v>
      </c>
      <c r="G198" s="146">
        <v>31</v>
      </c>
      <c r="H198" s="141">
        <v>185</v>
      </c>
      <c r="I198" s="142">
        <v>37</v>
      </c>
      <c r="J198" s="129">
        <f t="shared" si="15"/>
        <v>37</v>
      </c>
      <c r="K198" s="130">
        <f t="shared" si="17"/>
        <v>5</v>
      </c>
      <c r="L198" s="144">
        <v>1135116</v>
      </c>
      <c r="M198" s="143">
        <f>138767+I198</f>
        <v>138804</v>
      </c>
      <c r="N198" s="133">
        <f t="shared" si="16"/>
        <v>8.177833491830206</v>
      </c>
      <c r="O198" s="149"/>
      <c r="P198" s="341"/>
      <c r="Q198" s="83"/>
      <c r="R198" s="83"/>
      <c r="S198" s="83"/>
      <c r="T198" s="83"/>
    </row>
    <row r="199" spans="1:20" ht="12" customHeight="1">
      <c r="A199" s="290">
        <v>195</v>
      </c>
      <c r="B199" s="123" t="s">
        <v>56</v>
      </c>
      <c r="C199" s="171">
        <v>40165</v>
      </c>
      <c r="D199" s="155" t="s">
        <v>423</v>
      </c>
      <c r="E199" s="156">
        <v>38</v>
      </c>
      <c r="F199" s="156">
        <v>2</v>
      </c>
      <c r="G199" s="156">
        <v>14</v>
      </c>
      <c r="H199" s="157">
        <v>158</v>
      </c>
      <c r="I199" s="158">
        <v>37</v>
      </c>
      <c r="J199" s="129">
        <f t="shared" si="15"/>
        <v>18.5</v>
      </c>
      <c r="K199" s="130">
        <f t="shared" si="17"/>
        <v>4.27027027027027</v>
      </c>
      <c r="L199" s="154">
        <f>1115246+158</f>
        <v>1115404</v>
      </c>
      <c r="M199" s="153">
        <f>135728+37</f>
        <v>135765</v>
      </c>
      <c r="N199" s="133">
        <f t="shared" si="16"/>
        <v>8.21569623982617</v>
      </c>
      <c r="O199" s="108"/>
      <c r="P199" s="341"/>
      <c r="Q199" s="83"/>
      <c r="R199" s="83"/>
      <c r="S199" s="83"/>
      <c r="T199" s="83"/>
    </row>
    <row r="200" spans="1:20" ht="12" customHeight="1">
      <c r="A200" s="290">
        <v>196</v>
      </c>
      <c r="B200" s="123" t="s">
        <v>56</v>
      </c>
      <c r="C200" s="124">
        <v>40165</v>
      </c>
      <c r="D200" s="125" t="s">
        <v>449</v>
      </c>
      <c r="E200" s="126">
        <v>38</v>
      </c>
      <c r="F200" s="126">
        <v>1</v>
      </c>
      <c r="G200" s="126">
        <v>29</v>
      </c>
      <c r="H200" s="137">
        <v>146</v>
      </c>
      <c r="I200" s="135">
        <v>28</v>
      </c>
      <c r="J200" s="129">
        <f aca="true" t="shared" si="18" ref="J200:J231">I200/F200</f>
        <v>28</v>
      </c>
      <c r="K200" s="130">
        <f t="shared" si="17"/>
        <v>5.214285714285714</v>
      </c>
      <c r="L200" s="138">
        <v>1134291</v>
      </c>
      <c r="M200" s="136">
        <v>138646</v>
      </c>
      <c r="N200" s="133">
        <f aca="true" t="shared" si="19" ref="N200:N231">+L200/M200</f>
        <v>8.181202486909106</v>
      </c>
      <c r="O200" s="149">
        <v>1</v>
      </c>
      <c r="P200" s="341"/>
      <c r="Q200" s="83"/>
      <c r="R200" s="83"/>
      <c r="S200" s="83"/>
      <c r="T200" s="83"/>
    </row>
    <row r="201" spans="1:20" ht="12" customHeight="1">
      <c r="A201" s="290">
        <v>197</v>
      </c>
      <c r="B201" s="123" t="s">
        <v>56</v>
      </c>
      <c r="C201" s="171">
        <v>40165</v>
      </c>
      <c r="D201" s="190" t="s">
        <v>423</v>
      </c>
      <c r="E201" s="156">
        <v>38</v>
      </c>
      <c r="F201" s="156">
        <v>1</v>
      </c>
      <c r="G201" s="156">
        <v>13</v>
      </c>
      <c r="H201" s="157">
        <v>100</v>
      </c>
      <c r="I201" s="158">
        <v>23</v>
      </c>
      <c r="J201" s="129">
        <f t="shared" si="18"/>
        <v>23</v>
      </c>
      <c r="K201" s="130">
        <f t="shared" si="17"/>
        <v>4.3478260869565215</v>
      </c>
      <c r="L201" s="154">
        <v>1115246</v>
      </c>
      <c r="M201" s="153">
        <v>135728</v>
      </c>
      <c r="N201" s="133">
        <f t="shared" si="19"/>
        <v>8.216771778851822</v>
      </c>
      <c r="O201" s="110"/>
      <c r="P201" s="341"/>
      <c r="Q201" s="83"/>
      <c r="R201" s="83"/>
      <c r="S201" s="83"/>
      <c r="T201" s="83"/>
    </row>
    <row r="202" spans="1:20" ht="12" customHeight="1">
      <c r="A202" s="290">
        <v>198</v>
      </c>
      <c r="B202" s="151" t="s">
        <v>367</v>
      </c>
      <c r="C202" s="139">
        <v>39850</v>
      </c>
      <c r="D202" s="194" t="s">
        <v>324</v>
      </c>
      <c r="E202" s="146">
        <v>78</v>
      </c>
      <c r="F202" s="146">
        <v>1</v>
      </c>
      <c r="G202" s="146">
        <v>48</v>
      </c>
      <c r="H202" s="150">
        <v>609</v>
      </c>
      <c r="I202" s="152">
        <v>280</v>
      </c>
      <c r="J202" s="129">
        <f t="shared" si="18"/>
        <v>280</v>
      </c>
      <c r="K202" s="130">
        <f t="shared" si="17"/>
        <v>2.175</v>
      </c>
      <c r="L202" s="154">
        <v>905076</v>
      </c>
      <c r="M202" s="153">
        <v>98834</v>
      </c>
      <c r="N202" s="133">
        <f t="shared" si="19"/>
        <v>9.157536880021045</v>
      </c>
      <c r="O202" s="149"/>
      <c r="P202" s="341"/>
      <c r="Q202" s="83"/>
      <c r="R202" s="83"/>
      <c r="S202" s="83"/>
      <c r="T202" s="83"/>
    </row>
    <row r="203" spans="1:20" ht="12" customHeight="1">
      <c r="A203" s="290">
        <v>199</v>
      </c>
      <c r="B203" s="123" t="s">
        <v>40</v>
      </c>
      <c r="C203" s="139">
        <v>39402</v>
      </c>
      <c r="D203" s="125" t="s">
        <v>449</v>
      </c>
      <c r="E203" s="146">
        <v>165</v>
      </c>
      <c r="F203" s="146">
        <v>1</v>
      </c>
      <c r="G203" s="146">
        <v>51</v>
      </c>
      <c r="H203" s="141">
        <v>2376</v>
      </c>
      <c r="I203" s="142">
        <v>475</v>
      </c>
      <c r="J203" s="129">
        <f t="shared" si="18"/>
        <v>475</v>
      </c>
      <c r="K203" s="130">
        <f t="shared" si="17"/>
        <v>5.002105263157895</v>
      </c>
      <c r="L203" s="144">
        <v>14654837.5</v>
      </c>
      <c r="M203" s="143">
        <v>2032410</v>
      </c>
      <c r="N203" s="133">
        <f t="shared" si="19"/>
        <v>7.210571439817754</v>
      </c>
      <c r="O203" s="109"/>
      <c r="P203" s="341"/>
      <c r="Q203" s="83"/>
      <c r="R203" s="83"/>
      <c r="S203" s="83"/>
      <c r="T203" s="83"/>
    </row>
    <row r="204" spans="1:20" ht="12" customHeight="1">
      <c r="A204" s="290">
        <v>200</v>
      </c>
      <c r="B204" s="123" t="s">
        <v>54</v>
      </c>
      <c r="C204" s="139">
        <v>40053</v>
      </c>
      <c r="D204" s="194" t="s">
        <v>324</v>
      </c>
      <c r="E204" s="156">
        <v>82</v>
      </c>
      <c r="F204" s="156">
        <v>1</v>
      </c>
      <c r="G204" s="156">
        <v>34</v>
      </c>
      <c r="H204" s="157">
        <v>630</v>
      </c>
      <c r="I204" s="158">
        <v>210</v>
      </c>
      <c r="J204" s="129">
        <f t="shared" si="18"/>
        <v>210</v>
      </c>
      <c r="K204" s="130">
        <f t="shared" si="17"/>
        <v>3</v>
      </c>
      <c r="L204" s="154">
        <v>519086</v>
      </c>
      <c r="M204" s="153">
        <v>63156</v>
      </c>
      <c r="N204" s="133">
        <f t="shared" si="19"/>
        <v>8.219108239913863</v>
      </c>
      <c r="O204" s="108">
        <v>1</v>
      </c>
      <c r="P204" s="341"/>
      <c r="Q204" s="83"/>
      <c r="R204" s="83"/>
      <c r="S204" s="83"/>
      <c r="T204" s="83"/>
    </row>
    <row r="205" spans="1:20" ht="12" customHeight="1">
      <c r="A205" s="290">
        <v>201</v>
      </c>
      <c r="B205" s="123" t="s">
        <v>54</v>
      </c>
      <c r="C205" s="124">
        <v>40053</v>
      </c>
      <c r="D205" s="194" t="s">
        <v>324</v>
      </c>
      <c r="E205" s="126">
        <v>82</v>
      </c>
      <c r="F205" s="126">
        <v>1</v>
      </c>
      <c r="G205" s="126">
        <v>32</v>
      </c>
      <c r="H205" s="127">
        <v>609</v>
      </c>
      <c r="I205" s="128">
        <v>280</v>
      </c>
      <c r="J205" s="129">
        <f t="shared" si="18"/>
        <v>280</v>
      </c>
      <c r="K205" s="130">
        <f t="shared" si="17"/>
        <v>2.175</v>
      </c>
      <c r="L205" s="131">
        <v>518456</v>
      </c>
      <c r="M205" s="132">
        <v>62946</v>
      </c>
      <c r="N205" s="133">
        <f t="shared" si="19"/>
        <v>8.236520191910527</v>
      </c>
      <c r="O205" s="109">
        <v>1</v>
      </c>
      <c r="P205" s="334"/>
      <c r="Q205" s="83"/>
      <c r="R205" s="83"/>
      <c r="S205" s="83"/>
      <c r="T205" s="83"/>
    </row>
    <row r="206" spans="1:20" ht="12" customHeight="1">
      <c r="A206" s="290">
        <v>202</v>
      </c>
      <c r="B206" s="151" t="s">
        <v>177</v>
      </c>
      <c r="C206" s="139">
        <v>39808</v>
      </c>
      <c r="D206" s="194" t="s">
        <v>324</v>
      </c>
      <c r="E206" s="146">
        <v>112</v>
      </c>
      <c r="F206" s="146">
        <v>1</v>
      </c>
      <c r="G206" s="146">
        <v>58</v>
      </c>
      <c r="H206" s="141">
        <v>608</v>
      </c>
      <c r="I206" s="142">
        <v>280</v>
      </c>
      <c r="J206" s="129">
        <f t="shared" si="18"/>
        <v>280</v>
      </c>
      <c r="K206" s="130">
        <f t="shared" si="17"/>
        <v>2.1714285714285713</v>
      </c>
      <c r="L206" s="144">
        <v>2069368</v>
      </c>
      <c r="M206" s="143">
        <v>218919</v>
      </c>
      <c r="N206" s="133">
        <f t="shared" si="19"/>
        <v>9.45266514098822</v>
      </c>
      <c r="O206" s="149">
        <v>1</v>
      </c>
      <c r="P206" s="334"/>
      <c r="Q206" s="83"/>
      <c r="R206" s="83"/>
      <c r="S206" s="83"/>
      <c r="T206" s="83"/>
    </row>
    <row r="207" spans="1:20" ht="12" customHeight="1">
      <c r="A207" s="290">
        <v>203</v>
      </c>
      <c r="B207" s="123" t="s">
        <v>177</v>
      </c>
      <c r="C207" s="139">
        <v>39808</v>
      </c>
      <c r="D207" s="194" t="s">
        <v>324</v>
      </c>
      <c r="E207" s="146">
        <v>112</v>
      </c>
      <c r="F207" s="146">
        <v>1</v>
      </c>
      <c r="G207" s="146">
        <v>74</v>
      </c>
      <c r="H207" s="137">
        <v>608</v>
      </c>
      <c r="I207" s="135">
        <v>280</v>
      </c>
      <c r="J207" s="129">
        <f t="shared" si="18"/>
        <v>280</v>
      </c>
      <c r="K207" s="130">
        <f t="shared" si="17"/>
        <v>2.1714285714285713</v>
      </c>
      <c r="L207" s="144">
        <v>2069787</v>
      </c>
      <c r="M207" s="143">
        <v>219049</v>
      </c>
      <c r="N207" s="133">
        <f t="shared" si="19"/>
        <v>9.448968039114536</v>
      </c>
      <c r="O207" s="181">
        <v>1</v>
      </c>
      <c r="P207" s="334"/>
      <c r="Q207" s="83"/>
      <c r="R207" s="83"/>
      <c r="S207" s="83"/>
      <c r="T207" s="83"/>
    </row>
    <row r="208" spans="1:20" ht="12" customHeight="1">
      <c r="A208" s="290">
        <v>204</v>
      </c>
      <c r="B208" s="123" t="s">
        <v>57</v>
      </c>
      <c r="C208" s="139">
        <v>40130</v>
      </c>
      <c r="D208" s="125" t="s">
        <v>326</v>
      </c>
      <c r="E208" s="146">
        <v>13</v>
      </c>
      <c r="F208" s="146">
        <v>1</v>
      </c>
      <c r="G208" s="146">
        <v>19</v>
      </c>
      <c r="H208" s="141">
        <v>4160</v>
      </c>
      <c r="I208" s="142">
        <v>1040</v>
      </c>
      <c r="J208" s="129">
        <f t="shared" si="18"/>
        <v>1040</v>
      </c>
      <c r="K208" s="130">
        <f t="shared" si="17"/>
        <v>4</v>
      </c>
      <c r="L208" s="144">
        <f>61012+24426+6122+10040+4081+228+2698+1216+1678.5+1457+452+472+1209.4+1001.04+947+262+901+178+4160</f>
        <v>122540.93999999999</v>
      </c>
      <c r="M208" s="143">
        <f>5982+2401+678+1620+879+42+433+305+334+339+195+86+256+229+130+31+125+25+1040</f>
        <v>15130</v>
      </c>
      <c r="N208" s="133">
        <f t="shared" si="19"/>
        <v>8.099202908129543</v>
      </c>
      <c r="O208" s="109">
        <v>1</v>
      </c>
      <c r="P208" s="334"/>
      <c r="Q208" s="83"/>
      <c r="R208" s="83"/>
      <c r="S208" s="83"/>
      <c r="T208" s="83"/>
    </row>
    <row r="209" spans="1:20" ht="12" customHeight="1">
      <c r="A209" s="290">
        <v>205</v>
      </c>
      <c r="B209" s="123" t="s">
        <v>57</v>
      </c>
      <c r="C209" s="139">
        <v>40130</v>
      </c>
      <c r="D209" s="125" t="s">
        <v>326</v>
      </c>
      <c r="E209" s="146">
        <v>13</v>
      </c>
      <c r="F209" s="146">
        <v>1</v>
      </c>
      <c r="G209" s="146">
        <v>20</v>
      </c>
      <c r="H209" s="141">
        <v>2376</v>
      </c>
      <c r="I209" s="142">
        <v>594</v>
      </c>
      <c r="J209" s="129">
        <f t="shared" si="18"/>
        <v>594</v>
      </c>
      <c r="K209" s="130">
        <f t="shared" si="17"/>
        <v>4</v>
      </c>
      <c r="L209" s="144">
        <f>61012+24426+6122+10040+4081+228+2698+1216+1678.5+1457+452+472+1209.4+1001.04+947+262+901+178+4160+2376</f>
        <v>124916.93999999999</v>
      </c>
      <c r="M209" s="143">
        <f>5982+2401+678+1620+879+42+433+305+334+339+195+86+256+229+130+31+125+25+1040+594</f>
        <v>15724</v>
      </c>
      <c r="N209" s="133">
        <f t="shared" si="19"/>
        <v>7.944348766217247</v>
      </c>
      <c r="O209" s="159">
        <v>1</v>
      </c>
      <c r="P209" s="334"/>
      <c r="Q209" s="83"/>
      <c r="R209" s="83"/>
      <c r="S209" s="83"/>
      <c r="T209" s="83"/>
    </row>
    <row r="210" spans="1:20" ht="12" customHeight="1">
      <c r="A210" s="290">
        <v>206</v>
      </c>
      <c r="B210" s="123" t="s">
        <v>57</v>
      </c>
      <c r="C210" s="139">
        <v>40130</v>
      </c>
      <c r="D210" s="145" t="s">
        <v>326</v>
      </c>
      <c r="E210" s="146">
        <v>13</v>
      </c>
      <c r="F210" s="146">
        <v>4</v>
      </c>
      <c r="G210" s="146">
        <v>9</v>
      </c>
      <c r="H210" s="127">
        <v>1678.5</v>
      </c>
      <c r="I210" s="128">
        <v>334</v>
      </c>
      <c r="J210" s="129">
        <f t="shared" si="18"/>
        <v>83.5</v>
      </c>
      <c r="K210" s="130">
        <f t="shared" si="17"/>
        <v>5.025449101796407</v>
      </c>
      <c r="L210" s="131">
        <f>61012+24426+6122+10040+4081+228+2698+1216+1678.5</f>
        <v>111501.5</v>
      </c>
      <c r="M210" s="132">
        <f>5982+2401+678+1620+879+42+433+305+334</f>
        <v>12674</v>
      </c>
      <c r="N210" s="133">
        <f t="shared" si="19"/>
        <v>8.797656619851665</v>
      </c>
      <c r="O210" s="108">
        <v>1</v>
      </c>
      <c r="P210" s="334"/>
      <c r="Q210" s="83"/>
      <c r="R210" s="83"/>
      <c r="S210" s="83"/>
      <c r="T210" s="83"/>
    </row>
    <row r="211" spans="1:20" ht="12" customHeight="1">
      <c r="A211" s="290">
        <v>207</v>
      </c>
      <c r="B211" s="123" t="s">
        <v>57</v>
      </c>
      <c r="C211" s="168">
        <v>40130</v>
      </c>
      <c r="D211" s="145" t="s">
        <v>326</v>
      </c>
      <c r="E211" s="169">
        <v>13</v>
      </c>
      <c r="F211" s="169">
        <v>2</v>
      </c>
      <c r="G211" s="169">
        <v>10</v>
      </c>
      <c r="H211" s="127">
        <v>1457</v>
      </c>
      <c r="I211" s="135">
        <v>339</v>
      </c>
      <c r="J211" s="129">
        <f t="shared" si="18"/>
        <v>169.5</v>
      </c>
      <c r="K211" s="130">
        <f t="shared" si="17"/>
        <v>4.297935103244837</v>
      </c>
      <c r="L211" s="131">
        <f>61012+24426+6122+10040+4081+228+2698+1216+1678.5+1457</f>
        <v>112958.5</v>
      </c>
      <c r="M211" s="136">
        <f>5982+2401+678+1620+879+42+433+305+334+339</f>
        <v>13013</v>
      </c>
      <c r="N211" s="133">
        <f t="shared" si="19"/>
        <v>8.680434949665718</v>
      </c>
      <c r="O211" s="170">
        <v>1</v>
      </c>
      <c r="P211" s="334"/>
      <c r="Q211" s="83"/>
      <c r="R211" s="83"/>
      <c r="S211" s="83"/>
      <c r="T211" s="83"/>
    </row>
    <row r="212" spans="1:20" ht="12" customHeight="1">
      <c r="A212" s="290">
        <v>208</v>
      </c>
      <c r="B212" s="123" t="s">
        <v>57</v>
      </c>
      <c r="C212" s="139">
        <v>40130</v>
      </c>
      <c r="D212" s="145" t="s">
        <v>326</v>
      </c>
      <c r="E212" s="146">
        <v>13</v>
      </c>
      <c r="F212" s="146">
        <v>2</v>
      </c>
      <c r="G212" s="146">
        <v>8</v>
      </c>
      <c r="H212" s="127">
        <v>1216</v>
      </c>
      <c r="I212" s="128">
        <v>305</v>
      </c>
      <c r="J212" s="129">
        <f t="shared" si="18"/>
        <v>152.5</v>
      </c>
      <c r="K212" s="130">
        <f t="shared" si="17"/>
        <v>3.9868852459016395</v>
      </c>
      <c r="L212" s="131">
        <f>61012+24426+6122+10040+4081+228+2698+1216</f>
        <v>109823</v>
      </c>
      <c r="M212" s="132">
        <f>5982+2401+678+1620+879+42+433+305</f>
        <v>12340</v>
      </c>
      <c r="N212" s="133">
        <f t="shared" si="19"/>
        <v>8.899756888168557</v>
      </c>
      <c r="O212" s="149">
        <v>1</v>
      </c>
      <c r="P212" s="334"/>
      <c r="Q212" s="83"/>
      <c r="R212" s="83"/>
      <c r="S212" s="83"/>
      <c r="T212" s="83"/>
    </row>
    <row r="213" spans="1:20" ht="12" customHeight="1">
      <c r="A213" s="290">
        <v>209</v>
      </c>
      <c r="B213" s="123" t="s">
        <v>57</v>
      </c>
      <c r="C213" s="139">
        <v>40130</v>
      </c>
      <c r="D213" s="145" t="s">
        <v>326</v>
      </c>
      <c r="E213" s="156">
        <v>13</v>
      </c>
      <c r="F213" s="156">
        <v>1</v>
      </c>
      <c r="G213" s="156">
        <v>13</v>
      </c>
      <c r="H213" s="157">
        <v>1209.4</v>
      </c>
      <c r="I213" s="158">
        <v>256</v>
      </c>
      <c r="J213" s="129">
        <f t="shared" si="18"/>
        <v>256</v>
      </c>
      <c r="K213" s="130">
        <f t="shared" si="17"/>
        <v>4.72421875</v>
      </c>
      <c r="L213" s="154">
        <f>61012+24426+6122+10040+4081+228+2698+1216+1678.5+1457+452+472+1209.4</f>
        <v>115091.9</v>
      </c>
      <c r="M213" s="153">
        <f>5982+2401+678+1620+879+42+433+305+334+339+195+86+256</f>
        <v>13550</v>
      </c>
      <c r="N213" s="133">
        <f t="shared" si="19"/>
        <v>8.493867158671586</v>
      </c>
      <c r="O213" s="159">
        <v>1</v>
      </c>
      <c r="P213" s="334"/>
      <c r="Q213" s="83"/>
      <c r="R213" s="83"/>
      <c r="S213" s="83"/>
      <c r="T213" s="83"/>
    </row>
    <row r="214" spans="1:20" ht="12" customHeight="1">
      <c r="A214" s="290">
        <v>210</v>
      </c>
      <c r="B214" s="123" t="s">
        <v>57</v>
      </c>
      <c r="C214" s="139">
        <v>40130</v>
      </c>
      <c r="D214" s="145" t="s">
        <v>326</v>
      </c>
      <c r="E214" s="156">
        <v>13</v>
      </c>
      <c r="F214" s="156">
        <v>1</v>
      </c>
      <c r="G214" s="156">
        <v>14</v>
      </c>
      <c r="H214" s="157">
        <v>1001.04</v>
      </c>
      <c r="I214" s="158">
        <v>229</v>
      </c>
      <c r="J214" s="129">
        <f t="shared" si="18"/>
        <v>229</v>
      </c>
      <c r="K214" s="130">
        <f t="shared" si="17"/>
        <v>4.371353711790393</v>
      </c>
      <c r="L214" s="154">
        <f>61012+24426+6122+10040+4081+228+2698+1216+1678.5+1457+452+472+1209.4+1001.04</f>
        <v>116092.93999999999</v>
      </c>
      <c r="M214" s="153">
        <f>5982+2401+678+1620+879+42+433+305+334+339+195+86+256+229</f>
        <v>13779</v>
      </c>
      <c r="N214" s="133">
        <f t="shared" si="19"/>
        <v>8.425353073517671</v>
      </c>
      <c r="O214" s="159">
        <v>1</v>
      </c>
      <c r="P214" s="334"/>
      <c r="Q214" s="83"/>
      <c r="R214" s="83"/>
      <c r="S214" s="83"/>
      <c r="T214" s="83"/>
    </row>
    <row r="215" spans="1:20" ht="12" customHeight="1">
      <c r="A215" s="290">
        <v>211</v>
      </c>
      <c r="B215" s="123" t="s">
        <v>57</v>
      </c>
      <c r="C215" s="139">
        <v>40130</v>
      </c>
      <c r="D215" s="145" t="s">
        <v>326</v>
      </c>
      <c r="E215" s="156">
        <v>13</v>
      </c>
      <c r="F215" s="156">
        <v>3</v>
      </c>
      <c r="G215" s="156">
        <v>15</v>
      </c>
      <c r="H215" s="157">
        <v>947</v>
      </c>
      <c r="I215" s="184">
        <v>130</v>
      </c>
      <c r="J215" s="129">
        <f t="shared" si="18"/>
        <v>43.333333333333336</v>
      </c>
      <c r="K215" s="130">
        <f t="shared" si="17"/>
        <v>7.2846153846153845</v>
      </c>
      <c r="L215" s="144">
        <f>61012+24426+6122+10040+4081+228+2698+1216+1678.5+1457+452+472+1209.4+1001.04+947</f>
        <v>117039.93999999999</v>
      </c>
      <c r="M215" s="143">
        <f>5982+2401+678+1620+879+42+433+305+334+339+195+86+256+229+130</f>
        <v>13909</v>
      </c>
      <c r="N215" s="133">
        <f t="shared" si="19"/>
        <v>8.414691207132073</v>
      </c>
      <c r="O215" s="110">
        <v>1</v>
      </c>
      <c r="P215" s="334"/>
      <c r="Q215" s="83"/>
      <c r="R215" s="83"/>
      <c r="S215" s="83"/>
      <c r="T215" s="83"/>
    </row>
    <row r="216" spans="1:20" ht="12" customHeight="1">
      <c r="A216" s="290">
        <v>212</v>
      </c>
      <c r="B216" s="123" t="s">
        <v>57</v>
      </c>
      <c r="C216" s="124">
        <v>40130</v>
      </c>
      <c r="D216" s="125" t="s">
        <v>338</v>
      </c>
      <c r="E216" s="126">
        <v>13</v>
      </c>
      <c r="F216" s="126">
        <v>1</v>
      </c>
      <c r="G216" s="126">
        <v>17</v>
      </c>
      <c r="H216" s="127">
        <v>901</v>
      </c>
      <c r="I216" s="128">
        <v>125</v>
      </c>
      <c r="J216" s="129">
        <f t="shared" si="18"/>
        <v>125</v>
      </c>
      <c r="K216" s="130">
        <f t="shared" si="17"/>
        <v>7.208</v>
      </c>
      <c r="L216" s="131">
        <f>61012+24426+6122+10040+4081+228+2698+1216+1678.5+1457+452+472+1209.4+1001.04+947+262+901</f>
        <v>118202.93999999999</v>
      </c>
      <c r="M216" s="132">
        <f>5982+2401+678+1620+879+42+433+305+334+339+195+86+256+229+130+31+125</f>
        <v>14065</v>
      </c>
      <c r="N216" s="133">
        <f t="shared" si="19"/>
        <v>8.40404834696054</v>
      </c>
      <c r="O216" s="147">
        <v>1</v>
      </c>
      <c r="P216" s="334"/>
      <c r="Q216" s="83"/>
      <c r="R216" s="83"/>
      <c r="S216" s="83"/>
      <c r="T216" s="83"/>
    </row>
    <row r="217" spans="1:20" ht="12" customHeight="1">
      <c r="A217" s="290">
        <v>213</v>
      </c>
      <c r="B217" s="123" t="s">
        <v>57</v>
      </c>
      <c r="C217" s="171">
        <v>40130</v>
      </c>
      <c r="D217" s="145" t="s">
        <v>326</v>
      </c>
      <c r="E217" s="156">
        <v>13</v>
      </c>
      <c r="F217" s="156">
        <v>1</v>
      </c>
      <c r="G217" s="156">
        <v>12</v>
      </c>
      <c r="H217" s="157">
        <v>472</v>
      </c>
      <c r="I217" s="158">
        <v>86</v>
      </c>
      <c r="J217" s="129">
        <f t="shared" si="18"/>
        <v>86</v>
      </c>
      <c r="K217" s="130">
        <f t="shared" si="17"/>
        <v>5.488372093023256</v>
      </c>
      <c r="L217" s="154">
        <f>61012+24426+6122+10040+4081+228+2698+1216+1678.5+1457+452+472</f>
        <v>113882.5</v>
      </c>
      <c r="M217" s="153">
        <f>5982+2401+678+1620+879+42+433+305+334+339+195+86</f>
        <v>13294</v>
      </c>
      <c r="N217" s="133">
        <f t="shared" si="19"/>
        <v>8.566458552730555</v>
      </c>
      <c r="O217" s="148">
        <v>1</v>
      </c>
      <c r="P217" s="334"/>
      <c r="Q217" s="83"/>
      <c r="R217" s="83"/>
      <c r="S217" s="83"/>
      <c r="T217" s="83"/>
    </row>
    <row r="218" spans="1:20" ht="12" customHeight="1">
      <c r="A218" s="290">
        <v>214</v>
      </c>
      <c r="B218" s="123" t="s">
        <v>57</v>
      </c>
      <c r="C218" s="139">
        <v>40130</v>
      </c>
      <c r="D218" s="145" t="s">
        <v>326</v>
      </c>
      <c r="E218" s="146">
        <v>13</v>
      </c>
      <c r="F218" s="146">
        <v>1</v>
      </c>
      <c r="G218" s="146">
        <v>11</v>
      </c>
      <c r="H218" s="137">
        <v>452</v>
      </c>
      <c r="I218" s="135">
        <v>195</v>
      </c>
      <c r="J218" s="129">
        <f t="shared" si="18"/>
        <v>195</v>
      </c>
      <c r="K218" s="130">
        <f t="shared" si="17"/>
        <v>2.317948717948718</v>
      </c>
      <c r="L218" s="138">
        <f>61012+24426+6122+10040+4081+228+2698+1216+1678.5+1457+452</f>
        <v>113410.5</v>
      </c>
      <c r="M218" s="136">
        <f>5982+2401+678+1620+879+42+433+305+334+339+195</f>
        <v>13208</v>
      </c>
      <c r="N218" s="133">
        <f t="shared" si="19"/>
        <v>8.58650060569352</v>
      </c>
      <c r="O218" s="149">
        <v>1</v>
      </c>
      <c r="P218" s="334"/>
      <c r="Q218" s="83"/>
      <c r="R218" s="83"/>
      <c r="S218" s="83"/>
      <c r="T218" s="83"/>
    </row>
    <row r="219" spans="1:20" ht="12" customHeight="1">
      <c r="A219" s="290">
        <v>215</v>
      </c>
      <c r="B219" s="123" t="s">
        <v>57</v>
      </c>
      <c r="C219" s="139">
        <v>40130</v>
      </c>
      <c r="D219" s="145" t="s">
        <v>326</v>
      </c>
      <c r="E219" s="146">
        <v>13</v>
      </c>
      <c r="F219" s="146">
        <v>1</v>
      </c>
      <c r="G219" s="146">
        <v>16</v>
      </c>
      <c r="H219" s="137">
        <v>262</v>
      </c>
      <c r="I219" s="135">
        <v>31</v>
      </c>
      <c r="J219" s="129">
        <f t="shared" si="18"/>
        <v>31</v>
      </c>
      <c r="K219" s="130">
        <f t="shared" si="17"/>
        <v>8.451612903225806</v>
      </c>
      <c r="L219" s="138">
        <f>61012+24426+6122+10040+4081+228+2698+1216+1678.5+1457+452+472+1209.4+1001.04+947+262</f>
        <v>117301.93999999999</v>
      </c>
      <c r="M219" s="136">
        <f>5982+2401+678+1620+879+42+433+305+334+339+195+86+256+229+130+31</f>
        <v>13940</v>
      </c>
      <c r="N219" s="133">
        <f t="shared" si="19"/>
        <v>8.41477331420373</v>
      </c>
      <c r="O219" s="149">
        <v>1</v>
      </c>
      <c r="P219" s="334"/>
      <c r="Q219" s="83"/>
      <c r="R219" s="83"/>
      <c r="S219" s="83"/>
      <c r="T219" s="83"/>
    </row>
    <row r="220" spans="1:20" ht="12" customHeight="1">
      <c r="A220" s="290">
        <v>216</v>
      </c>
      <c r="B220" s="123" t="s">
        <v>57</v>
      </c>
      <c r="C220" s="124">
        <v>40130</v>
      </c>
      <c r="D220" s="125" t="s">
        <v>326</v>
      </c>
      <c r="E220" s="126">
        <v>13</v>
      </c>
      <c r="F220" s="126">
        <v>1</v>
      </c>
      <c r="G220" s="126">
        <v>18</v>
      </c>
      <c r="H220" s="127">
        <v>178</v>
      </c>
      <c r="I220" s="128">
        <v>25</v>
      </c>
      <c r="J220" s="129">
        <f t="shared" si="18"/>
        <v>25</v>
      </c>
      <c r="K220" s="130">
        <f t="shared" si="17"/>
        <v>7.12</v>
      </c>
      <c r="L220" s="131">
        <f>61012+24426+6122+10040+4081+228+2698+1216+1678.5+1457+452+472+1209.4+1001.04+947+262+901+178</f>
        <v>118380.93999999999</v>
      </c>
      <c r="M220" s="132">
        <f>5982+2401+678+1620+879+42+433+305+334+339+195+86+256+229+130+31+125+25</f>
        <v>14090</v>
      </c>
      <c r="N220" s="133">
        <f t="shared" si="19"/>
        <v>8.401770049680623</v>
      </c>
      <c r="O220" s="148">
        <v>1</v>
      </c>
      <c r="P220" s="334"/>
      <c r="Q220" s="83"/>
      <c r="R220" s="83"/>
      <c r="S220" s="83"/>
      <c r="T220" s="83"/>
    </row>
    <row r="221" spans="1:20" ht="12" customHeight="1">
      <c r="A221" s="290">
        <v>217</v>
      </c>
      <c r="B221" s="123" t="s">
        <v>273</v>
      </c>
      <c r="C221" s="139">
        <v>39857</v>
      </c>
      <c r="D221" s="125" t="s">
        <v>326</v>
      </c>
      <c r="E221" s="146">
        <v>41</v>
      </c>
      <c r="F221" s="146">
        <v>1</v>
      </c>
      <c r="G221" s="146">
        <v>27</v>
      </c>
      <c r="H221" s="141">
        <v>120</v>
      </c>
      <c r="I221" s="142">
        <v>10</v>
      </c>
      <c r="J221" s="129">
        <f t="shared" si="18"/>
        <v>10</v>
      </c>
      <c r="K221" s="130">
        <f t="shared" si="17"/>
        <v>12</v>
      </c>
      <c r="L221" s="144">
        <f>237955+174160.5+33697.5+17295.5+3111+908+14803+5802.5+3727+1295+1110+1441+1172+3872+566+382+2610+464+500+1166+2988+448+1533+1286+188+476+120</f>
        <v>513077</v>
      </c>
      <c r="M221" s="143">
        <f>21828+16711+3926+2842+612+184+2267+940+496+230+202+304+208+948+71+57+590+58+50+248+747+78+191+91+22+119+10</f>
        <v>54030</v>
      </c>
      <c r="N221" s="133">
        <f t="shared" si="19"/>
        <v>9.496150286877661</v>
      </c>
      <c r="O221" s="350">
        <v>1</v>
      </c>
      <c r="P221" s="334"/>
      <c r="Q221" s="83"/>
      <c r="R221" s="83"/>
      <c r="S221" s="83"/>
      <c r="T221" s="83"/>
    </row>
    <row r="222" spans="1:20" ht="12" customHeight="1">
      <c r="A222" s="290">
        <v>218</v>
      </c>
      <c r="B222" s="123" t="s">
        <v>244</v>
      </c>
      <c r="C222" s="124">
        <v>40158</v>
      </c>
      <c r="D222" s="125" t="s">
        <v>449</v>
      </c>
      <c r="E222" s="126">
        <v>6</v>
      </c>
      <c r="F222" s="126">
        <v>1</v>
      </c>
      <c r="G222" s="126">
        <v>10</v>
      </c>
      <c r="H222" s="127">
        <v>2376</v>
      </c>
      <c r="I222" s="128">
        <v>475</v>
      </c>
      <c r="J222" s="129">
        <f t="shared" si="18"/>
        <v>475</v>
      </c>
      <c r="K222" s="130">
        <f t="shared" si="17"/>
        <v>5.002105263157895</v>
      </c>
      <c r="L222" s="131">
        <v>55074.5</v>
      </c>
      <c r="M222" s="132">
        <v>5549</v>
      </c>
      <c r="N222" s="133">
        <f t="shared" si="19"/>
        <v>9.925121643539377</v>
      </c>
      <c r="O222" s="149">
        <v>1</v>
      </c>
      <c r="P222" s="334"/>
      <c r="Q222" s="83"/>
      <c r="R222" s="83"/>
      <c r="S222" s="83"/>
      <c r="T222" s="83"/>
    </row>
    <row r="223" spans="1:20" ht="12" customHeight="1">
      <c r="A223" s="290">
        <v>219</v>
      </c>
      <c r="B223" s="123" t="s">
        <v>244</v>
      </c>
      <c r="C223" s="139">
        <v>40158</v>
      </c>
      <c r="D223" s="190" t="s">
        <v>423</v>
      </c>
      <c r="E223" s="156">
        <v>6</v>
      </c>
      <c r="F223" s="156">
        <v>1</v>
      </c>
      <c r="G223" s="156">
        <v>9</v>
      </c>
      <c r="H223" s="157">
        <v>1782</v>
      </c>
      <c r="I223" s="184">
        <v>356</v>
      </c>
      <c r="J223" s="129">
        <f t="shared" si="18"/>
        <v>356</v>
      </c>
      <c r="K223" s="130">
        <f t="shared" si="17"/>
        <v>5.00561797752809</v>
      </c>
      <c r="L223" s="144">
        <v>52698.5</v>
      </c>
      <c r="M223" s="143">
        <v>5074</v>
      </c>
      <c r="N223" s="133">
        <f t="shared" si="19"/>
        <v>10.385987386677177</v>
      </c>
      <c r="O223" s="351">
        <v>1</v>
      </c>
      <c r="P223" s="334"/>
      <c r="Q223" s="83"/>
      <c r="R223" s="83"/>
      <c r="S223" s="83"/>
      <c r="T223" s="83"/>
    </row>
    <row r="224" spans="1:20" ht="12" customHeight="1">
      <c r="A224" s="290">
        <v>220</v>
      </c>
      <c r="B224" s="123" t="s">
        <v>244</v>
      </c>
      <c r="C224" s="124">
        <v>40158</v>
      </c>
      <c r="D224" s="155" t="s">
        <v>423</v>
      </c>
      <c r="E224" s="126">
        <v>6</v>
      </c>
      <c r="F224" s="126">
        <v>3</v>
      </c>
      <c r="G224" s="126">
        <v>4</v>
      </c>
      <c r="H224" s="162">
        <v>1098</v>
      </c>
      <c r="I224" s="165">
        <v>177</v>
      </c>
      <c r="J224" s="129">
        <f t="shared" si="18"/>
        <v>59</v>
      </c>
      <c r="K224" s="130">
        <f t="shared" si="17"/>
        <v>6.203389830508475</v>
      </c>
      <c r="L224" s="164">
        <v>48973</v>
      </c>
      <c r="M224" s="153">
        <v>4330</v>
      </c>
      <c r="N224" s="133">
        <f t="shared" si="19"/>
        <v>11.310161662817553</v>
      </c>
      <c r="O224" s="149">
        <v>1</v>
      </c>
      <c r="P224" s="334"/>
      <c r="Q224" s="83"/>
      <c r="R224" s="83"/>
      <c r="S224" s="83"/>
      <c r="T224" s="83"/>
    </row>
    <row r="225" spans="1:20" ht="12" customHeight="1">
      <c r="A225" s="290">
        <v>221</v>
      </c>
      <c r="B225" s="182" t="s">
        <v>244</v>
      </c>
      <c r="C225" s="171">
        <v>40158</v>
      </c>
      <c r="D225" s="190" t="s">
        <v>423</v>
      </c>
      <c r="E225" s="156">
        <v>6</v>
      </c>
      <c r="F225" s="156">
        <v>1</v>
      </c>
      <c r="G225" s="156">
        <v>8</v>
      </c>
      <c r="H225" s="157">
        <v>750</v>
      </c>
      <c r="I225" s="158">
        <v>125</v>
      </c>
      <c r="J225" s="129">
        <f t="shared" si="18"/>
        <v>125</v>
      </c>
      <c r="K225" s="130">
        <f t="shared" si="17"/>
        <v>6</v>
      </c>
      <c r="L225" s="154">
        <v>50916.5</v>
      </c>
      <c r="M225" s="153">
        <v>4718</v>
      </c>
      <c r="N225" s="133">
        <f t="shared" si="19"/>
        <v>10.791966935142009</v>
      </c>
      <c r="O225" s="110">
        <v>1</v>
      </c>
      <c r="P225" s="334"/>
      <c r="Q225" s="83"/>
      <c r="R225" s="83"/>
      <c r="S225" s="83"/>
      <c r="T225" s="83"/>
    </row>
    <row r="226" spans="1:20" ht="12" customHeight="1">
      <c r="A226" s="290">
        <v>222</v>
      </c>
      <c r="B226" s="151" t="s">
        <v>244</v>
      </c>
      <c r="C226" s="139">
        <v>40158</v>
      </c>
      <c r="D226" s="155" t="s">
        <v>423</v>
      </c>
      <c r="E226" s="146">
        <v>6</v>
      </c>
      <c r="F226" s="146">
        <v>1</v>
      </c>
      <c r="G226" s="146">
        <v>7</v>
      </c>
      <c r="H226" s="150">
        <v>629.5</v>
      </c>
      <c r="I226" s="152">
        <v>173</v>
      </c>
      <c r="J226" s="129">
        <f t="shared" si="18"/>
        <v>173</v>
      </c>
      <c r="K226" s="130">
        <f t="shared" si="17"/>
        <v>3.638728323699422</v>
      </c>
      <c r="L226" s="154">
        <v>50166.5</v>
      </c>
      <c r="M226" s="153">
        <v>4593</v>
      </c>
      <c r="N226" s="133">
        <f t="shared" si="19"/>
        <v>10.9223818854779</v>
      </c>
      <c r="O226" s="149"/>
      <c r="P226" s="334"/>
      <c r="Q226" s="83"/>
      <c r="R226" s="83"/>
      <c r="S226" s="83"/>
      <c r="T226" s="83"/>
    </row>
    <row r="227" spans="1:20" ht="12" customHeight="1">
      <c r="A227" s="290">
        <v>223</v>
      </c>
      <c r="B227" s="123" t="s">
        <v>244</v>
      </c>
      <c r="C227" s="124">
        <v>40158</v>
      </c>
      <c r="D227" s="155" t="s">
        <v>423</v>
      </c>
      <c r="E227" s="126">
        <v>6</v>
      </c>
      <c r="F227" s="126">
        <v>4</v>
      </c>
      <c r="G227" s="126">
        <v>5</v>
      </c>
      <c r="H227" s="162">
        <v>442</v>
      </c>
      <c r="I227" s="163">
        <v>69</v>
      </c>
      <c r="J227" s="129">
        <f t="shared" si="18"/>
        <v>17.25</v>
      </c>
      <c r="K227" s="130">
        <f t="shared" si="17"/>
        <v>6.405797101449275</v>
      </c>
      <c r="L227" s="164">
        <v>49415</v>
      </c>
      <c r="M227" s="143">
        <v>4399</v>
      </c>
      <c r="N227" s="133">
        <f t="shared" si="19"/>
        <v>11.23323482609684</v>
      </c>
      <c r="O227" s="352"/>
      <c r="P227" s="334"/>
      <c r="Q227" s="83"/>
      <c r="R227" s="83"/>
      <c r="S227" s="83"/>
      <c r="T227" s="83"/>
    </row>
    <row r="228" spans="1:20" ht="12" customHeight="1">
      <c r="A228" s="290">
        <v>224</v>
      </c>
      <c r="B228" s="151" t="s">
        <v>244</v>
      </c>
      <c r="C228" s="139">
        <v>40158</v>
      </c>
      <c r="D228" s="155" t="s">
        <v>423</v>
      </c>
      <c r="E228" s="146">
        <v>6</v>
      </c>
      <c r="F228" s="146">
        <v>1</v>
      </c>
      <c r="G228" s="146">
        <v>6</v>
      </c>
      <c r="H228" s="141">
        <v>122</v>
      </c>
      <c r="I228" s="142">
        <v>21</v>
      </c>
      <c r="J228" s="129">
        <f t="shared" si="18"/>
        <v>21</v>
      </c>
      <c r="K228" s="130">
        <f t="shared" si="17"/>
        <v>5.809523809523809</v>
      </c>
      <c r="L228" s="144">
        <v>49537</v>
      </c>
      <c r="M228" s="143">
        <v>4420</v>
      </c>
      <c r="N228" s="133">
        <f t="shared" si="19"/>
        <v>11.207466063348416</v>
      </c>
      <c r="O228" s="149"/>
      <c r="P228" s="334"/>
      <c r="Q228" s="83"/>
      <c r="R228" s="83"/>
      <c r="S228" s="83"/>
      <c r="T228" s="83"/>
    </row>
    <row r="229" spans="1:20" ht="12" customHeight="1">
      <c r="A229" s="290">
        <v>225</v>
      </c>
      <c r="B229" s="123" t="s">
        <v>365</v>
      </c>
      <c r="C229" s="139">
        <v>40074</v>
      </c>
      <c r="D229" s="190" t="s">
        <v>423</v>
      </c>
      <c r="E229" s="156">
        <v>65</v>
      </c>
      <c r="F229" s="156">
        <v>1</v>
      </c>
      <c r="G229" s="156">
        <v>13</v>
      </c>
      <c r="H229" s="157">
        <v>539</v>
      </c>
      <c r="I229" s="158">
        <v>73</v>
      </c>
      <c r="J229" s="129">
        <f t="shared" si="18"/>
        <v>73</v>
      </c>
      <c r="K229" s="130">
        <f t="shared" si="17"/>
        <v>7.383561643835616</v>
      </c>
      <c r="L229" s="154">
        <v>559945</v>
      </c>
      <c r="M229" s="153">
        <v>62435</v>
      </c>
      <c r="N229" s="133">
        <f t="shared" si="19"/>
        <v>8.968447185072476</v>
      </c>
      <c r="O229" s="108"/>
      <c r="P229" s="334"/>
      <c r="Q229" s="83"/>
      <c r="R229" s="83"/>
      <c r="S229" s="83"/>
      <c r="T229" s="83"/>
    </row>
    <row r="230" spans="1:20" ht="12" customHeight="1">
      <c r="A230" s="290">
        <v>226</v>
      </c>
      <c r="B230" s="123" t="s">
        <v>365</v>
      </c>
      <c r="C230" s="124">
        <v>40074</v>
      </c>
      <c r="D230" s="155" t="s">
        <v>423</v>
      </c>
      <c r="E230" s="126">
        <v>65</v>
      </c>
      <c r="F230" s="126">
        <v>2</v>
      </c>
      <c r="G230" s="126">
        <v>11</v>
      </c>
      <c r="H230" s="162">
        <v>448</v>
      </c>
      <c r="I230" s="163">
        <v>83</v>
      </c>
      <c r="J230" s="129">
        <f t="shared" si="18"/>
        <v>41.5</v>
      </c>
      <c r="K230" s="130">
        <f t="shared" si="17"/>
        <v>5.397590361445783</v>
      </c>
      <c r="L230" s="164">
        <v>558893</v>
      </c>
      <c r="M230" s="143">
        <v>62285</v>
      </c>
      <c r="N230" s="133">
        <f t="shared" si="19"/>
        <v>8.973155655454764</v>
      </c>
      <c r="O230" s="149"/>
      <c r="P230" s="334"/>
      <c r="Q230" s="83"/>
      <c r="R230" s="83"/>
      <c r="S230" s="83"/>
      <c r="T230" s="83"/>
    </row>
    <row r="231" spans="1:20" ht="12" customHeight="1">
      <c r="A231" s="290">
        <v>227</v>
      </c>
      <c r="B231" s="151" t="s">
        <v>365</v>
      </c>
      <c r="C231" s="139">
        <v>40074</v>
      </c>
      <c r="D231" s="155" t="s">
        <v>423</v>
      </c>
      <c r="E231" s="146">
        <v>65</v>
      </c>
      <c r="F231" s="146">
        <v>1</v>
      </c>
      <c r="G231" s="146">
        <v>12</v>
      </c>
      <c r="H231" s="150">
        <v>433</v>
      </c>
      <c r="I231" s="152">
        <v>61</v>
      </c>
      <c r="J231" s="129">
        <f t="shared" si="18"/>
        <v>61</v>
      </c>
      <c r="K231" s="130">
        <f t="shared" si="17"/>
        <v>7.098360655737705</v>
      </c>
      <c r="L231" s="154">
        <v>559406</v>
      </c>
      <c r="M231" s="153">
        <v>62362</v>
      </c>
      <c r="N231" s="133">
        <f t="shared" si="19"/>
        <v>8.970302427760496</v>
      </c>
      <c r="O231" s="181">
        <v>1</v>
      </c>
      <c r="P231" s="334"/>
      <c r="Q231" s="83"/>
      <c r="R231" s="83"/>
      <c r="S231" s="83"/>
      <c r="T231" s="83"/>
    </row>
    <row r="232" spans="1:20" ht="12" customHeight="1">
      <c r="A232" s="290">
        <v>228</v>
      </c>
      <c r="B232" s="182" t="s">
        <v>379</v>
      </c>
      <c r="C232" s="139">
        <v>39682</v>
      </c>
      <c r="D232" s="145" t="s">
        <v>353</v>
      </c>
      <c r="E232" s="156">
        <v>60</v>
      </c>
      <c r="F232" s="156">
        <v>2</v>
      </c>
      <c r="G232" s="156">
        <v>16</v>
      </c>
      <c r="H232" s="157">
        <v>4320</v>
      </c>
      <c r="I232" s="158">
        <v>783</v>
      </c>
      <c r="J232" s="129">
        <f>I232/F232</f>
        <v>391.5</v>
      </c>
      <c r="K232" s="130">
        <f t="shared" si="17"/>
        <v>5.517241379310345</v>
      </c>
      <c r="L232" s="154">
        <f>111737+37434.5+11042+9412+0.5+6921+5282+0.5+1449+105+269+162+117+442+7259+305+4320</f>
        <v>196257.5</v>
      </c>
      <c r="M232" s="153">
        <f>13345+4357+1377+1694+1346+1248+225+18+64+40+37+108+2420+61+783</f>
        <v>27123</v>
      </c>
      <c r="N232" s="133">
        <f>+L232/M232</f>
        <v>7.235833056815249</v>
      </c>
      <c r="O232" s="149">
        <v>1</v>
      </c>
      <c r="P232" s="334"/>
      <c r="Q232" s="83"/>
      <c r="R232" s="83"/>
      <c r="S232" s="83"/>
      <c r="T232" s="83"/>
    </row>
    <row r="233" spans="1:20" ht="12" customHeight="1">
      <c r="A233" s="290">
        <v>229</v>
      </c>
      <c r="B233" s="449" t="s">
        <v>379</v>
      </c>
      <c r="C233" s="440">
        <v>39682</v>
      </c>
      <c r="D233" s="485" t="s">
        <v>337</v>
      </c>
      <c r="E233" s="486">
        <v>60</v>
      </c>
      <c r="F233" s="486">
        <v>1</v>
      </c>
      <c r="G233" s="486">
        <v>22</v>
      </c>
      <c r="H233" s="487">
        <v>3598</v>
      </c>
      <c r="I233" s="488">
        <v>600</v>
      </c>
      <c r="J233" s="577">
        <f>I233/F233</f>
        <v>600</v>
      </c>
      <c r="K233" s="578">
        <f t="shared" si="17"/>
        <v>5.996666666666667</v>
      </c>
      <c r="L233" s="491">
        <f>111737+37434.5+11042+9412+0.5+6921+5282+0.5+1449+105+269+162+117+442+7259+305+4320+1922+1799+1799+135+1799+3598</f>
        <v>207309.5</v>
      </c>
      <c r="M233" s="438">
        <f>13345+4357+1377+1694+1346+1248+225+18+64+40+37+108+2420+61+783+385+300+300+15+300+600</f>
        <v>29023</v>
      </c>
      <c r="N233" s="595">
        <f>+L233/M233</f>
        <v>7.142938359232333</v>
      </c>
      <c r="O233" s="108"/>
      <c r="P233" s="561"/>
      <c r="Q233" s="83"/>
      <c r="R233" s="83"/>
      <c r="S233" s="83"/>
      <c r="T233" s="83"/>
    </row>
    <row r="234" spans="1:20" ht="12" customHeight="1">
      <c r="A234" s="290">
        <v>230</v>
      </c>
      <c r="B234" s="506" t="s">
        <v>379</v>
      </c>
      <c r="C234" s="440">
        <v>39682</v>
      </c>
      <c r="D234" s="485" t="s">
        <v>337</v>
      </c>
      <c r="E234" s="486">
        <v>90</v>
      </c>
      <c r="F234" s="486">
        <v>1</v>
      </c>
      <c r="G234" s="486">
        <v>21</v>
      </c>
      <c r="H234" s="487">
        <v>1799</v>
      </c>
      <c r="I234" s="488">
        <v>300</v>
      </c>
      <c r="J234" s="435">
        <f>IF(H234&lt;&gt;0,I234/F234,"")</f>
        <v>300</v>
      </c>
      <c r="K234" s="436">
        <f>IF(H234&lt;&gt;0,H234/I234,"")</f>
        <v>5.996666666666667</v>
      </c>
      <c r="L234" s="491">
        <f>111737+37434.5+11042+9412+0.5+6921+5282+0.5+1449+105+269+162+117+442+7259+305+4320+1922+1799+1799+135+1799</f>
        <v>203711.5</v>
      </c>
      <c r="M234" s="438">
        <f>13345+4357+1377+1694+1346+1248+225+18+64+40+37+108+2420+61+783+385+300+300+15+300</f>
        <v>28423</v>
      </c>
      <c r="N234" s="450">
        <f>IF(L234&lt;&gt;0,L234/M234,"")</f>
        <v>7.167135770326848</v>
      </c>
      <c r="O234" s="109"/>
      <c r="P234" s="334"/>
      <c r="Q234" s="83"/>
      <c r="R234" s="83"/>
      <c r="S234" s="83"/>
      <c r="T234" s="83"/>
    </row>
    <row r="235" spans="1:20" ht="12" customHeight="1">
      <c r="A235" s="290">
        <v>231</v>
      </c>
      <c r="B235" s="123" t="s">
        <v>379</v>
      </c>
      <c r="C235" s="139">
        <v>39682</v>
      </c>
      <c r="D235" s="125" t="s">
        <v>337</v>
      </c>
      <c r="E235" s="146">
        <v>60</v>
      </c>
      <c r="F235" s="146">
        <v>1</v>
      </c>
      <c r="G235" s="146">
        <v>19</v>
      </c>
      <c r="H235" s="141">
        <v>1799</v>
      </c>
      <c r="I235" s="142">
        <v>300</v>
      </c>
      <c r="J235" s="129">
        <f aca="true" t="shared" si="20" ref="J235:J273">I235/F235</f>
        <v>300</v>
      </c>
      <c r="K235" s="130">
        <f aca="true" t="shared" si="21" ref="K235:K273">H235/I235</f>
        <v>5.996666666666667</v>
      </c>
      <c r="L235" s="144">
        <f>111737+37434.5+11042+9412+0.5+6921+5282+0.5+1449+105+269+162+117+442+7259+305+4320+1922+1799+1799</f>
        <v>201777.5</v>
      </c>
      <c r="M235" s="143">
        <f>13345+4357+1377+1694+1346+1248+225+18+64+40+37+108+2420+61+783+385+300+300</f>
        <v>28108</v>
      </c>
      <c r="N235" s="133">
        <f aca="true" t="shared" si="22" ref="N235:N273">+L235/M235</f>
        <v>7.178650206346948</v>
      </c>
      <c r="O235" s="109">
        <v>1</v>
      </c>
      <c r="P235" s="334"/>
      <c r="Q235" s="83"/>
      <c r="R235" s="83"/>
      <c r="S235" s="83"/>
      <c r="T235" s="83"/>
    </row>
    <row r="236" spans="1:20" ht="12" customHeight="1">
      <c r="A236" s="290">
        <v>232</v>
      </c>
      <c r="B236" s="123" t="s">
        <v>379</v>
      </c>
      <c r="C236" s="139">
        <v>39682</v>
      </c>
      <c r="D236" s="145" t="s">
        <v>337</v>
      </c>
      <c r="E236" s="146">
        <v>60</v>
      </c>
      <c r="F236" s="146">
        <v>1</v>
      </c>
      <c r="G236" s="146">
        <v>18</v>
      </c>
      <c r="H236" s="137">
        <v>1799</v>
      </c>
      <c r="I236" s="135">
        <v>300</v>
      </c>
      <c r="J236" s="129">
        <f t="shared" si="20"/>
        <v>300</v>
      </c>
      <c r="K236" s="130">
        <f t="shared" si="21"/>
        <v>5.996666666666667</v>
      </c>
      <c r="L236" s="144">
        <f>111737+37434.5+11042+9412+0.5+6921+5282+0.5+1449+105+269+162+117+442+7259+305+4320+1922+1799</f>
        <v>199978.5</v>
      </c>
      <c r="M236" s="143">
        <f>13345+4357+1377+1694+1346+1248+225+18+64+40+37+108+2420+61+783+385+300</f>
        <v>27808</v>
      </c>
      <c r="N236" s="133">
        <f t="shared" si="22"/>
        <v>7.191401754890679</v>
      </c>
      <c r="O236" s="149">
        <v>1</v>
      </c>
      <c r="P236" s="334"/>
      <c r="Q236" s="83"/>
      <c r="R236" s="83"/>
      <c r="S236" s="83"/>
      <c r="T236" s="83"/>
    </row>
    <row r="237" spans="1:20" ht="12" customHeight="1">
      <c r="A237" s="290">
        <v>233</v>
      </c>
      <c r="B237" s="241" t="s">
        <v>379</v>
      </c>
      <c r="C237" s="229">
        <v>39682</v>
      </c>
      <c r="D237" s="230" t="s">
        <v>337</v>
      </c>
      <c r="E237" s="228">
        <v>60</v>
      </c>
      <c r="F237" s="228">
        <v>1</v>
      </c>
      <c r="G237" s="228">
        <v>20</v>
      </c>
      <c r="H237" s="231">
        <v>135</v>
      </c>
      <c r="I237" s="232">
        <v>15</v>
      </c>
      <c r="J237" s="129">
        <f t="shared" si="20"/>
        <v>15</v>
      </c>
      <c r="K237" s="130">
        <f t="shared" si="21"/>
        <v>9</v>
      </c>
      <c r="L237" s="233">
        <f>111737+37434.5+11042+9412+0.5+6921+5282+0.5+1449+105+269+162+117+442+7259+305+4320+1922+1799+1799+135</f>
        <v>201912.5</v>
      </c>
      <c r="M237" s="234">
        <f>13345+4357+1377+1694+1346+1248+225+18+64+40+37+108+2420+61+783+385+300+300+15</f>
        <v>28123</v>
      </c>
      <c r="N237" s="133">
        <f t="shared" si="22"/>
        <v>7.179621661984852</v>
      </c>
      <c r="O237" s="149">
        <v>1</v>
      </c>
      <c r="P237" s="334"/>
      <c r="Q237" s="83"/>
      <c r="R237" s="83"/>
      <c r="S237" s="83"/>
      <c r="T237" s="83"/>
    </row>
    <row r="238" spans="1:20" ht="12" customHeight="1">
      <c r="A238" s="290">
        <v>234</v>
      </c>
      <c r="B238" s="151" t="s">
        <v>216</v>
      </c>
      <c r="C238" s="139">
        <v>40137</v>
      </c>
      <c r="D238" s="194" t="s">
        <v>324</v>
      </c>
      <c r="E238" s="146">
        <v>61</v>
      </c>
      <c r="F238" s="146">
        <v>4</v>
      </c>
      <c r="G238" s="146">
        <v>8</v>
      </c>
      <c r="H238" s="150">
        <v>2148</v>
      </c>
      <c r="I238" s="152">
        <v>594</v>
      </c>
      <c r="J238" s="129">
        <f t="shared" si="20"/>
        <v>148.5</v>
      </c>
      <c r="K238" s="130">
        <f t="shared" si="21"/>
        <v>3.6161616161616164</v>
      </c>
      <c r="L238" s="154">
        <v>458401</v>
      </c>
      <c r="M238" s="153">
        <v>42433</v>
      </c>
      <c r="N238" s="133">
        <f t="shared" si="22"/>
        <v>10.802936393844414</v>
      </c>
      <c r="O238" s="110">
        <v>1</v>
      </c>
      <c r="P238" s="334"/>
      <c r="Q238" s="83"/>
      <c r="R238" s="83"/>
      <c r="S238" s="83"/>
      <c r="T238" s="83"/>
    </row>
    <row r="239" spans="1:20" ht="12" customHeight="1">
      <c r="A239" s="290">
        <v>235</v>
      </c>
      <c r="B239" s="151" t="s">
        <v>216</v>
      </c>
      <c r="C239" s="139">
        <v>40137</v>
      </c>
      <c r="D239" s="194" t="s">
        <v>324</v>
      </c>
      <c r="E239" s="146">
        <v>61</v>
      </c>
      <c r="F239" s="146">
        <v>1</v>
      </c>
      <c r="G239" s="146">
        <v>9</v>
      </c>
      <c r="H239" s="150">
        <v>989</v>
      </c>
      <c r="I239" s="142">
        <v>157</v>
      </c>
      <c r="J239" s="129">
        <f t="shared" si="20"/>
        <v>157</v>
      </c>
      <c r="K239" s="130">
        <f t="shared" si="21"/>
        <v>6.2993630573248405</v>
      </c>
      <c r="L239" s="154">
        <v>459390</v>
      </c>
      <c r="M239" s="143">
        <v>42590</v>
      </c>
      <c r="N239" s="133">
        <f t="shared" si="22"/>
        <v>10.786334820380372</v>
      </c>
      <c r="O239" s="108"/>
      <c r="P239" s="334"/>
      <c r="Q239" s="83"/>
      <c r="R239" s="83"/>
      <c r="S239" s="83"/>
      <c r="T239" s="83"/>
    </row>
    <row r="240" spans="1:20" ht="12" customHeight="1">
      <c r="A240" s="290">
        <v>236</v>
      </c>
      <c r="B240" s="195" t="s">
        <v>216</v>
      </c>
      <c r="C240" s="196">
        <v>40137</v>
      </c>
      <c r="D240" s="194" t="s">
        <v>324</v>
      </c>
      <c r="E240" s="197">
        <v>61</v>
      </c>
      <c r="F240" s="197">
        <v>1</v>
      </c>
      <c r="G240" s="197">
        <v>7</v>
      </c>
      <c r="H240" s="198">
        <v>768</v>
      </c>
      <c r="I240" s="199">
        <v>63</v>
      </c>
      <c r="J240" s="129">
        <f t="shared" si="20"/>
        <v>63</v>
      </c>
      <c r="K240" s="130">
        <f t="shared" si="21"/>
        <v>12.19047619047619</v>
      </c>
      <c r="L240" s="201">
        <v>456253</v>
      </c>
      <c r="M240" s="200">
        <v>41839</v>
      </c>
      <c r="N240" s="133">
        <f t="shared" si="22"/>
        <v>10.9049690480174</v>
      </c>
      <c r="O240" s="147"/>
      <c r="P240" s="334"/>
      <c r="Q240" s="83"/>
      <c r="R240" s="83"/>
      <c r="S240" s="83"/>
      <c r="T240" s="83"/>
    </row>
    <row r="241" spans="1:20" ht="12" customHeight="1">
      <c r="A241" s="290">
        <v>237</v>
      </c>
      <c r="B241" s="123" t="s">
        <v>217</v>
      </c>
      <c r="C241" s="139">
        <v>40137</v>
      </c>
      <c r="D241" s="125" t="s">
        <v>325</v>
      </c>
      <c r="E241" s="146">
        <v>20</v>
      </c>
      <c r="F241" s="146">
        <v>2</v>
      </c>
      <c r="G241" s="146">
        <v>11</v>
      </c>
      <c r="H241" s="141">
        <v>12778</v>
      </c>
      <c r="I241" s="142">
        <v>1094</v>
      </c>
      <c r="J241" s="129">
        <f t="shared" si="20"/>
        <v>547</v>
      </c>
      <c r="K241" s="130">
        <f t="shared" si="21"/>
        <v>11.680073126142595</v>
      </c>
      <c r="L241" s="144">
        <f>997860+4193+617+10063+7010+12778</f>
        <v>1032521</v>
      </c>
      <c r="M241" s="143">
        <f>81544+595+106+1265+874+1094</f>
        <v>85478</v>
      </c>
      <c r="N241" s="133">
        <f t="shared" si="22"/>
        <v>12.07937714967594</v>
      </c>
      <c r="O241" s="110"/>
      <c r="P241" s="334"/>
      <c r="Q241" s="83"/>
      <c r="R241" s="83"/>
      <c r="S241" s="83"/>
      <c r="T241" s="83"/>
    </row>
    <row r="242" spans="1:20" ht="12" customHeight="1">
      <c r="A242" s="290">
        <v>238</v>
      </c>
      <c r="B242" s="123" t="s">
        <v>217</v>
      </c>
      <c r="C242" s="124">
        <v>40137</v>
      </c>
      <c r="D242" s="125" t="s">
        <v>325</v>
      </c>
      <c r="E242" s="126">
        <v>20</v>
      </c>
      <c r="F242" s="126">
        <v>2</v>
      </c>
      <c r="G242" s="126">
        <v>9</v>
      </c>
      <c r="H242" s="127">
        <v>10063</v>
      </c>
      <c r="I242" s="135">
        <v>1265</v>
      </c>
      <c r="J242" s="129">
        <f t="shared" si="20"/>
        <v>632.5</v>
      </c>
      <c r="K242" s="130">
        <f t="shared" si="21"/>
        <v>7.95494071146245</v>
      </c>
      <c r="L242" s="131">
        <f>997860+4193+617+10063</f>
        <v>1012733</v>
      </c>
      <c r="M242" s="136">
        <f>81544+595+106+1265</f>
        <v>83510</v>
      </c>
      <c r="N242" s="133">
        <f t="shared" si="22"/>
        <v>12.12708657645791</v>
      </c>
      <c r="O242" s="147">
        <v>1</v>
      </c>
      <c r="P242" s="334"/>
      <c r="Q242" s="83"/>
      <c r="R242" s="83"/>
      <c r="S242" s="83"/>
      <c r="T242" s="83"/>
    </row>
    <row r="243" spans="1:20" ht="12" customHeight="1">
      <c r="A243" s="290">
        <v>239</v>
      </c>
      <c r="B243" s="123" t="s">
        <v>217</v>
      </c>
      <c r="C243" s="124">
        <v>40137</v>
      </c>
      <c r="D243" s="125" t="s">
        <v>325</v>
      </c>
      <c r="E243" s="126">
        <v>20</v>
      </c>
      <c r="F243" s="126">
        <v>2</v>
      </c>
      <c r="G243" s="126">
        <v>10</v>
      </c>
      <c r="H243" s="137">
        <v>7010</v>
      </c>
      <c r="I243" s="135">
        <v>874</v>
      </c>
      <c r="J243" s="129">
        <f t="shared" si="20"/>
        <v>437</v>
      </c>
      <c r="K243" s="130">
        <f t="shared" si="21"/>
        <v>8.020594965675057</v>
      </c>
      <c r="L243" s="138">
        <f>997860+4193+617+10063+7010</f>
        <v>1019743</v>
      </c>
      <c r="M243" s="136">
        <f>81544+595+106+1265+874</f>
        <v>84384</v>
      </c>
      <c r="N243" s="133">
        <f t="shared" si="22"/>
        <v>12.084553943875616</v>
      </c>
      <c r="O243" s="109">
        <v>1</v>
      </c>
      <c r="P243" s="334"/>
      <c r="Q243" s="83"/>
      <c r="R243" s="83"/>
      <c r="S243" s="83"/>
      <c r="T243" s="83"/>
    </row>
    <row r="244" spans="1:20" ht="12" customHeight="1">
      <c r="A244" s="290">
        <v>240</v>
      </c>
      <c r="B244" s="123" t="s">
        <v>217</v>
      </c>
      <c r="C244" s="124">
        <v>40137</v>
      </c>
      <c r="D244" s="125" t="s">
        <v>325</v>
      </c>
      <c r="E244" s="126">
        <v>20</v>
      </c>
      <c r="F244" s="126">
        <v>1</v>
      </c>
      <c r="G244" s="126">
        <v>7</v>
      </c>
      <c r="H244" s="127">
        <v>4193</v>
      </c>
      <c r="I244" s="128">
        <v>595</v>
      </c>
      <c r="J244" s="129">
        <f t="shared" si="20"/>
        <v>595</v>
      </c>
      <c r="K244" s="130">
        <f t="shared" si="21"/>
        <v>7.047058823529412</v>
      </c>
      <c r="L244" s="131">
        <f>997860+4193</f>
        <v>1002053</v>
      </c>
      <c r="M244" s="132">
        <f>81544+595</f>
        <v>82139</v>
      </c>
      <c r="N244" s="133">
        <f t="shared" si="22"/>
        <v>12.1994789320542</v>
      </c>
      <c r="O244" s="149"/>
      <c r="P244" s="334"/>
      <c r="Q244" s="83"/>
      <c r="R244" s="83"/>
      <c r="S244" s="83"/>
      <c r="T244" s="83"/>
    </row>
    <row r="245" spans="1:20" ht="12" customHeight="1">
      <c r="A245" s="290">
        <v>241</v>
      </c>
      <c r="B245" s="123" t="s">
        <v>217</v>
      </c>
      <c r="C245" s="139">
        <v>40137</v>
      </c>
      <c r="D245" s="125" t="s">
        <v>325</v>
      </c>
      <c r="E245" s="156">
        <v>20</v>
      </c>
      <c r="F245" s="156">
        <v>1</v>
      </c>
      <c r="G245" s="156">
        <v>23</v>
      </c>
      <c r="H245" s="157">
        <v>1659</v>
      </c>
      <c r="I245" s="158">
        <v>215</v>
      </c>
      <c r="J245" s="129">
        <f t="shared" si="20"/>
        <v>215</v>
      </c>
      <c r="K245" s="130">
        <f t="shared" si="21"/>
        <v>7.716279069767442</v>
      </c>
      <c r="L245" s="154">
        <f>1034595+1595+413+264+1393+81+1190+1190+1659</f>
        <v>1042380</v>
      </c>
      <c r="M245" s="153">
        <f>85844+247+59+36+214+30+238+238+215</f>
        <v>87121</v>
      </c>
      <c r="N245" s="133">
        <f t="shared" si="22"/>
        <v>11.964738696755088</v>
      </c>
      <c r="O245" s="149"/>
      <c r="P245" s="334"/>
      <c r="Q245" s="83"/>
      <c r="R245" s="83"/>
      <c r="S245" s="83"/>
      <c r="T245" s="83"/>
    </row>
    <row r="246" spans="1:20" ht="12" customHeight="1">
      <c r="A246" s="290">
        <v>242</v>
      </c>
      <c r="B246" s="151" t="s">
        <v>217</v>
      </c>
      <c r="C246" s="171">
        <v>40137</v>
      </c>
      <c r="D246" s="125" t="s">
        <v>325</v>
      </c>
      <c r="E246" s="156">
        <v>20</v>
      </c>
      <c r="F246" s="156">
        <v>1</v>
      </c>
      <c r="G246" s="156">
        <v>16</v>
      </c>
      <c r="H246" s="157">
        <v>1595</v>
      </c>
      <c r="I246" s="158">
        <v>247</v>
      </c>
      <c r="J246" s="129">
        <f t="shared" si="20"/>
        <v>247</v>
      </c>
      <c r="K246" s="130">
        <f t="shared" si="21"/>
        <v>6.4574898785425106</v>
      </c>
      <c r="L246" s="154">
        <f>1034595+1595</f>
        <v>1036190</v>
      </c>
      <c r="M246" s="153">
        <f>85844+247</f>
        <v>86091</v>
      </c>
      <c r="N246" s="133">
        <f t="shared" si="22"/>
        <v>12.03598517847394</v>
      </c>
      <c r="O246" s="149"/>
      <c r="P246" s="334"/>
      <c r="Q246" s="83"/>
      <c r="R246" s="83"/>
      <c r="S246" s="83"/>
      <c r="T246" s="83"/>
    </row>
    <row r="247" spans="1:20" ht="12" customHeight="1">
      <c r="A247" s="290">
        <v>243</v>
      </c>
      <c r="B247" s="123" t="s">
        <v>217</v>
      </c>
      <c r="C247" s="124">
        <v>40137</v>
      </c>
      <c r="D247" s="125" t="s">
        <v>325</v>
      </c>
      <c r="E247" s="126">
        <v>20</v>
      </c>
      <c r="F247" s="126">
        <v>2</v>
      </c>
      <c r="G247" s="126">
        <v>19</v>
      </c>
      <c r="H247" s="127">
        <v>1393</v>
      </c>
      <c r="I247" s="135">
        <v>214</v>
      </c>
      <c r="J247" s="129">
        <f t="shared" si="20"/>
        <v>107</v>
      </c>
      <c r="K247" s="130">
        <f t="shared" si="21"/>
        <v>6.509345794392523</v>
      </c>
      <c r="L247" s="131">
        <f>1034595+1595+413+264+1393</f>
        <v>1038260</v>
      </c>
      <c r="M247" s="136">
        <f>85844+247+59+36+214</f>
        <v>86400</v>
      </c>
      <c r="N247" s="133">
        <f t="shared" si="22"/>
        <v>12.016898148148147</v>
      </c>
      <c r="O247" s="108"/>
      <c r="P247" s="334"/>
      <c r="Q247" s="83"/>
      <c r="R247" s="83"/>
      <c r="S247" s="83"/>
      <c r="T247" s="83"/>
    </row>
    <row r="248" spans="1:20" ht="12" customHeight="1">
      <c r="A248" s="290">
        <v>244</v>
      </c>
      <c r="B248" s="123" t="s">
        <v>217</v>
      </c>
      <c r="C248" s="124">
        <v>40137</v>
      </c>
      <c r="D248" s="155" t="s">
        <v>325</v>
      </c>
      <c r="E248" s="126">
        <v>20</v>
      </c>
      <c r="F248" s="126">
        <v>1</v>
      </c>
      <c r="G248" s="126">
        <v>30</v>
      </c>
      <c r="H248" s="137">
        <v>1190</v>
      </c>
      <c r="I248" s="135">
        <v>238</v>
      </c>
      <c r="J248" s="129">
        <f t="shared" si="20"/>
        <v>238</v>
      </c>
      <c r="K248" s="130">
        <f t="shared" si="21"/>
        <v>5</v>
      </c>
      <c r="L248" s="138">
        <v>1045570</v>
      </c>
      <c r="M248" s="136">
        <v>87696</v>
      </c>
      <c r="N248" s="133">
        <f t="shared" si="22"/>
        <v>11.922664659733625</v>
      </c>
      <c r="O248" s="109"/>
      <c r="P248" s="334"/>
      <c r="Q248" s="83"/>
      <c r="R248" s="83"/>
      <c r="S248" s="83"/>
      <c r="T248" s="83"/>
    </row>
    <row r="249" spans="1:20" ht="12" customHeight="1">
      <c r="A249" s="290">
        <v>245</v>
      </c>
      <c r="B249" s="151" t="s">
        <v>217</v>
      </c>
      <c r="C249" s="139">
        <v>40137</v>
      </c>
      <c r="D249" s="125" t="s">
        <v>325</v>
      </c>
      <c r="E249" s="146">
        <v>20</v>
      </c>
      <c r="F249" s="146">
        <v>1</v>
      </c>
      <c r="G249" s="146">
        <v>14</v>
      </c>
      <c r="H249" s="150">
        <v>1190</v>
      </c>
      <c r="I249" s="152">
        <v>238</v>
      </c>
      <c r="J249" s="129">
        <f t="shared" si="20"/>
        <v>238</v>
      </c>
      <c r="K249" s="130">
        <f t="shared" si="21"/>
        <v>5</v>
      </c>
      <c r="L249" s="154">
        <v>1034451</v>
      </c>
      <c r="M249" s="153">
        <v>85822</v>
      </c>
      <c r="N249" s="133">
        <f t="shared" si="22"/>
        <v>12.053447833888747</v>
      </c>
      <c r="O249" s="149"/>
      <c r="P249" s="334"/>
      <c r="Q249" s="83"/>
      <c r="R249" s="83"/>
      <c r="S249" s="83"/>
      <c r="T249" s="83"/>
    </row>
    <row r="250" spans="1:20" ht="12" customHeight="1">
      <c r="A250" s="290">
        <v>246</v>
      </c>
      <c r="B250" s="182" t="s">
        <v>217</v>
      </c>
      <c r="C250" s="139">
        <v>40137</v>
      </c>
      <c r="D250" s="125" t="s">
        <v>325</v>
      </c>
      <c r="E250" s="156">
        <v>20</v>
      </c>
      <c r="F250" s="156">
        <v>1</v>
      </c>
      <c r="G250" s="156">
        <v>21</v>
      </c>
      <c r="H250" s="157">
        <v>1190</v>
      </c>
      <c r="I250" s="158">
        <v>238</v>
      </c>
      <c r="J250" s="129">
        <f t="shared" si="20"/>
        <v>238</v>
      </c>
      <c r="K250" s="130">
        <f t="shared" si="21"/>
        <v>5</v>
      </c>
      <c r="L250" s="154">
        <f>1034595+1595+413+264+1393+81+1190</f>
        <v>1039531</v>
      </c>
      <c r="M250" s="153">
        <f>85844+247+59+36+214+30+238</f>
        <v>86668</v>
      </c>
      <c r="N250" s="133">
        <f t="shared" si="22"/>
        <v>11.994403932247197</v>
      </c>
      <c r="O250" s="108"/>
      <c r="P250" s="334"/>
      <c r="Q250" s="83"/>
      <c r="R250" s="83"/>
      <c r="S250" s="83"/>
      <c r="T250" s="83"/>
    </row>
    <row r="251" spans="1:20" ht="12" customHeight="1">
      <c r="A251" s="290">
        <v>247</v>
      </c>
      <c r="B251" s="182" t="s">
        <v>217</v>
      </c>
      <c r="C251" s="139">
        <v>40137</v>
      </c>
      <c r="D251" s="125" t="s">
        <v>325</v>
      </c>
      <c r="E251" s="156">
        <v>20</v>
      </c>
      <c r="F251" s="156">
        <v>1</v>
      </c>
      <c r="G251" s="156">
        <v>22</v>
      </c>
      <c r="H251" s="157">
        <v>1190</v>
      </c>
      <c r="I251" s="158">
        <v>238</v>
      </c>
      <c r="J251" s="129">
        <f t="shared" si="20"/>
        <v>238</v>
      </c>
      <c r="K251" s="130">
        <f t="shared" si="21"/>
        <v>5</v>
      </c>
      <c r="L251" s="154">
        <f>1034595+1595+413+264+1393+81+1190+1190</f>
        <v>1040721</v>
      </c>
      <c r="M251" s="153">
        <f>85844+247+59+36+214+30+238+238</f>
        <v>86906</v>
      </c>
      <c r="N251" s="133">
        <f t="shared" si="22"/>
        <v>11.975249119738567</v>
      </c>
      <c r="O251" s="110"/>
      <c r="P251" s="334"/>
      <c r="Q251" s="83"/>
      <c r="R251" s="83"/>
      <c r="S251" s="83"/>
      <c r="T251" s="83"/>
    </row>
    <row r="252" spans="1:20" ht="12" customHeight="1">
      <c r="A252" s="290">
        <v>248</v>
      </c>
      <c r="B252" s="123" t="s">
        <v>217</v>
      </c>
      <c r="C252" s="124">
        <v>40137</v>
      </c>
      <c r="D252" s="125" t="s">
        <v>325</v>
      </c>
      <c r="E252" s="126">
        <v>20</v>
      </c>
      <c r="F252" s="126">
        <v>1</v>
      </c>
      <c r="G252" s="126">
        <v>8</v>
      </c>
      <c r="H252" s="127">
        <v>617</v>
      </c>
      <c r="I252" s="128">
        <v>106</v>
      </c>
      <c r="J252" s="129">
        <f t="shared" si="20"/>
        <v>106</v>
      </c>
      <c r="K252" s="130">
        <f t="shared" si="21"/>
        <v>5.820754716981132</v>
      </c>
      <c r="L252" s="131">
        <f>997860+4193+617</f>
        <v>1002670</v>
      </c>
      <c r="M252" s="132">
        <f>81544+595+106</f>
        <v>82245</v>
      </c>
      <c r="N252" s="133">
        <f t="shared" si="22"/>
        <v>12.19125782722354</v>
      </c>
      <c r="O252" s="110"/>
      <c r="P252" s="334"/>
      <c r="Q252" s="83"/>
      <c r="R252" s="83"/>
      <c r="S252" s="83"/>
      <c r="T252" s="83"/>
    </row>
    <row r="253" spans="1:20" ht="12" customHeight="1">
      <c r="A253" s="290">
        <v>249</v>
      </c>
      <c r="B253" s="123" t="s">
        <v>217</v>
      </c>
      <c r="C253" s="139">
        <v>40137</v>
      </c>
      <c r="D253" s="125" t="s">
        <v>325</v>
      </c>
      <c r="E253" s="156">
        <v>20</v>
      </c>
      <c r="F253" s="156">
        <v>1</v>
      </c>
      <c r="G253" s="156">
        <v>25</v>
      </c>
      <c r="H253" s="157">
        <v>600</v>
      </c>
      <c r="I253" s="184">
        <v>120</v>
      </c>
      <c r="J253" s="129">
        <f t="shared" si="20"/>
        <v>120</v>
      </c>
      <c r="K253" s="130">
        <f t="shared" si="21"/>
        <v>5</v>
      </c>
      <c r="L253" s="144">
        <f>1034595+1595+413+264+1393+81+1190+1190+1659+245+600</f>
        <v>1043225</v>
      </c>
      <c r="M253" s="143">
        <f>85844+247+59+36+214+30+238+238+215+43+120</f>
        <v>87284</v>
      </c>
      <c r="N253" s="133">
        <f t="shared" si="22"/>
        <v>11.952075981852344</v>
      </c>
      <c r="O253" s="110"/>
      <c r="P253" s="334"/>
      <c r="Q253" s="83"/>
      <c r="R253" s="83"/>
      <c r="S253" s="83"/>
      <c r="T253" s="83"/>
    </row>
    <row r="254" spans="1:20" ht="12" customHeight="1">
      <c r="A254" s="290">
        <v>250</v>
      </c>
      <c r="B254" s="123" t="s">
        <v>217</v>
      </c>
      <c r="C254" s="124">
        <v>40137</v>
      </c>
      <c r="D254" s="125" t="s">
        <v>325</v>
      </c>
      <c r="E254" s="126">
        <v>20</v>
      </c>
      <c r="F254" s="126">
        <v>1</v>
      </c>
      <c r="G254" s="126">
        <v>31</v>
      </c>
      <c r="H254" s="127">
        <v>483</v>
      </c>
      <c r="I254" s="128">
        <v>96</v>
      </c>
      <c r="J254" s="129">
        <f t="shared" si="20"/>
        <v>96</v>
      </c>
      <c r="K254" s="130">
        <f t="shared" si="21"/>
        <v>5.03125</v>
      </c>
      <c r="L254" s="131">
        <v>1046053</v>
      </c>
      <c r="M254" s="132">
        <v>87792</v>
      </c>
      <c r="N254" s="133">
        <f t="shared" si="22"/>
        <v>11.915128941133588</v>
      </c>
      <c r="O254" s="159"/>
      <c r="P254" s="334"/>
      <c r="Q254" s="83"/>
      <c r="R254" s="83"/>
      <c r="S254" s="83"/>
      <c r="T254" s="83"/>
    </row>
    <row r="255" spans="1:20" ht="12" customHeight="1">
      <c r="A255" s="290">
        <v>251</v>
      </c>
      <c r="B255" s="151" t="s">
        <v>217</v>
      </c>
      <c r="C255" s="139">
        <v>40137</v>
      </c>
      <c r="D255" s="125" t="s">
        <v>325</v>
      </c>
      <c r="E255" s="146">
        <v>20</v>
      </c>
      <c r="F255" s="146">
        <v>1</v>
      </c>
      <c r="G255" s="146">
        <v>13</v>
      </c>
      <c r="H255" s="150">
        <v>441</v>
      </c>
      <c r="I255" s="152">
        <v>63</v>
      </c>
      <c r="J255" s="129">
        <f t="shared" si="20"/>
        <v>63</v>
      </c>
      <c r="K255" s="130">
        <f t="shared" si="21"/>
        <v>7</v>
      </c>
      <c r="L255" s="154">
        <v>1033263</v>
      </c>
      <c r="M255" s="153">
        <v>85584</v>
      </c>
      <c r="N255" s="133">
        <f t="shared" si="22"/>
        <v>12.073086090858105</v>
      </c>
      <c r="O255" s="353"/>
      <c r="P255" s="334"/>
      <c r="Q255" s="83"/>
      <c r="R255" s="83"/>
      <c r="S255" s="83"/>
      <c r="T255" s="83"/>
    </row>
    <row r="256" spans="1:20" ht="12" customHeight="1">
      <c r="A256" s="290">
        <v>252</v>
      </c>
      <c r="B256" s="123" t="s">
        <v>217</v>
      </c>
      <c r="C256" s="124">
        <v>40137</v>
      </c>
      <c r="D256" s="125" t="s">
        <v>325</v>
      </c>
      <c r="E256" s="126">
        <v>20</v>
      </c>
      <c r="F256" s="126">
        <v>1</v>
      </c>
      <c r="G256" s="126">
        <v>33</v>
      </c>
      <c r="H256" s="127">
        <v>430</v>
      </c>
      <c r="I256" s="128">
        <v>73</v>
      </c>
      <c r="J256" s="129">
        <f t="shared" si="20"/>
        <v>73</v>
      </c>
      <c r="K256" s="130">
        <f t="shared" si="21"/>
        <v>5.890410958904109</v>
      </c>
      <c r="L256" s="131">
        <v>1046891</v>
      </c>
      <c r="M256" s="132">
        <v>87933</v>
      </c>
      <c r="N256" s="133">
        <f t="shared" si="22"/>
        <v>11.905553091558346</v>
      </c>
      <c r="O256" s="149"/>
      <c r="P256" s="334"/>
      <c r="Q256" s="83"/>
      <c r="R256" s="83"/>
      <c r="S256" s="83"/>
      <c r="T256" s="83"/>
    </row>
    <row r="257" spans="1:20" ht="12" customHeight="1">
      <c r="A257" s="290">
        <v>253</v>
      </c>
      <c r="B257" s="182" t="s">
        <v>217</v>
      </c>
      <c r="C257" s="171">
        <v>40137</v>
      </c>
      <c r="D257" s="125" t="s">
        <v>325</v>
      </c>
      <c r="E257" s="156">
        <v>20</v>
      </c>
      <c r="F257" s="156">
        <v>1</v>
      </c>
      <c r="G257" s="156">
        <v>17</v>
      </c>
      <c r="H257" s="157">
        <v>413</v>
      </c>
      <c r="I257" s="158">
        <v>59</v>
      </c>
      <c r="J257" s="129">
        <f t="shared" si="20"/>
        <v>59</v>
      </c>
      <c r="K257" s="130">
        <f t="shared" si="21"/>
        <v>7</v>
      </c>
      <c r="L257" s="154">
        <f>1034595+1595+413</f>
        <v>1036603</v>
      </c>
      <c r="M257" s="153">
        <f>85844+247+59</f>
        <v>86150</v>
      </c>
      <c r="N257" s="133">
        <f t="shared" si="22"/>
        <v>12.032536273940801</v>
      </c>
      <c r="O257" s="149"/>
      <c r="P257" s="334"/>
      <c r="Q257" s="83"/>
      <c r="R257" s="83"/>
      <c r="S257" s="83"/>
      <c r="T257" s="83"/>
    </row>
    <row r="258" spans="1:20" ht="12" customHeight="1">
      <c r="A258" s="290">
        <v>254</v>
      </c>
      <c r="B258" s="123" t="s">
        <v>217</v>
      </c>
      <c r="C258" s="124">
        <v>40137</v>
      </c>
      <c r="D258" s="125" t="s">
        <v>325</v>
      </c>
      <c r="E258" s="126">
        <v>20</v>
      </c>
      <c r="F258" s="126">
        <v>1</v>
      </c>
      <c r="G258" s="126">
        <v>32</v>
      </c>
      <c r="H258" s="137">
        <v>408</v>
      </c>
      <c r="I258" s="135">
        <v>68</v>
      </c>
      <c r="J258" s="129">
        <f t="shared" si="20"/>
        <v>68</v>
      </c>
      <c r="K258" s="130">
        <f t="shared" si="21"/>
        <v>6</v>
      </c>
      <c r="L258" s="138">
        <v>1046461</v>
      </c>
      <c r="M258" s="136">
        <v>87860</v>
      </c>
      <c r="N258" s="133">
        <f t="shared" si="22"/>
        <v>11.910550876394264</v>
      </c>
      <c r="O258" s="108"/>
      <c r="P258" s="334"/>
      <c r="Q258" s="83"/>
      <c r="R258" s="83"/>
      <c r="S258" s="83"/>
      <c r="T258" s="83"/>
    </row>
    <row r="259" spans="1:20" ht="12" customHeight="1">
      <c r="A259" s="290">
        <v>255</v>
      </c>
      <c r="B259" s="123" t="s">
        <v>217</v>
      </c>
      <c r="C259" s="139">
        <v>40137</v>
      </c>
      <c r="D259" s="125" t="s">
        <v>325</v>
      </c>
      <c r="E259" s="146">
        <v>20</v>
      </c>
      <c r="F259" s="146">
        <v>1</v>
      </c>
      <c r="G259" s="146">
        <v>26</v>
      </c>
      <c r="H259" s="150">
        <v>405</v>
      </c>
      <c r="I259" s="142">
        <v>65</v>
      </c>
      <c r="J259" s="129">
        <f t="shared" si="20"/>
        <v>65</v>
      </c>
      <c r="K259" s="130">
        <f t="shared" si="21"/>
        <v>6.230769230769231</v>
      </c>
      <c r="L259" s="144">
        <f>1034595+1595+413+264+1393+81+1190+1190+1659+245+600+405</f>
        <v>1043630</v>
      </c>
      <c r="M259" s="143">
        <f>85844+247+59+36+214+30+238+238+215+43+120+65</f>
        <v>87349</v>
      </c>
      <c r="N259" s="133">
        <f t="shared" si="22"/>
        <v>11.947818521104992</v>
      </c>
      <c r="O259" s="149"/>
      <c r="P259" s="334"/>
      <c r="Q259" s="83"/>
      <c r="R259" s="83"/>
      <c r="S259" s="83"/>
      <c r="T259" s="83"/>
    </row>
    <row r="260" spans="1:20" ht="12" customHeight="1">
      <c r="A260" s="290">
        <v>256</v>
      </c>
      <c r="B260" s="123" t="s">
        <v>217</v>
      </c>
      <c r="C260" s="139">
        <v>40137</v>
      </c>
      <c r="D260" s="125" t="s">
        <v>325</v>
      </c>
      <c r="E260" s="146">
        <v>20</v>
      </c>
      <c r="F260" s="146">
        <v>1</v>
      </c>
      <c r="G260" s="146">
        <v>27</v>
      </c>
      <c r="H260" s="137">
        <v>348</v>
      </c>
      <c r="I260" s="135">
        <v>48</v>
      </c>
      <c r="J260" s="129">
        <f t="shared" si="20"/>
        <v>48</v>
      </c>
      <c r="K260" s="130">
        <f t="shared" si="21"/>
        <v>7.25</v>
      </c>
      <c r="L260" s="144">
        <f>1043630+348</f>
        <v>1043978</v>
      </c>
      <c r="M260" s="143">
        <f>87349+48</f>
        <v>87397</v>
      </c>
      <c r="N260" s="133">
        <f t="shared" si="22"/>
        <v>11.94523839491058</v>
      </c>
      <c r="O260" s="149"/>
      <c r="P260" s="334"/>
      <c r="Q260" s="83"/>
      <c r="R260" s="83"/>
      <c r="S260" s="83"/>
      <c r="T260" s="83"/>
    </row>
    <row r="261" spans="1:20" ht="12" customHeight="1">
      <c r="A261" s="290">
        <v>257</v>
      </c>
      <c r="B261" s="123" t="s">
        <v>217</v>
      </c>
      <c r="C261" s="139">
        <v>40137</v>
      </c>
      <c r="D261" s="145" t="s">
        <v>325</v>
      </c>
      <c r="E261" s="146">
        <v>20</v>
      </c>
      <c r="F261" s="146">
        <v>1</v>
      </c>
      <c r="G261" s="146">
        <v>28</v>
      </c>
      <c r="H261" s="137">
        <v>338</v>
      </c>
      <c r="I261" s="135">
        <v>53</v>
      </c>
      <c r="J261" s="129">
        <f t="shared" si="20"/>
        <v>53</v>
      </c>
      <c r="K261" s="130">
        <f t="shared" si="21"/>
        <v>6.377358490566038</v>
      </c>
      <c r="L261" s="144">
        <v>1044316</v>
      </c>
      <c r="M261" s="143">
        <v>87450</v>
      </c>
      <c r="N261" s="133">
        <f t="shared" si="22"/>
        <v>11.94186392224128</v>
      </c>
      <c r="O261" s="109"/>
      <c r="P261" s="334"/>
      <c r="Q261" s="83"/>
      <c r="R261" s="83"/>
      <c r="S261" s="83"/>
      <c r="T261" s="83"/>
    </row>
    <row r="262" spans="1:20" ht="12" customHeight="1">
      <c r="A262" s="290">
        <v>258</v>
      </c>
      <c r="B262" s="151" t="s">
        <v>217</v>
      </c>
      <c r="C262" s="139">
        <v>40137</v>
      </c>
      <c r="D262" s="125" t="s">
        <v>325</v>
      </c>
      <c r="E262" s="146">
        <v>20</v>
      </c>
      <c r="F262" s="146">
        <v>1</v>
      </c>
      <c r="G262" s="146">
        <v>12</v>
      </c>
      <c r="H262" s="141">
        <v>301</v>
      </c>
      <c r="I262" s="142">
        <v>43</v>
      </c>
      <c r="J262" s="129">
        <f t="shared" si="20"/>
        <v>43</v>
      </c>
      <c r="K262" s="130">
        <f t="shared" si="21"/>
        <v>7</v>
      </c>
      <c r="L262" s="144">
        <f>1032521+301</f>
        <v>1032822</v>
      </c>
      <c r="M262" s="143">
        <f>85478+43</f>
        <v>85521</v>
      </c>
      <c r="N262" s="133">
        <f t="shared" si="22"/>
        <v>12.076823236398077</v>
      </c>
      <c r="O262" s="108"/>
      <c r="P262" s="334"/>
      <c r="Q262" s="83"/>
      <c r="R262" s="83"/>
      <c r="S262" s="83"/>
      <c r="T262" s="83"/>
    </row>
    <row r="263" spans="1:20" ht="12" customHeight="1">
      <c r="A263" s="290">
        <v>259</v>
      </c>
      <c r="B263" s="123" t="s">
        <v>217</v>
      </c>
      <c r="C263" s="139">
        <v>40137</v>
      </c>
      <c r="D263" s="125" t="s">
        <v>325</v>
      </c>
      <c r="E263" s="146">
        <v>20</v>
      </c>
      <c r="F263" s="146">
        <v>1</v>
      </c>
      <c r="G263" s="146">
        <v>35</v>
      </c>
      <c r="H263" s="141">
        <v>300</v>
      </c>
      <c r="I263" s="142">
        <v>60</v>
      </c>
      <c r="J263" s="129">
        <f t="shared" si="20"/>
        <v>60</v>
      </c>
      <c r="K263" s="130">
        <f t="shared" si="21"/>
        <v>5</v>
      </c>
      <c r="L263" s="144">
        <v>1048281</v>
      </c>
      <c r="M263" s="143">
        <v>88117</v>
      </c>
      <c r="N263" s="133">
        <f t="shared" si="22"/>
        <v>11.89646719702214</v>
      </c>
      <c r="O263" s="149"/>
      <c r="P263" s="334"/>
      <c r="Q263" s="83"/>
      <c r="R263" s="83"/>
      <c r="S263" s="83"/>
      <c r="T263" s="83"/>
    </row>
    <row r="264" spans="1:20" ht="12" customHeight="1">
      <c r="A264" s="290">
        <v>260</v>
      </c>
      <c r="B264" s="182" t="s">
        <v>217</v>
      </c>
      <c r="C264" s="171">
        <v>40137</v>
      </c>
      <c r="D264" s="125" t="s">
        <v>325</v>
      </c>
      <c r="E264" s="156">
        <v>20</v>
      </c>
      <c r="F264" s="156">
        <v>1</v>
      </c>
      <c r="G264" s="156">
        <v>18</v>
      </c>
      <c r="H264" s="157">
        <v>264</v>
      </c>
      <c r="I264" s="158">
        <v>36</v>
      </c>
      <c r="J264" s="129">
        <f t="shared" si="20"/>
        <v>36</v>
      </c>
      <c r="K264" s="130">
        <f t="shared" si="21"/>
        <v>7.333333333333333</v>
      </c>
      <c r="L264" s="154">
        <f>1034595+1595+413+264</f>
        <v>1036867</v>
      </c>
      <c r="M264" s="153">
        <f>85844+247+59+36</f>
        <v>86186</v>
      </c>
      <c r="N264" s="133">
        <f t="shared" si="22"/>
        <v>12.030573410994824</v>
      </c>
      <c r="O264" s="149"/>
      <c r="P264" s="334"/>
      <c r="Q264" s="83"/>
      <c r="R264" s="83"/>
      <c r="S264" s="83"/>
      <c r="T264" s="83"/>
    </row>
    <row r="265" spans="1:20" ht="12" customHeight="1">
      <c r="A265" s="290">
        <v>261</v>
      </c>
      <c r="B265" s="123" t="s">
        <v>217</v>
      </c>
      <c r="C265" s="139">
        <v>40137</v>
      </c>
      <c r="D265" s="125" t="s">
        <v>325</v>
      </c>
      <c r="E265" s="156">
        <v>20</v>
      </c>
      <c r="F265" s="156">
        <v>1</v>
      </c>
      <c r="G265" s="156">
        <v>24</v>
      </c>
      <c r="H265" s="157">
        <v>245</v>
      </c>
      <c r="I265" s="158">
        <v>43</v>
      </c>
      <c r="J265" s="129">
        <f t="shared" si="20"/>
        <v>43</v>
      </c>
      <c r="K265" s="130">
        <f t="shared" si="21"/>
        <v>5.6976744186046515</v>
      </c>
      <c r="L265" s="154">
        <f>1034595+1595+413+264+1393+81+1190+1190+1659+245</f>
        <v>1042625</v>
      </c>
      <c r="M265" s="153">
        <f>85844+247+59+36+214+30+238+238+215+43</f>
        <v>87164</v>
      </c>
      <c r="N265" s="133">
        <f t="shared" si="22"/>
        <v>11.961647010233582</v>
      </c>
      <c r="O265" s="149"/>
      <c r="P265" s="334"/>
      <c r="Q265" s="83"/>
      <c r="R265" s="83"/>
      <c r="S265" s="83"/>
      <c r="T265" s="83"/>
    </row>
    <row r="266" spans="1:20" ht="12" customHeight="1">
      <c r="A266" s="290">
        <v>262</v>
      </c>
      <c r="B266" s="123" t="s">
        <v>217</v>
      </c>
      <c r="C266" s="139">
        <v>40137</v>
      </c>
      <c r="D266" s="125" t="s">
        <v>325</v>
      </c>
      <c r="E266" s="146">
        <v>20</v>
      </c>
      <c r="F266" s="146">
        <v>1</v>
      </c>
      <c r="G266" s="146">
        <v>38</v>
      </c>
      <c r="H266" s="141">
        <v>211</v>
      </c>
      <c r="I266" s="142">
        <v>31</v>
      </c>
      <c r="J266" s="129">
        <f t="shared" si="20"/>
        <v>31</v>
      </c>
      <c r="K266" s="130">
        <f t="shared" si="21"/>
        <v>6.806451612903226</v>
      </c>
      <c r="L266" s="144">
        <v>1048870</v>
      </c>
      <c r="M266" s="143">
        <v>88207</v>
      </c>
      <c r="N266" s="133">
        <f t="shared" si="22"/>
        <v>11.89100638271339</v>
      </c>
      <c r="O266" s="149">
        <v>1</v>
      </c>
      <c r="P266" s="334"/>
      <c r="Q266" s="83"/>
      <c r="R266" s="83"/>
      <c r="S266" s="83"/>
      <c r="T266" s="83"/>
    </row>
    <row r="267" spans="1:20" ht="12" customHeight="1">
      <c r="A267" s="290">
        <v>263</v>
      </c>
      <c r="B267" s="151" t="s">
        <v>217</v>
      </c>
      <c r="C267" s="139">
        <v>40137</v>
      </c>
      <c r="D267" s="125" t="s">
        <v>325</v>
      </c>
      <c r="E267" s="146">
        <v>20</v>
      </c>
      <c r="F267" s="146">
        <v>1</v>
      </c>
      <c r="G267" s="146">
        <v>36</v>
      </c>
      <c r="H267" s="150">
        <v>172</v>
      </c>
      <c r="I267" s="152">
        <v>30</v>
      </c>
      <c r="J267" s="129">
        <f t="shared" si="20"/>
        <v>30</v>
      </c>
      <c r="K267" s="130">
        <f t="shared" si="21"/>
        <v>5.733333333333333</v>
      </c>
      <c r="L267" s="154">
        <v>1048453</v>
      </c>
      <c r="M267" s="153">
        <v>88147</v>
      </c>
      <c r="N267" s="133">
        <f t="shared" si="22"/>
        <v>11.894369632545635</v>
      </c>
      <c r="O267" s="160"/>
      <c r="P267" s="334"/>
      <c r="Q267" s="83"/>
      <c r="R267" s="83"/>
      <c r="S267" s="83"/>
      <c r="T267" s="83"/>
    </row>
    <row r="268" spans="1:20" ht="12" customHeight="1">
      <c r="A268" s="290">
        <v>264</v>
      </c>
      <c r="B268" s="123" t="s">
        <v>217</v>
      </c>
      <c r="C268" s="124">
        <v>40137</v>
      </c>
      <c r="D268" s="125" t="s">
        <v>325</v>
      </c>
      <c r="E268" s="126">
        <v>20</v>
      </c>
      <c r="F268" s="126">
        <v>1</v>
      </c>
      <c r="G268" s="126">
        <v>34</v>
      </c>
      <c r="H268" s="137">
        <v>150</v>
      </c>
      <c r="I268" s="135">
        <v>30</v>
      </c>
      <c r="J268" s="129">
        <f t="shared" si="20"/>
        <v>30</v>
      </c>
      <c r="K268" s="130">
        <f t="shared" si="21"/>
        <v>5</v>
      </c>
      <c r="L268" s="138">
        <v>1047981</v>
      </c>
      <c r="M268" s="136">
        <v>88057</v>
      </c>
      <c r="N268" s="133">
        <f t="shared" si="22"/>
        <v>11.901166290016693</v>
      </c>
      <c r="O268" s="181"/>
      <c r="P268" s="334"/>
      <c r="Q268" s="83"/>
      <c r="R268" s="83"/>
      <c r="S268" s="83"/>
      <c r="T268" s="83"/>
    </row>
    <row r="269" spans="1:20" ht="12" customHeight="1">
      <c r="A269" s="290">
        <v>265</v>
      </c>
      <c r="B269" s="151" t="s">
        <v>217</v>
      </c>
      <c r="C269" s="171">
        <v>40137</v>
      </c>
      <c r="D269" s="125" t="s">
        <v>325</v>
      </c>
      <c r="E269" s="156">
        <v>20</v>
      </c>
      <c r="F269" s="156">
        <v>1</v>
      </c>
      <c r="G269" s="156">
        <v>15</v>
      </c>
      <c r="H269" s="157">
        <v>144</v>
      </c>
      <c r="I269" s="158">
        <v>22</v>
      </c>
      <c r="J269" s="129">
        <f t="shared" si="20"/>
        <v>22</v>
      </c>
      <c r="K269" s="130">
        <f t="shared" si="21"/>
        <v>6.545454545454546</v>
      </c>
      <c r="L269" s="154">
        <v>1034595</v>
      </c>
      <c r="M269" s="153">
        <v>85844</v>
      </c>
      <c r="N269" s="133">
        <f t="shared" si="22"/>
        <v>12.052036251805601</v>
      </c>
      <c r="O269" s="149">
        <v>1</v>
      </c>
      <c r="P269" s="334"/>
      <c r="Q269" s="83"/>
      <c r="R269" s="83"/>
      <c r="S269" s="83"/>
      <c r="T269" s="83"/>
    </row>
    <row r="270" spans="1:20" ht="12" customHeight="1">
      <c r="A270" s="290">
        <v>266</v>
      </c>
      <c r="B270" s="123" t="s">
        <v>217</v>
      </c>
      <c r="C270" s="124">
        <v>40137</v>
      </c>
      <c r="D270" s="125" t="s">
        <v>325</v>
      </c>
      <c r="E270" s="126">
        <v>20</v>
      </c>
      <c r="F270" s="126">
        <v>1</v>
      </c>
      <c r="G270" s="126">
        <v>20</v>
      </c>
      <c r="H270" s="127">
        <v>81</v>
      </c>
      <c r="I270" s="128">
        <v>30</v>
      </c>
      <c r="J270" s="129">
        <f t="shared" si="20"/>
        <v>30</v>
      </c>
      <c r="K270" s="130">
        <f t="shared" si="21"/>
        <v>2.7</v>
      </c>
      <c r="L270" s="131">
        <f>1034595+1595+413+264+1393+81</f>
        <v>1038341</v>
      </c>
      <c r="M270" s="132">
        <f>85844+247+59+36+214+30</f>
        <v>86430</v>
      </c>
      <c r="N270" s="133">
        <f t="shared" si="22"/>
        <v>12.013664236954762</v>
      </c>
      <c r="O270" s="170">
        <v>1</v>
      </c>
      <c r="P270" s="334"/>
      <c r="Q270" s="83"/>
      <c r="R270" s="83"/>
      <c r="S270" s="83"/>
      <c r="T270" s="83"/>
    </row>
    <row r="271" spans="1:20" ht="12" customHeight="1">
      <c r="A271" s="290">
        <v>267</v>
      </c>
      <c r="B271" s="123" t="s">
        <v>217</v>
      </c>
      <c r="C271" s="139">
        <v>40137</v>
      </c>
      <c r="D271" s="145" t="s">
        <v>325</v>
      </c>
      <c r="E271" s="146">
        <v>20</v>
      </c>
      <c r="F271" s="146">
        <v>1</v>
      </c>
      <c r="G271" s="146">
        <v>29</v>
      </c>
      <c r="H271" s="137">
        <v>64</v>
      </c>
      <c r="I271" s="135">
        <v>8</v>
      </c>
      <c r="J271" s="129">
        <f t="shared" si="20"/>
        <v>8</v>
      </c>
      <c r="K271" s="130">
        <f t="shared" si="21"/>
        <v>8</v>
      </c>
      <c r="L271" s="144">
        <f>1044316+64</f>
        <v>1044380</v>
      </c>
      <c r="M271" s="143">
        <f>87450+8</f>
        <v>87458</v>
      </c>
      <c r="N271" s="133">
        <f t="shared" si="22"/>
        <v>11.941503350179515</v>
      </c>
      <c r="O271" s="147"/>
      <c r="P271" s="334"/>
      <c r="Q271" s="83"/>
      <c r="R271" s="83"/>
      <c r="S271" s="83"/>
      <c r="T271" s="83"/>
    </row>
    <row r="272" spans="1:20" ht="12" customHeight="1">
      <c r="A272" s="290">
        <v>268</v>
      </c>
      <c r="B272" s="123" t="s">
        <v>142</v>
      </c>
      <c r="C272" s="139">
        <v>40137</v>
      </c>
      <c r="D272" s="125" t="s">
        <v>325</v>
      </c>
      <c r="E272" s="146">
        <v>20</v>
      </c>
      <c r="F272" s="146">
        <v>1</v>
      </c>
      <c r="G272" s="146">
        <v>37</v>
      </c>
      <c r="H272" s="141">
        <v>206</v>
      </c>
      <c r="I272" s="142">
        <v>29</v>
      </c>
      <c r="J272" s="129">
        <f t="shared" si="20"/>
        <v>29</v>
      </c>
      <c r="K272" s="130">
        <f t="shared" si="21"/>
        <v>7.103448275862069</v>
      </c>
      <c r="L272" s="144">
        <v>1048659</v>
      </c>
      <c r="M272" s="143">
        <v>88176</v>
      </c>
      <c r="N272" s="133">
        <f t="shared" si="22"/>
        <v>11.892793957539466</v>
      </c>
      <c r="O272" s="149"/>
      <c r="P272" s="334"/>
      <c r="Q272" s="83"/>
      <c r="R272" s="83"/>
      <c r="S272" s="83"/>
      <c r="T272" s="83"/>
    </row>
    <row r="273" spans="1:20" ht="12" customHeight="1">
      <c r="A273" s="290">
        <v>269</v>
      </c>
      <c r="B273" s="151" t="s">
        <v>430</v>
      </c>
      <c r="C273" s="139">
        <v>40123</v>
      </c>
      <c r="D273" s="155" t="s">
        <v>328</v>
      </c>
      <c r="E273" s="146">
        <v>25</v>
      </c>
      <c r="F273" s="146">
        <v>1</v>
      </c>
      <c r="G273" s="146">
        <v>9</v>
      </c>
      <c r="H273" s="150">
        <v>1423</v>
      </c>
      <c r="I273" s="152">
        <v>285</v>
      </c>
      <c r="J273" s="129">
        <f t="shared" si="20"/>
        <v>285</v>
      </c>
      <c r="K273" s="130">
        <f t="shared" si="21"/>
        <v>4.992982456140351</v>
      </c>
      <c r="L273" s="154">
        <v>272726</v>
      </c>
      <c r="M273" s="153">
        <v>22531</v>
      </c>
      <c r="N273" s="133">
        <f t="shared" si="22"/>
        <v>12.104478274377524</v>
      </c>
      <c r="O273" s="110"/>
      <c r="P273" s="334"/>
      <c r="Q273" s="83"/>
      <c r="R273" s="83"/>
      <c r="S273" s="83"/>
      <c r="T273" s="83"/>
    </row>
    <row r="274" spans="1:20" ht="12" customHeight="1">
      <c r="A274" s="290">
        <v>270</v>
      </c>
      <c r="B274" s="507" t="s">
        <v>430</v>
      </c>
      <c r="C274" s="499">
        <v>40123</v>
      </c>
      <c r="D274" s="498" t="s">
        <v>328</v>
      </c>
      <c r="E274" s="500">
        <v>25</v>
      </c>
      <c r="F274" s="500">
        <v>1</v>
      </c>
      <c r="G274" s="500">
        <v>10</v>
      </c>
      <c r="H274" s="501">
        <v>112</v>
      </c>
      <c r="I274" s="502">
        <v>20</v>
      </c>
      <c r="J274" s="503">
        <v>20</v>
      </c>
      <c r="K274" s="504">
        <v>5.6</v>
      </c>
      <c r="L274" s="505">
        <v>272838</v>
      </c>
      <c r="M274" s="503">
        <v>22551</v>
      </c>
      <c r="N274" s="509">
        <v>12.09870959159239</v>
      </c>
      <c r="O274" s="109"/>
      <c r="P274" s="334"/>
      <c r="Q274" s="83"/>
      <c r="R274" s="83"/>
      <c r="S274" s="83"/>
      <c r="T274" s="83"/>
    </row>
    <row r="275" spans="1:20" ht="12" customHeight="1">
      <c r="A275" s="290">
        <v>271</v>
      </c>
      <c r="B275" s="594" t="s">
        <v>430</v>
      </c>
      <c r="C275" s="499">
        <v>40123</v>
      </c>
      <c r="D275" s="498" t="s">
        <v>328</v>
      </c>
      <c r="E275" s="500">
        <v>25</v>
      </c>
      <c r="F275" s="500">
        <v>1</v>
      </c>
      <c r="G275" s="500">
        <v>11</v>
      </c>
      <c r="H275" s="501">
        <v>48</v>
      </c>
      <c r="I275" s="502">
        <v>8</v>
      </c>
      <c r="J275" s="503">
        <v>8</v>
      </c>
      <c r="K275" s="504">
        <v>6</v>
      </c>
      <c r="L275" s="505">
        <v>272886</v>
      </c>
      <c r="M275" s="503">
        <v>22559</v>
      </c>
      <c r="N275" s="509">
        <v>12.096546832749679</v>
      </c>
      <c r="O275" s="108"/>
      <c r="P275" s="561"/>
      <c r="Q275" s="83"/>
      <c r="R275" s="83"/>
      <c r="S275" s="83"/>
      <c r="T275" s="83"/>
    </row>
    <row r="276" spans="1:20" ht="12" customHeight="1">
      <c r="A276" s="290">
        <v>272</v>
      </c>
      <c r="B276" s="151" t="s">
        <v>447</v>
      </c>
      <c r="C276" s="139">
        <v>40102</v>
      </c>
      <c r="D276" s="145" t="s">
        <v>326</v>
      </c>
      <c r="E276" s="146">
        <v>22</v>
      </c>
      <c r="F276" s="146">
        <v>1</v>
      </c>
      <c r="G276" s="146">
        <v>6</v>
      </c>
      <c r="H276" s="127">
        <v>1081.5</v>
      </c>
      <c r="I276" s="128">
        <v>369</v>
      </c>
      <c r="J276" s="129">
        <f aca="true" t="shared" si="23" ref="J276:J320">I276/F276</f>
        <v>369</v>
      </c>
      <c r="K276" s="130">
        <f aca="true" t="shared" si="24" ref="K276:K320">H276/I276</f>
        <v>2.930894308943089</v>
      </c>
      <c r="L276" s="131">
        <f>129717.5+110957+18478+6527+6853.5+1081.5</f>
        <v>273614.5</v>
      </c>
      <c r="M276" s="132">
        <f>10402+8975+1885+691+1109+369</f>
        <v>23431</v>
      </c>
      <c r="N276" s="133">
        <f aca="true" t="shared" si="25" ref="N276:N320">+L276/M276</f>
        <v>11.677457214800905</v>
      </c>
      <c r="O276" s="149"/>
      <c r="P276" s="334"/>
      <c r="Q276" s="83"/>
      <c r="R276" s="83"/>
      <c r="S276" s="83"/>
      <c r="T276" s="83"/>
    </row>
    <row r="277" spans="1:20" ht="12" customHeight="1">
      <c r="A277" s="290">
        <v>273</v>
      </c>
      <c r="B277" s="167" t="s">
        <v>447</v>
      </c>
      <c r="C277" s="168">
        <v>40102</v>
      </c>
      <c r="D277" s="145" t="s">
        <v>326</v>
      </c>
      <c r="E277" s="169">
        <v>22</v>
      </c>
      <c r="F277" s="169">
        <v>2</v>
      </c>
      <c r="G277" s="169">
        <v>7</v>
      </c>
      <c r="H277" s="127">
        <v>738.5</v>
      </c>
      <c r="I277" s="135">
        <v>262</v>
      </c>
      <c r="J277" s="129">
        <f t="shared" si="23"/>
        <v>131</v>
      </c>
      <c r="K277" s="130">
        <f t="shared" si="24"/>
        <v>2.818702290076336</v>
      </c>
      <c r="L277" s="131">
        <f>129717.5+110957+18478+6527+6853.5+1081.5+738.5</f>
        <v>274353</v>
      </c>
      <c r="M277" s="136">
        <f>10402+8975+1885+691+1109+369+262</f>
        <v>23693</v>
      </c>
      <c r="N277" s="133">
        <f t="shared" si="25"/>
        <v>11.579496053686743</v>
      </c>
      <c r="O277" s="108"/>
      <c r="P277" s="334"/>
      <c r="Q277" s="83"/>
      <c r="R277" s="83"/>
      <c r="S277" s="83"/>
      <c r="T277" s="83"/>
    </row>
    <row r="278" spans="1:20" ht="12" customHeight="1">
      <c r="A278" s="290">
        <v>274</v>
      </c>
      <c r="B278" s="123" t="s">
        <v>447</v>
      </c>
      <c r="C278" s="139">
        <v>40102</v>
      </c>
      <c r="D278" s="125" t="s">
        <v>338</v>
      </c>
      <c r="E278" s="146">
        <v>22</v>
      </c>
      <c r="F278" s="146">
        <v>1</v>
      </c>
      <c r="G278" s="146">
        <v>10</v>
      </c>
      <c r="H278" s="141">
        <v>404</v>
      </c>
      <c r="I278" s="142">
        <v>69</v>
      </c>
      <c r="J278" s="129">
        <f t="shared" si="23"/>
        <v>69</v>
      </c>
      <c r="K278" s="130">
        <f t="shared" si="24"/>
        <v>5.855072463768116</v>
      </c>
      <c r="L278" s="144">
        <f>129717.5+110957+18478+6527+6853.5+1081.5+738.5+250+165+404</f>
        <v>275172</v>
      </c>
      <c r="M278" s="143">
        <f>10402+8975+1885+691+1109+369+262+48+23+69</f>
        <v>23833</v>
      </c>
      <c r="N278" s="133">
        <f t="shared" si="25"/>
        <v>11.545839801955273</v>
      </c>
      <c r="O278" s="108"/>
      <c r="P278" s="334"/>
      <c r="Q278" s="83"/>
      <c r="R278" s="83"/>
      <c r="S278" s="83"/>
      <c r="T278" s="83"/>
    </row>
    <row r="279" spans="1:20" ht="12" customHeight="1">
      <c r="A279" s="290">
        <v>275</v>
      </c>
      <c r="B279" s="123" t="s">
        <v>447</v>
      </c>
      <c r="C279" s="124">
        <v>40102</v>
      </c>
      <c r="D279" s="125" t="s">
        <v>338</v>
      </c>
      <c r="E279" s="126">
        <v>22</v>
      </c>
      <c r="F279" s="126">
        <v>1</v>
      </c>
      <c r="G279" s="126">
        <v>8</v>
      </c>
      <c r="H279" s="127">
        <v>250</v>
      </c>
      <c r="I279" s="128">
        <v>48</v>
      </c>
      <c r="J279" s="129">
        <f t="shared" si="23"/>
        <v>48</v>
      </c>
      <c r="K279" s="130">
        <f t="shared" si="24"/>
        <v>5.208333333333333</v>
      </c>
      <c r="L279" s="131">
        <f>129717.5+110957+18478+6527+6853.5+1081.5+738.5+250</f>
        <v>274603</v>
      </c>
      <c r="M279" s="132">
        <f>10402+8975+1885+691+1109+369+262+48</f>
        <v>23741</v>
      </c>
      <c r="N279" s="133">
        <f t="shared" si="25"/>
        <v>11.566614717155975</v>
      </c>
      <c r="O279" s="108"/>
      <c r="P279" s="334"/>
      <c r="Q279" s="83"/>
      <c r="R279" s="83"/>
      <c r="S279" s="83"/>
      <c r="T279" s="83"/>
    </row>
    <row r="280" spans="1:20" ht="12" customHeight="1">
      <c r="A280" s="290">
        <v>276</v>
      </c>
      <c r="B280" s="123" t="s">
        <v>447</v>
      </c>
      <c r="C280" s="139">
        <v>40102</v>
      </c>
      <c r="D280" s="125" t="s">
        <v>326</v>
      </c>
      <c r="E280" s="146">
        <v>22</v>
      </c>
      <c r="F280" s="146">
        <v>1</v>
      </c>
      <c r="G280" s="146">
        <v>12</v>
      </c>
      <c r="H280" s="141">
        <v>186</v>
      </c>
      <c r="I280" s="142">
        <v>24</v>
      </c>
      <c r="J280" s="129">
        <f t="shared" si="23"/>
        <v>24</v>
      </c>
      <c r="K280" s="130">
        <f t="shared" si="24"/>
        <v>7.75</v>
      </c>
      <c r="L280" s="144">
        <f>129717.5+110957+18478+6527+6853.5+1081.5+738.5+250+165+404+829.5+186</f>
        <v>276187.5</v>
      </c>
      <c r="M280" s="143">
        <f>10402+8975+1885+691+1109+369+262+48+23+69+109+24</f>
        <v>23966</v>
      </c>
      <c r="N280" s="133">
        <f t="shared" si="25"/>
        <v>11.524138362680464</v>
      </c>
      <c r="O280" s="351"/>
      <c r="P280" s="334"/>
      <c r="Q280" s="83"/>
      <c r="R280" s="83"/>
      <c r="S280" s="83"/>
      <c r="T280" s="83"/>
    </row>
    <row r="281" spans="1:20" ht="12" customHeight="1">
      <c r="A281" s="290">
        <v>277</v>
      </c>
      <c r="B281" s="123" t="s">
        <v>447</v>
      </c>
      <c r="C281" s="124">
        <v>40102</v>
      </c>
      <c r="D281" s="125" t="s">
        <v>326</v>
      </c>
      <c r="E281" s="126">
        <v>22</v>
      </c>
      <c r="F281" s="126">
        <v>1</v>
      </c>
      <c r="G281" s="126">
        <v>9</v>
      </c>
      <c r="H281" s="127">
        <v>165</v>
      </c>
      <c r="I281" s="128">
        <v>23</v>
      </c>
      <c r="J281" s="129">
        <f t="shared" si="23"/>
        <v>23</v>
      </c>
      <c r="K281" s="130">
        <f t="shared" si="24"/>
        <v>7.173913043478261</v>
      </c>
      <c r="L281" s="131">
        <f>129717.5+110957+18478+6527+6853.5+1081.5+738.5+250+165</f>
        <v>274768</v>
      </c>
      <c r="M281" s="132">
        <f>10402+8975+1885+691+1109+369+262+48+23</f>
        <v>23764</v>
      </c>
      <c r="N281" s="133">
        <f t="shared" si="25"/>
        <v>11.562363238512035</v>
      </c>
      <c r="O281" s="149"/>
      <c r="P281" s="334"/>
      <c r="Q281" s="83"/>
      <c r="R281" s="83"/>
      <c r="S281" s="83"/>
      <c r="T281" s="83"/>
    </row>
    <row r="282" spans="1:20" ht="12" customHeight="1">
      <c r="A282" s="290">
        <v>278</v>
      </c>
      <c r="B282" s="123" t="s">
        <v>422</v>
      </c>
      <c r="C282" s="139">
        <v>40102</v>
      </c>
      <c r="D282" s="125" t="s">
        <v>326</v>
      </c>
      <c r="E282" s="146">
        <v>22</v>
      </c>
      <c r="F282" s="146">
        <v>1</v>
      </c>
      <c r="G282" s="146">
        <v>11</v>
      </c>
      <c r="H282" s="141">
        <v>829.5</v>
      </c>
      <c r="I282" s="142">
        <v>109</v>
      </c>
      <c r="J282" s="129">
        <f t="shared" si="23"/>
        <v>109</v>
      </c>
      <c r="K282" s="130">
        <f t="shared" si="24"/>
        <v>7.610091743119266</v>
      </c>
      <c r="L282" s="144">
        <f>129717.5+110957+18478+6527+6853.5+1081.5+738.5+250+165+404+829.5</f>
        <v>276001.5</v>
      </c>
      <c r="M282" s="143">
        <f>10402+8975+1885+691+1109+369+262+48+23+69+109</f>
        <v>23942</v>
      </c>
      <c r="N282" s="133">
        <f t="shared" si="25"/>
        <v>11.527921643972935</v>
      </c>
      <c r="O282" s="170"/>
      <c r="P282" s="334"/>
      <c r="Q282" s="83"/>
      <c r="R282" s="83"/>
      <c r="S282" s="83"/>
      <c r="T282" s="83"/>
    </row>
    <row r="283" spans="1:20" ht="12" customHeight="1">
      <c r="A283" s="290">
        <v>279</v>
      </c>
      <c r="B283" s="195" t="s">
        <v>223</v>
      </c>
      <c r="C283" s="196">
        <v>40172</v>
      </c>
      <c r="D283" s="194" t="s">
        <v>324</v>
      </c>
      <c r="E283" s="197">
        <v>51</v>
      </c>
      <c r="F283" s="197">
        <v>51</v>
      </c>
      <c r="G283" s="197">
        <v>2</v>
      </c>
      <c r="H283" s="198">
        <v>175309</v>
      </c>
      <c r="I283" s="199">
        <v>14721</v>
      </c>
      <c r="J283" s="129">
        <f t="shared" si="23"/>
        <v>288.6470588235294</v>
      </c>
      <c r="K283" s="130">
        <f t="shared" si="24"/>
        <v>11.908769784661368</v>
      </c>
      <c r="L283" s="201">
        <v>448889</v>
      </c>
      <c r="M283" s="200">
        <v>39522</v>
      </c>
      <c r="N283" s="133">
        <f t="shared" si="25"/>
        <v>11.35795253276656</v>
      </c>
      <c r="O283" s="148"/>
      <c r="P283" s="334"/>
      <c r="Q283" s="83"/>
      <c r="R283" s="83"/>
      <c r="S283" s="83"/>
      <c r="T283" s="83"/>
    </row>
    <row r="284" spans="1:20" ht="12" customHeight="1">
      <c r="A284" s="290">
        <v>280</v>
      </c>
      <c r="B284" s="151" t="s">
        <v>223</v>
      </c>
      <c r="C284" s="139">
        <v>40172</v>
      </c>
      <c r="D284" s="194" t="s">
        <v>324</v>
      </c>
      <c r="E284" s="146">
        <v>51</v>
      </c>
      <c r="F284" s="146">
        <v>38</v>
      </c>
      <c r="G284" s="146">
        <v>3</v>
      </c>
      <c r="H284" s="150">
        <v>69657</v>
      </c>
      <c r="I284" s="152">
        <v>6224</v>
      </c>
      <c r="J284" s="129">
        <f t="shared" si="23"/>
        <v>163.78947368421052</v>
      </c>
      <c r="K284" s="130">
        <f t="shared" si="24"/>
        <v>11.19167737789203</v>
      </c>
      <c r="L284" s="154">
        <v>518546</v>
      </c>
      <c r="M284" s="153">
        <v>45746</v>
      </c>
      <c r="N284" s="133">
        <f t="shared" si="25"/>
        <v>11.335329864906221</v>
      </c>
      <c r="O284" s="149"/>
      <c r="P284" s="334"/>
      <c r="Q284" s="83"/>
      <c r="R284" s="83"/>
      <c r="S284" s="83"/>
      <c r="T284" s="83"/>
    </row>
    <row r="285" spans="1:20" ht="12" customHeight="1">
      <c r="A285" s="290">
        <v>281</v>
      </c>
      <c r="B285" s="151" t="s">
        <v>223</v>
      </c>
      <c r="C285" s="139">
        <v>40172</v>
      </c>
      <c r="D285" s="194" t="s">
        <v>324</v>
      </c>
      <c r="E285" s="146">
        <v>51</v>
      </c>
      <c r="F285" s="146">
        <v>12</v>
      </c>
      <c r="G285" s="146">
        <v>4</v>
      </c>
      <c r="H285" s="150">
        <v>8478</v>
      </c>
      <c r="I285" s="142">
        <v>1260</v>
      </c>
      <c r="J285" s="129">
        <f t="shared" si="23"/>
        <v>105</v>
      </c>
      <c r="K285" s="130">
        <f t="shared" si="24"/>
        <v>6.728571428571429</v>
      </c>
      <c r="L285" s="154">
        <v>527024</v>
      </c>
      <c r="M285" s="143">
        <v>47006</v>
      </c>
      <c r="N285" s="133">
        <f t="shared" si="25"/>
        <v>11.211845296345148</v>
      </c>
      <c r="O285" s="149"/>
      <c r="P285" s="334"/>
      <c r="Q285" s="83"/>
      <c r="R285" s="83"/>
      <c r="S285" s="83"/>
      <c r="T285" s="83"/>
    </row>
    <row r="286" spans="1:20" ht="12" customHeight="1">
      <c r="A286" s="290">
        <v>282</v>
      </c>
      <c r="B286" s="151" t="s">
        <v>223</v>
      </c>
      <c r="C286" s="139">
        <v>40172</v>
      </c>
      <c r="D286" s="194" t="s">
        <v>324</v>
      </c>
      <c r="E286" s="146">
        <v>51</v>
      </c>
      <c r="F286" s="146">
        <v>1</v>
      </c>
      <c r="G286" s="146">
        <v>5</v>
      </c>
      <c r="H286" s="141">
        <v>1239</v>
      </c>
      <c r="I286" s="142">
        <v>177</v>
      </c>
      <c r="J286" s="129">
        <f t="shared" si="23"/>
        <v>177</v>
      </c>
      <c r="K286" s="130">
        <f t="shared" si="24"/>
        <v>7</v>
      </c>
      <c r="L286" s="144">
        <v>528263</v>
      </c>
      <c r="M286" s="143">
        <v>47183</v>
      </c>
      <c r="N286" s="133">
        <f t="shared" si="25"/>
        <v>11.19604518576606</v>
      </c>
      <c r="O286" s="149"/>
      <c r="P286" s="334"/>
      <c r="Q286" s="83"/>
      <c r="R286" s="83"/>
      <c r="S286" s="83"/>
      <c r="T286" s="83"/>
    </row>
    <row r="287" spans="1:20" ht="12" customHeight="1">
      <c r="A287" s="290">
        <v>283</v>
      </c>
      <c r="B287" s="123" t="s">
        <v>33</v>
      </c>
      <c r="C287" s="124">
        <v>40172</v>
      </c>
      <c r="D287" s="125" t="s">
        <v>337</v>
      </c>
      <c r="E287" s="126">
        <v>196</v>
      </c>
      <c r="F287" s="126">
        <v>1</v>
      </c>
      <c r="G287" s="126">
        <v>13</v>
      </c>
      <c r="H287" s="137">
        <v>145</v>
      </c>
      <c r="I287" s="135">
        <v>29</v>
      </c>
      <c r="J287" s="129">
        <f t="shared" si="23"/>
        <v>29</v>
      </c>
      <c r="K287" s="130">
        <f t="shared" si="24"/>
        <v>5</v>
      </c>
      <c r="L287" s="138">
        <f>821982.75+546264.5+300546.5+218412+49105+23614+196+9844+340-11+2445+535+1144+3612+145</f>
        <v>1978174.75</v>
      </c>
      <c r="M287" s="136">
        <f>109740+66898+39464+31918+7910+4204-8+1658-1+56+431+18+107+206+886+29</f>
        <v>263516</v>
      </c>
      <c r="N287" s="133">
        <f t="shared" si="25"/>
        <v>7.506848730247879</v>
      </c>
      <c r="O287" s="149"/>
      <c r="P287" s="334"/>
      <c r="Q287" s="83"/>
      <c r="R287" s="83"/>
      <c r="S287" s="83"/>
      <c r="T287" s="83"/>
    </row>
    <row r="288" spans="1:20" ht="12" customHeight="1">
      <c r="A288" s="290">
        <v>284</v>
      </c>
      <c r="B288" s="123" t="s">
        <v>58</v>
      </c>
      <c r="C288" s="139">
        <v>40172</v>
      </c>
      <c r="D288" s="140" t="s">
        <v>353</v>
      </c>
      <c r="E288" s="146">
        <v>196</v>
      </c>
      <c r="F288" s="146">
        <v>196</v>
      </c>
      <c r="G288" s="146">
        <v>2</v>
      </c>
      <c r="H288" s="150">
        <v>546264.5</v>
      </c>
      <c r="I288" s="152">
        <v>66898</v>
      </c>
      <c r="J288" s="129">
        <f t="shared" si="23"/>
        <v>341.31632653061223</v>
      </c>
      <c r="K288" s="130">
        <f t="shared" si="24"/>
        <v>8.165632754342433</v>
      </c>
      <c r="L288" s="154">
        <f>821982.75+546264.5</f>
        <v>1368247.25</v>
      </c>
      <c r="M288" s="153">
        <f>109740+66898</f>
        <v>176638</v>
      </c>
      <c r="N288" s="133">
        <f t="shared" si="25"/>
        <v>7.746052661375242</v>
      </c>
      <c r="O288" s="110"/>
      <c r="P288" s="334"/>
      <c r="Q288" s="83"/>
      <c r="R288" s="83"/>
      <c r="S288" s="83"/>
      <c r="T288" s="83"/>
    </row>
    <row r="289" spans="1:20" ht="12" customHeight="1">
      <c r="A289" s="290">
        <v>285</v>
      </c>
      <c r="B289" s="123" t="s">
        <v>58</v>
      </c>
      <c r="C289" s="139">
        <v>40172</v>
      </c>
      <c r="D289" s="145" t="s">
        <v>353</v>
      </c>
      <c r="E289" s="146">
        <v>196</v>
      </c>
      <c r="F289" s="146">
        <v>183</v>
      </c>
      <c r="G289" s="146">
        <v>3</v>
      </c>
      <c r="H289" s="150">
        <v>300546.5</v>
      </c>
      <c r="I289" s="152">
        <v>39464</v>
      </c>
      <c r="J289" s="129">
        <f t="shared" si="23"/>
        <v>215.65027322404373</v>
      </c>
      <c r="K289" s="130">
        <f t="shared" si="24"/>
        <v>7.615713054936144</v>
      </c>
      <c r="L289" s="154">
        <f>821982.75+546264.5+300546.5</f>
        <v>1668793.75</v>
      </c>
      <c r="M289" s="153">
        <f>109740+66898+39464</f>
        <v>216102</v>
      </c>
      <c r="N289" s="133">
        <f t="shared" si="25"/>
        <v>7.722250372509278</v>
      </c>
      <c r="O289" s="149"/>
      <c r="P289" s="334"/>
      <c r="Q289" s="83"/>
      <c r="R289" s="83"/>
      <c r="S289" s="83"/>
      <c r="T289" s="83"/>
    </row>
    <row r="290" spans="1:20" ht="12" customHeight="1">
      <c r="A290" s="290">
        <v>286</v>
      </c>
      <c r="B290" s="123" t="s">
        <v>58</v>
      </c>
      <c r="C290" s="139">
        <v>40172</v>
      </c>
      <c r="D290" s="145" t="s">
        <v>353</v>
      </c>
      <c r="E290" s="146">
        <v>196</v>
      </c>
      <c r="F290" s="146">
        <v>148</v>
      </c>
      <c r="G290" s="146">
        <v>4</v>
      </c>
      <c r="H290" s="150">
        <v>218412</v>
      </c>
      <c r="I290" s="142">
        <v>31918</v>
      </c>
      <c r="J290" s="129">
        <f t="shared" si="23"/>
        <v>215.66216216216216</v>
      </c>
      <c r="K290" s="130">
        <f t="shared" si="24"/>
        <v>6.842909956764208</v>
      </c>
      <c r="L290" s="154">
        <f>821982.75+546264.5+300546.5+218412</f>
        <v>1887205.75</v>
      </c>
      <c r="M290" s="143">
        <f>109740+66898+39464+31918</f>
        <v>248020</v>
      </c>
      <c r="N290" s="133">
        <f t="shared" si="25"/>
        <v>7.609086968792839</v>
      </c>
      <c r="O290" s="108">
        <v>1</v>
      </c>
      <c r="P290" s="334"/>
      <c r="Q290" s="83"/>
      <c r="R290" s="83"/>
      <c r="S290" s="83"/>
      <c r="T290" s="83"/>
    </row>
    <row r="291" spans="1:20" ht="12" customHeight="1">
      <c r="A291" s="290">
        <v>287</v>
      </c>
      <c r="B291" s="123" t="s">
        <v>58</v>
      </c>
      <c r="C291" s="139">
        <v>40172</v>
      </c>
      <c r="D291" s="134" t="s">
        <v>353</v>
      </c>
      <c r="E291" s="146">
        <v>196</v>
      </c>
      <c r="F291" s="146">
        <v>25</v>
      </c>
      <c r="G291" s="146">
        <v>5</v>
      </c>
      <c r="H291" s="141">
        <v>49105</v>
      </c>
      <c r="I291" s="142">
        <v>7919</v>
      </c>
      <c r="J291" s="129">
        <f t="shared" si="23"/>
        <v>316.76</v>
      </c>
      <c r="K291" s="130">
        <f t="shared" si="24"/>
        <v>6.2009092057077915</v>
      </c>
      <c r="L291" s="144">
        <f>821982.75+546264.5+300546.5+218412+49105</f>
        <v>1936310.75</v>
      </c>
      <c r="M291" s="143">
        <f>109740+66898+39464+31918+7910</f>
        <v>255930</v>
      </c>
      <c r="N291" s="133">
        <f t="shared" si="25"/>
        <v>7.565782635876998</v>
      </c>
      <c r="O291" s="109"/>
      <c r="P291" s="334"/>
      <c r="Q291" s="83"/>
      <c r="R291" s="83"/>
      <c r="S291" s="83"/>
      <c r="T291" s="83"/>
    </row>
    <row r="292" spans="1:20" ht="12" customHeight="1">
      <c r="A292" s="290">
        <v>288</v>
      </c>
      <c r="B292" s="123" t="s">
        <v>58</v>
      </c>
      <c r="C292" s="139">
        <v>40172</v>
      </c>
      <c r="D292" s="155" t="s">
        <v>353</v>
      </c>
      <c r="E292" s="146">
        <v>196</v>
      </c>
      <c r="F292" s="146">
        <v>16</v>
      </c>
      <c r="G292" s="146">
        <v>6</v>
      </c>
      <c r="H292" s="141">
        <v>23614</v>
      </c>
      <c r="I292" s="142">
        <v>4204</v>
      </c>
      <c r="J292" s="129">
        <f t="shared" si="23"/>
        <v>262.75</v>
      </c>
      <c r="K292" s="130">
        <f t="shared" si="24"/>
        <v>5.617031398667935</v>
      </c>
      <c r="L292" s="144">
        <f>821982.75+546264.5+300546.5+218412+49105+23614+196</f>
        <v>1960120.75</v>
      </c>
      <c r="M292" s="143">
        <f>109740+66898+39464+31918+7910+4204-8</f>
        <v>260126</v>
      </c>
      <c r="N292" s="133">
        <f t="shared" si="25"/>
        <v>7.535274251708787</v>
      </c>
      <c r="O292" s="149"/>
      <c r="P292" s="334"/>
      <c r="Q292" s="83"/>
      <c r="R292" s="83"/>
      <c r="S292" s="83"/>
      <c r="T292" s="83"/>
    </row>
    <row r="293" spans="1:20" ht="12" customHeight="1">
      <c r="A293" s="290">
        <v>289</v>
      </c>
      <c r="B293" s="123" t="s">
        <v>58</v>
      </c>
      <c r="C293" s="139">
        <v>40172</v>
      </c>
      <c r="D293" s="155" t="s">
        <v>353</v>
      </c>
      <c r="E293" s="146">
        <v>196</v>
      </c>
      <c r="F293" s="146">
        <v>14</v>
      </c>
      <c r="G293" s="146">
        <v>7</v>
      </c>
      <c r="H293" s="141">
        <v>9844</v>
      </c>
      <c r="I293" s="142">
        <v>1658</v>
      </c>
      <c r="J293" s="129">
        <f t="shared" si="23"/>
        <v>118.42857142857143</v>
      </c>
      <c r="K293" s="130">
        <f t="shared" si="24"/>
        <v>5.9372738238841976</v>
      </c>
      <c r="L293" s="144">
        <f>821982.75+546264.5+300546.5+218412+49105+23614+196+9844</f>
        <v>1969964.75</v>
      </c>
      <c r="M293" s="143">
        <f>109740+66898+39464+31918+7910+4204-8+1658-1</f>
        <v>261783</v>
      </c>
      <c r="N293" s="133">
        <f t="shared" si="25"/>
        <v>7.525182116485792</v>
      </c>
      <c r="O293" s="148">
        <v>1</v>
      </c>
      <c r="P293" s="334"/>
      <c r="Q293" s="83"/>
      <c r="R293" s="83"/>
      <c r="S293" s="83"/>
      <c r="T293" s="83"/>
    </row>
    <row r="294" spans="1:20" ht="12" customHeight="1">
      <c r="A294" s="290">
        <v>290</v>
      </c>
      <c r="B294" s="123" t="s">
        <v>58</v>
      </c>
      <c r="C294" s="139">
        <v>40172</v>
      </c>
      <c r="D294" s="145" t="s">
        <v>353</v>
      </c>
      <c r="E294" s="156">
        <v>196</v>
      </c>
      <c r="F294" s="156">
        <v>1</v>
      </c>
      <c r="G294" s="156">
        <v>12</v>
      </c>
      <c r="H294" s="157">
        <v>3612</v>
      </c>
      <c r="I294" s="158">
        <v>886</v>
      </c>
      <c r="J294" s="129">
        <f t="shared" si="23"/>
        <v>886</v>
      </c>
      <c r="K294" s="130">
        <f t="shared" si="24"/>
        <v>4.076749435665914</v>
      </c>
      <c r="L294" s="154">
        <f>821982.75+546264.5+300546.5+218412+49105+23614+196+9844+340-11+2445+535+1144+3612</f>
        <v>1978029.75</v>
      </c>
      <c r="M294" s="153">
        <f>109740+66898+39464+31918+7910+4204-8+1658-1+56+431+18+107+206+886</f>
        <v>263487</v>
      </c>
      <c r="N294" s="133">
        <f t="shared" si="25"/>
        <v>7.507124639925309</v>
      </c>
      <c r="O294" s="110"/>
      <c r="P294" s="334"/>
      <c r="Q294" s="83"/>
      <c r="R294" s="83"/>
      <c r="S294" s="83"/>
      <c r="T294" s="83"/>
    </row>
    <row r="295" spans="1:20" ht="12" customHeight="1">
      <c r="A295" s="290">
        <v>291</v>
      </c>
      <c r="B295" s="123" t="s">
        <v>58</v>
      </c>
      <c r="C295" s="139">
        <v>40172</v>
      </c>
      <c r="D295" s="125" t="s">
        <v>353</v>
      </c>
      <c r="E295" s="146">
        <v>196</v>
      </c>
      <c r="F295" s="146">
        <v>1</v>
      </c>
      <c r="G295" s="146">
        <v>15</v>
      </c>
      <c r="H295" s="141">
        <v>3597</v>
      </c>
      <c r="I295" s="142">
        <v>600</v>
      </c>
      <c r="J295" s="129">
        <f t="shared" si="23"/>
        <v>600</v>
      </c>
      <c r="K295" s="130">
        <f t="shared" si="24"/>
        <v>5.995</v>
      </c>
      <c r="L295" s="144">
        <f>821982.75+546264.5+300546.5+218412+49105+23614+196+9844+340-11+2445+535+1144+3612+145+369+3597</f>
        <v>1982140.75</v>
      </c>
      <c r="M295" s="143">
        <f>109740+66898+39464+31918+7910+4204-8+1658-1+56+431+18+107+206+886+29+105+600</f>
        <v>264221</v>
      </c>
      <c r="N295" s="133">
        <f t="shared" si="25"/>
        <v>7.50182896136189</v>
      </c>
      <c r="O295" s="149"/>
      <c r="P295" s="334"/>
      <c r="Q295" s="83"/>
      <c r="R295" s="83"/>
      <c r="S295" s="83"/>
      <c r="T295" s="83"/>
    </row>
    <row r="296" spans="1:20" ht="12" customHeight="1">
      <c r="A296" s="290">
        <v>292</v>
      </c>
      <c r="B296" s="123" t="s">
        <v>58</v>
      </c>
      <c r="C296" s="139">
        <v>40172</v>
      </c>
      <c r="D296" s="190" t="s">
        <v>353</v>
      </c>
      <c r="E296" s="146">
        <v>196</v>
      </c>
      <c r="F296" s="146">
        <v>2</v>
      </c>
      <c r="G296" s="146">
        <v>9</v>
      </c>
      <c r="H296" s="150">
        <v>2445</v>
      </c>
      <c r="I296" s="152">
        <v>431</v>
      </c>
      <c r="J296" s="129">
        <f t="shared" si="23"/>
        <v>215.5</v>
      </c>
      <c r="K296" s="130">
        <f t="shared" si="24"/>
        <v>5.672853828306264</v>
      </c>
      <c r="L296" s="154">
        <f>821982.75+546264.5+300546.5+218412+49105+23614+196+9844+340-11+2445</f>
        <v>1972738.75</v>
      </c>
      <c r="M296" s="153">
        <f>109740+66898+39464+31918+7910+4204-8+1658-1+56+431+18</f>
        <v>262288</v>
      </c>
      <c r="N296" s="133">
        <f t="shared" si="25"/>
        <v>7.521269558653084</v>
      </c>
      <c r="O296" s="149"/>
      <c r="P296" s="334"/>
      <c r="Q296" s="83"/>
      <c r="R296" s="83"/>
      <c r="S296" s="83"/>
      <c r="T296" s="83"/>
    </row>
    <row r="297" spans="1:20" ht="12" customHeight="1">
      <c r="A297" s="290">
        <v>293</v>
      </c>
      <c r="B297" s="123" t="s">
        <v>58</v>
      </c>
      <c r="C297" s="139">
        <v>40172</v>
      </c>
      <c r="D297" s="145" t="s">
        <v>353</v>
      </c>
      <c r="E297" s="156">
        <v>196</v>
      </c>
      <c r="F297" s="156">
        <v>1</v>
      </c>
      <c r="G297" s="156">
        <v>11</v>
      </c>
      <c r="H297" s="157">
        <v>1144</v>
      </c>
      <c r="I297" s="158">
        <v>206</v>
      </c>
      <c r="J297" s="129">
        <f t="shared" si="23"/>
        <v>206</v>
      </c>
      <c r="K297" s="130">
        <f t="shared" si="24"/>
        <v>5.553398058252427</v>
      </c>
      <c r="L297" s="154">
        <f>821982.75+546264.5+300546.5+218412+49105+23614+196+9844+340-11+2445+535+1144</f>
        <v>1974417.75</v>
      </c>
      <c r="M297" s="153">
        <f>109740+66898+39464+31918+7910+4204-8+1658-1+56+431+18+107+206</f>
        <v>262601</v>
      </c>
      <c r="N297" s="133">
        <f t="shared" si="25"/>
        <v>7.518698519807617</v>
      </c>
      <c r="O297" s="149"/>
      <c r="P297" s="334"/>
      <c r="Q297" s="83"/>
      <c r="R297" s="83"/>
      <c r="S297" s="83"/>
      <c r="T297" s="83"/>
    </row>
    <row r="298" spans="1:20" ht="12" customHeight="1">
      <c r="A298" s="290">
        <v>294</v>
      </c>
      <c r="B298" s="123" t="s">
        <v>58</v>
      </c>
      <c r="C298" s="171">
        <v>40172</v>
      </c>
      <c r="D298" s="190" t="s">
        <v>353</v>
      </c>
      <c r="E298" s="156">
        <v>196</v>
      </c>
      <c r="F298" s="156">
        <v>1</v>
      </c>
      <c r="G298" s="156">
        <v>10</v>
      </c>
      <c r="H298" s="157">
        <v>535</v>
      </c>
      <c r="I298" s="158">
        <v>107</v>
      </c>
      <c r="J298" s="129">
        <f t="shared" si="23"/>
        <v>107</v>
      </c>
      <c r="K298" s="130">
        <f t="shared" si="24"/>
        <v>5</v>
      </c>
      <c r="L298" s="154">
        <f>821982.75+546264.5+300546.5+218412+49105+23614+196+9844+340-11+2445+535</f>
        <v>1973273.75</v>
      </c>
      <c r="M298" s="153">
        <f>109740+66898+39464+31918+7910+4204-8+1658-1+56+431+18+107</f>
        <v>262395</v>
      </c>
      <c r="N298" s="133">
        <f t="shared" si="25"/>
        <v>7.520241429905296</v>
      </c>
      <c r="O298" s="108"/>
      <c r="P298" s="334"/>
      <c r="Q298" s="83"/>
      <c r="R298" s="83"/>
      <c r="S298" s="83"/>
      <c r="T298" s="83"/>
    </row>
    <row r="299" spans="1:20" ht="12" customHeight="1">
      <c r="A299" s="290">
        <v>295</v>
      </c>
      <c r="B299" s="123" t="s">
        <v>58</v>
      </c>
      <c r="C299" s="124">
        <v>40172</v>
      </c>
      <c r="D299" s="125" t="s">
        <v>337</v>
      </c>
      <c r="E299" s="126">
        <v>196</v>
      </c>
      <c r="F299" s="126">
        <v>1</v>
      </c>
      <c r="G299" s="126">
        <v>14</v>
      </c>
      <c r="H299" s="127">
        <v>369</v>
      </c>
      <c r="I299" s="128">
        <v>105</v>
      </c>
      <c r="J299" s="129">
        <f t="shared" si="23"/>
        <v>105</v>
      </c>
      <c r="K299" s="130">
        <f t="shared" si="24"/>
        <v>3.5142857142857142</v>
      </c>
      <c r="L299" s="131">
        <f>821982.75+546264.5+300546.5+218412+49105+23614+196+9844+340-11+2445+535+1144+3612+145+369</f>
        <v>1978543.75</v>
      </c>
      <c r="M299" s="132">
        <f>109740+66898+39464+31918+7910+4204-8+1658-1+56+431+18+107+206+886+29+105</f>
        <v>263621</v>
      </c>
      <c r="N299" s="133">
        <f t="shared" si="25"/>
        <v>7.505258496098565</v>
      </c>
      <c r="O299" s="108"/>
      <c r="P299" s="334"/>
      <c r="Q299" s="83"/>
      <c r="R299" s="83"/>
      <c r="S299" s="83"/>
      <c r="T299" s="83"/>
    </row>
    <row r="300" spans="1:20" ht="12" customHeight="1">
      <c r="A300" s="290">
        <v>296</v>
      </c>
      <c r="B300" s="123" t="s">
        <v>58</v>
      </c>
      <c r="C300" s="171">
        <v>40172</v>
      </c>
      <c r="D300" s="190" t="s">
        <v>353</v>
      </c>
      <c r="E300" s="156">
        <v>196</v>
      </c>
      <c r="F300" s="156">
        <v>2</v>
      </c>
      <c r="G300" s="156">
        <v>8</v>
      </c>
      <c r="H300" s="157">
        <v>340</v>
      </c>
      <c r="I300" s="158">
        <v>56</v>
      </c>
      <c r="J300" s="129">
        <f t="shared" si="23"/>
        <v>28</v>
      </c>
      <c r="K300" s="130">
        <f t="shared" si="24"/>
        <v>6.071428571428571</v>
      </c>
      <c r="L300" s="203">
        <f>821982.75+546264.5+300546.5+218412+49105+23614+196+9844+340-11</f>
        <v>1970293.75</v>
      </c>
      <c r="M300" s="204">
        <f>109740+66898+39464+31918+7910+4204-8+1658-1+56</f>
        <v>261839</v>
      </c>
      <c r="N300" s="133">
        <f t="shared" si="25"/>
        <v>7.524829188929075</v>
      </c>
      <c r="O300" s="108">
        <v>1</v>
      </c>
      <c r="P300" s="334"/>
      <c r="Q300" s="83"/>
      <c r="R300" s="83"/>
      <c r="S300" s="83"/>
      <c r="T300" s="83"/>
    </row>
    <row r="301" spans="1:20" ht="12" customHeight="1">
      <c r="A301" s="290">
        <v>297</v>
      </c>
      <c r="B301" s="123" t="s">
        <v>58</v>
      </c>
      <c r="C301" s="139">
        <v>40172</v>
      </c>
      <c r="D301" s="125" t="s">
        <v>337</v>
      </c>
      <c r="E301" s="146">
        <v>196</v>
      </c>
      <c r="F301" s="146">
        <v>1</v>
      </c>
      <c r="G301" s="146">
        <v>16</v>
      </c>
      <c r="H301" s="141">
        <v>110</v>
      </c>
      <c r="I301" s="142">
        <v>17</v>
      </c>
      <c r="J301" s="129">
        <f t="shared" si="23"/>
        <v>17</v>
      </c>
      <c r="K301" s="130">
        <f t="shared" si="24"/>
        <v>6.470588235294118</v>
      </c>
      <c r="L301" s="144">
        <f>821982.75+546264.5+300546.5+218412+49105+23614+196+9844+340-11+2445+535+1144+3612+145+369+3597+110</f>
        <v>1982250.75</v>
      </c>
      <c r="M301" s="143">
        <f>109740+66898+39464+31918+7910+4204-8+1658-1+56+431+18+107+206+886+29+105+600+17</f>
        <v>264238</v>
      </c>
      <c r="N301" s="133">
        <f t="shared" si="25"/>
        <v>7.501762615520856</v>
      </c>
      <c r="O301" s="149"/>
      <c r="P301" s="334"/>
      <c r="Q301" s="83"/>
      <c r="R301" s="83"/>
      <c r="S301" s="83"/>
      <c r="T301" s="83"/>
    </row>
    <row r="302" spans="1:20" ht="12" customHeight="1">
      <c r="A302" s="290">
        <v>298</v>
      </c>
      <c r="B302" s="123" t="s">
        <v>58</v>
      </c>
      <c r="C302" s="124">
        <v>40172</v>
      </c>
      <c r="D302" s="125" t="s">
        <v>337</v>
      </c>
      <c r="E302" s="126">
        <v>196</v>
      </c>
      <c r="F302" s="126">
        <v>1</v>
      </c>
      <c r="G302" s="126">
        <v>18</v>
      </c>
      <c r="H302" s="137">
        <v>91</v>
      </c>
      <c r="I302" s="135">
        <v>13</v>
      </c>
      <c r="J302" s="129">
        <f t="shared" si="23"/>
        <v>13</v>
      </c>
      <c r="K302" s="130">
        <f t="shared" si="24"/>
        <v>7</v>
      </c>
      <c r="L302" s="138">
        <f>821982.75+546264.5+300546.5+218412+49105+23614+196+9844+340-11+2445+535+1144+3612+145+369+3597+110+56+91</f>
        <v>1982397.75</v>
      </c>
      <c r="M302" s="136">
        <f>109740+66898+39464+31918+7910+4204-8+1658-1+56+431+18+107+206+886+29+105+600+17+8+13</f>
        <v>264259</v>
      </c>
      <c r="N302" s="133">
        <f t="shared" si="25"/>
        <v>7.501722741704161</v>
      </c>
      <c r="O302" s="109"/>
      <c r="P302" s="334"/>
      <c r="Q302" s="83"/>
      <c r="R302" s="83"/>
      <c r="S302" s="83"/>
      <c r="T302" s="83"/>
    </row>
    <row r="303" spans="1:20" ht="12" customHeight="1">
      <c r="A303" s="290">
        <v>299</v>
      </c>
      <c r="B303" s="123" t="s">
        <v>58</v>
      </c>
      <c r="C303" s="139">
        <v>40172</v>
      </c>
      <c r="D303" s="125" t="s">
        <v>337</v>
      </c>
      <c r="E303" s="146">
        <v>196</v>
      </c>
      <c r="F303" s="146">
        <v>1</v>
      </c>
      <c r="G303" s="146">
        <v>17</v>
      </c>
      <c r="H303" s="141">
        <v>56</v>
      </c>
      <c r="I303" s="142">
        <v>8</v>
      </c>
      <c r="J303" s="129">
        <f t="shared" si="23"/>
        <v>8</v>
      </c>
      <c r="K303" s="130">
        <f t="shared" si="24"/>
        <v>7</v>
      </c>
      <c r="L303" s="144">
        <f>821982.75+546264.5+300546.5+218412+49105+23614+196+9844+340-11+2445+535+1144+3612+145+369+3597+110+56</f>
        <v>1982306.75</v>
      </c>
      <c r="M303" s="143">
        <f>109740+66898+39464+31918+7910+4204-8+1658-1+56+431+18+107+206+886+29+105+600+17+8</f>
        <v>264246</v>
      </c>
      <c r="N303" s="133">
        <f t="shared" si="25"/>
        <v>7.501747424748151</v>
      </c>
      <c r="O303" s="149"/>
      <c r="P303" s="334"/>
      <c r="Q303" s="83"/>
      <c r="R303" s="83"/>
      <c r="S303" s="83"/>
      <c r="T303" s="83"/>
    </row>
    <row r="304" spans="1:20" ht="12" customHeight="1">
      <c r="A304" s="290">
        <v>300</v>
      </c>
      <c r="B304" s="172" t="s">
        <v>59</v>
      </c>
      <c r="C304" s="124">
        <v>39920</v>
      </c>
      <c r="D304" s="205" t="s">
        <v>169</v>
      </c>
      <c r="E304" s="173">
        <v>132</v>
      </c>
      <c r="F304" s="173">
        <v>3</v>
      </c>
      <c r="G304" s="173">
        <v>19</v>
      </c>
      <c r="H304" s="206">
        <v>2655</v>
      </c>
      <c r="I304" s="207">
        <v>531</v>
      </c>
      <c r="J304" s="129">
        <f t="shared" si="23"/>
        <v>177</v>
      </c>
      <c r="K304" s="130">
        <f t="shared" si="24"/>
        <v>5</v>
      </c>
      <c r="L304" s="208">
        <v>914710</v>
      </c>
      <c r="M304" s="209">
        <v>117082</v>
      </c>
      <c r="N304" s="133">
        <f t="shared" si="25"/>
        <v>7.812558719529902</v>
      </c>
      <c r="O304" s="148">
        <v>1</v>
      </c>
      <c r="P304" s="334"/>
      <c r="Q304" s="83"/>
      <c r="R304" s="83"/>
      <c r="S304" s="83"/>
      <c r="T304" s="83"/>
    </row>
    <row r="305" spans="1:20" ht="12" customHeight="1">
      <c r="A305" s="290">
        <v>301</v>
      </c>
      <c r="B305" s="123" t="s">
        <v>179</v>
      </c>
      <c r="C305" s="124">
        <v>39990</v>
      </c>
      <c r="D305" s="125" t="s">
        <v>339</v>
      </c>
      <c r="E305" s="126">
        <v>20</v>
      </c>
      <c r="F305" s="126">
        <v>1</v>
      </c>
      <c r="G305" s="126">
        <v>16</v>
      </c>
      <c r="H305" s="127">
        <v>1280</v>
      </c>
      <c r="I305" s="128">
        <v>256</v>
      </c>
      <c r="J305" s="129">
        <f t="shared" si="23"/>
        <v>256</v>
      </c>
      <c r="K305" s="130">
        <f t="shared" si="24"/>
        <v>5</v>
      </c>
      <c r="L305" s="131">
        <v>157045</v>
      </c>
      <c r="M305" s="132">
        <v>17986</v>
      </c>
      <c r="N305" s="133">
        <f t="shared" si="25"/>
        <v>8.731513399310575</v>
      </c>
      <c r="O305" s="110"/>
      <c r="P305" s="334"/>
      <c r="Q305" s="83"/>
      <c r="R305" s="83"/>
      <c r="S305" s="83"/>
      <c r="T305" s="83"/>
    </row>
    <row r="306" spans="1:20" ht="12" customHeight="1">
      <c r="A306" s="290">
        <v>302</v>
      </c>
      <c r="B306" s="123" t="s">
        <v>355</v>
      </c>
      <c r="C306" s="124">
        <v>40123</v>
      </c>
      <c r="D306" s="155" t="s">
        <v>423</v>
      </c>
      <c r="E306" s="126">
        <v>58</v>
      </c>
      <c r="F306" s="126">
        <v>7</v>
      </c>
      <c r="G306" s="126">
        <v>9</v>
      </c>
      <c r="H306" s="162">
        <v>2843</v>
      </c>
      <c r="I306" s="165">
        <v>406</v>
      </c>
      <c r="J306" s="129">
        <f t="shared" si="23"/>
        <v>58</v>
      </c>
      <c r="K306" s="130">
        <f t="shared" si="24"/>
        <v>7.002463054187192</v>
      </c>
      <c r="L306" s="164">
        <v>471356.75</v>
      </c>
      <c r="M306" s="153">
        <v>45156</v>
      </c>
      <c r="N306" s="133">
        <f t="shared" si="25"/>
        <v>10.438407963504297</v>
      </c>
      <c r="O306" s="147">
        <v>1</v>
      </c>
      <c r="P306" s="334"/>
      <c r="Q306" s="83"/>
      <c r="R306" s="83"/>
      <c r="S306" s="83"/>
      <c r="T306" s="83"/>
    </row>
    <row r="307" spans="1:20" ht="12" customHeight="1">
      <c r="A307" s="290">
        <v>303</v>
      </c>
      <c r="B307" s="151" t="s">
        <v>355</v>
      </c>
      <c r="C307" s="139">
        <v>40123</v>
      </c>
      <c r="D307" s="155" t="s">
        <v>423</v>
      </c>
      <c r="E307" s="146">
        <v>58</v>
      </c>
      <c r="F307" s="146">
        <v>3</v>
      </c>
      <c r="G307" s="146">
        <v>12</v>
      </c>
      <c r="H307" s="141">
        <v>2007</v>
      </c>
      <c r="I307" s="142">
        <v>364</v>
      </c>
      <c r="J307" s="129">
        <f t="shared" si="23"/>
        <v>121.33333333333333</v>
      </c>
      <c r="K307" s="130">
        <f t="shared" si="24"/>
        <v>5.513736263736264</v>
      </c>
      <c r="L307" s="144">
        <v>474913.75</v>
      </c>
      <c r="M307" s="143">
        <v>45796</v>
      </c>
      <c r="N307" s="133">
        <f t="shared" si="25"/>
        <v>10.370201545986548</v>
      </c>
      <c r="O307" s="149"/>
      <c r="P307" s="334"/>
      <c r="Q307" s="83"/>
      <c r="R307" s="83"/>
      <c r="S307" s="83"/>
      <c r="T307" s="83"/>
    </row>
    <row r="308" spans="1:20" ht="12" customHeight="1">
      <c r="A308" s="290">
        <v>304</v>
      </c>
      <c r="B308" s="182" t="s">
        <v>355</v>
      </c>
      <c r="C308" s="171">
        <v>40123</v>
      </c>
      <c r="D308" s="190" t="s">
        <v>423</v>
      </c>
      <c r="E308" s="156">
        <v>58</v>
      </c>
      <c r="F308" s="156">
        <v>1</v>
      </c>
      <c r="G308" s="156">
        <v>16</v>
      </c>
      <c r="H308" s="157">
        <v>1188</v>
      </c>
      <c r="I308" s="158">
        <v>238</v>
      </c>
      <c r="J308" s="129">
        <f t="shared" si="23"/>
        <v>238</v>
      </c>
      <c r="K308" s="130">
        <f t="shared" si="24"/>
        <v>4.991596638655462</v>
      </c>
      <c r="L308" s="154">
        <v>477968.75</v>
      </c>
      <c r="M308" s="153">
        <v>46317</v>
      </c>
      <c r="N308" s="133">
        <f t="shared" si="25"/>
        <v>10.319510115076538</v>
      </c>
      <c r="O308" s="159"/>
      <c r="P308" s="334"/>
      <c r="Q308" s="83"/>
      <c r="R308" s="83"/>
      <c r="S308" s="83"/>
      <c r="T308" s="83"/>
    </row>
    <row r="309" spans="1:20" ht="12" customHeight="1">
      <c r="A309" s="290">
        <v>305</v>
      </c>
      <c r="B309" s="123" t="s">
        <v>355</v>
      </c>
      <c r="C309" s="124">
        <v>40123</v>
      </c>
      <c r="D309" s="155" t="s">
        <v>423</v>
      </c>
      <c r="E309" s="126">
        <v>58</v>
      </c>
      <c r="F309" s="126">
        <v>4</v>
      </c>
      <c r="G309" s="126">
        <v>10</v>
      </c>
      <c r="H309" s="162">
        <v>1180</v>
      </c>
      <c r="I309" s="163">
        <v>202</v>
      </c>
      <c r="J309" s="129">
        <f t="shared" si="23"/>
        <v>50.5</v>
      </c>
      <c r="K309" s="130">
        <f t="shared" si="24"/>
        <v>5.841584158415841</v>
      </c>
      <c r="L309" s="164">
        <v>472536.75</v>
      </c>
      <c r="M309" s="143">
        <v>45358</v>
      </c>
      <c r="N309" s="133">
        <f t="shared" si="25"/>
        <v>10.417936196481326</v>
      </c>
      <c r="O309" s="108">
        <v>1</v>
      </c>
      <c r="P309" s="334"/>
      <c r="Q309" s="83"/>
      <c r="R309" s="83"/>
      <c r="S309" s="83"/>
      <c r="T309" s="83"/>
    </row>
    <row r="310" spans="1:20" ht="12" customHeight="1">
      <c r="A310" s="290">
        <v>306</v>
      </c>
      <c r="B310" s="151" t="s">
        <v>355</v>
      </c>
      <c r="C310" s="139">
        <v>40123</v>
      </c>
      <c r="D310" s="155" t="s">
        <v>423</v>
      </c>
      <c r="E310" s="146">
        <v>58</v>
      </c>
      <c r="F310" s="146">
        <v>2</v>
      </c>
      <c r="G310" s="146">
        <v>13</v>
      </c>
      <c r="H310" s="141">
        <v>1001</v>
      </c>
      <c r="I310" s="142">
        <v>135</v>
      </c>
      <c r="J310" s="129">
        <f t="shared" si="23"/>
        <v>67.5</v>
      </c>
      <c r="K310" s="130">
        <f t="shared" si="24"/>
        <v>7.4148148148148145</v>
      </c>
      <c r="L310" s="144">
        <v>475914.75</v>
      </c>
      <c r="M310" s="143">
        <v>45931</v>
      </c>
      <c r="N310" s="133">
        <f t="shared" si="25"/>
        <v>10.36151509873506</v>
      </c>
      <c r="O310" s="149">
        <v>1</v>
      </c>
      <c r="P310" s="334"/>
      <c r="Q310" s="83"/>
      <c r="R310" s="83"/>
      <c r="S310" s="83"/>
      <c r="T310" s="83"/>
    </row>
    <row r="311" spans="1:20" ht="12" customHeight="1">
      <c r="A311" s="290">
        <v>307</v>
      </c>
      <c r="B311" s="123" t="s">
        <v>355</v>
      </c>
      <c r="C311" s="124">
        <v>40123</v>
      </c>
      <c r="D311" s="155" t="s">
        <v>449</v>
      </c>
      <c r="E311" s="126">
        <v>58</v>
      </c>
      <c r="F311" s="126">
        <v>2</v>
      </c>
      <c r="G311" s="126">
        <v>17</v>
      </c>
      <c r="H311" s="192">
        <v>590</v>
      </c>
      <c r="I311" s="163">
        <v>110</v>
      </c>
      <c r="J311" s="129">
        <f t="shared" si="23"/>
        <v>55</v>
      </c>
      <c r="K311" s="130">
        <f t="shared" si="24"/>
        <v>5.363636363636363</v>
      </c>
      <c r="L311" s="193">
        <v>478558.75</v>
      </c>
      <c r="M311" s="143">
        <v>46427</v>
      </c>
      <c r="N311" s="133">
        <f t="shared" si="25"/>
        <v>10.30776810907446</v>
      </c>
      <c r="O311" s="110">
        <v>1</v>
      </c>
      <c r="P311" s="334"/>
      <c r="Q311" s="83"/>
      <c r="R311" s="83"/>
      <c r="S311" s="83"/>
      <c r="T311" s="83"/>
    </row>
    <row r="312" spans="1:20" ht="12" customHeight="1">
      <c r="A312" s="290">
        <v>308</v>
      </c>
      <c r="B312" s="151" t="s">
        <v>355</v>
      </c>
      <c r="C312" s="139">
        <v>40123</v>
      </c>
      <c r="D312" s="155" t="s">
        <v>423</v>
      </c>
      <c r="E312" s="146">
        <v>58</v>
      </c>
      <c r="F312" s="146">
        <v>1</v>
      </c>
      <c r="G312" s="146">
        <v>14</v>
      </c>
      <c r="H312" s="150">
        <v>563</v>
      </c>
      <c r="I312" s="152">
        <v>98</v>
      </c>
      <c r="J312" s="129">
        <f t="shared" si="23"/>
        <v>98</v>
      </c>
      <c r="K312" s="130">
        <f t="shared" si="24"/>
        <v>5.744897959183674</v>
      </c>
      <c r="L312" s="154">
        <v>476477.75</v>
      </c>
      <c r="M312" s="153">
        <v>46029</v>
      </c>
      <c r="N312" s="133">
        <f t="shared" si="25"/>
        <v>10.351685893675727</v>
      </c>
      <c r="O312" s="108">
        <v>1</v>
      </c>
      <c r="P312" s="334"/>
      <c r="Q312" s="83"/>
      <c r="R312" s="83"/>
      <c r="S312" s="83"/>
      <c r="T312" s="83"/>
    </row>
    <row r="313" spans="1:20" ht="12" customHeight="1">
      <c r="A313" s="290">
        <v>309</v>
      </c>
      <c r="B313" s="123" t="s">
        <v>355</v>
      </c>
      <c r="C313" s="124">
        <v>40123</v>
      </c>
      <c r="D313" s="134" t="s">
        <v>423</v>
      </c>
      <c r="E313" s="126">
        <v>58</v>
      </c>
      <c r="F313" s="126">
        <v>1</v>
      </c>
      <c r="G313" s="126">
        <v>8</v>
      </c>
      <c r="H313" s="162">
        <v>414</v>
      </c>
      <c r="I313" s="165">
        <v>83</v>
      </c>
      <c r="J313" s="129">
        <f t="shared" si="23"/>
        <v>83</v>
      </c>
      <c r="K313" s="130">
        <f t="shared" si="24"/>
        <v>4.9879518072289155</v>
      </c>
      <c r="L313" s="164">
        <v>468513.75</v>
      </c>
      <c r="M313" s="153">
        <v>44750</v>
      </c>
      <c r="N313" s="133">
        <f t="shared" si="25"/>
        <v>10.469581005586592</v>
      </c>
      <c r="O313" s="353">
        <v>1</v>
      </c>
      <c r="P313" s="334"/>
      <c r="Q313" s="83"/>
      <c r="R313" s="83"/>
      <c r="S313" s="83"/>
      <c r="T313" s="83"/>
    </row>
    <row r="314" spans="1:20" ht="12" customHeight="1">
      <c r="A314" s="290">
        <v>310</v>
      </c>
      <c r="B314" s="151" t="s">
        <v>355</v>
      </c>
      <c r="C314" s="139">
        <v>40123</v>
      </c>
      <c r="D314" s="140" t="s">
        <v>423</v>
      </c>
      <c r="E314" s="146">
        <v>58</v>
      </c>
      <c r="F314" s="146">
        <v>4</v>
      </c>
      <c r="G314" s="146">
        <v>11</v>
      </c>
      <c r="H314" s="137">
        <v>370</v>
      </c>
      <c r="I314" s="135">
        <v>74</v>
      </c>
      <c r="J314" s="129">
        <f t="shared" si="23"/>
        <v>18.5</v>
      </c>
      <c r="K314" s="130">
        <f t="shared" si="24"/>
        <v>5</v>
      </c>
      <c r="L314" s="138">
        <v>472906.75</v>
      </c>
      <c r="M314" s="136">
        <v>45432</v>
      </c>
      <c r="N314" s="133">
        <f t="shared" si="25"/>
        <v>10.409111419263954</v>
      </c>
      <c r="O314" s="108">
        <v>1</v>
      </c>
      <c r="P314" s="334"/>
      <c r="Q314" s="83"/>
      <c r="R314" s="83"/>
      <c r="S314" s="83"/>
      <c r="T314" s="83"/>
    </row>
    <row r="315" spans="1:20" ht="12" customHeight="1">
      <c r="A315" s="290">
        <v>311</v>
      </c>
      <c r="B315" s="151" t="s">
        <v>355</v>
      </c>
      <c r="C315" s="171">
        <v>40123</v>
      </c>
      <c r="D315" s="155" t="s">
        <v>423</v>
      </c>
      <c r="E315" s="156">
        <v>58</v>
      </c>
      <c r="F315" s="156">
        <v>2</v>
      </c>
      <c r="G315" s="156">
        <v>15</v>
      </c>
      <c r="H315" s="157">
        <v>303</v>
      </c>
      <c r="I315" s="158">
        <v>50</v>
      </c>
      <c r="J315" s="129">
        <f t="shared" si="23"/>
        <v>25</v>
      </c>
      <c r="K315" s="130">
        <f t="shared" si="24"/>
        <v>6.06</v>
      </c>
      <c r="L315" s="154">
        <v>476780.75</v>
      </c>
      <c r="M315" s="153">
        <v>46079</v>
      </c>
      <c r="N315" s="133">
        <f t="shared" si="25"/>
        <v>10.34702901538662</v>
      </c>
      <c r="O315" s="148"/>
      <c r="P315" s="334"/>
      <c r="Q315" s="83"/>
      <c r="R315" s="83"/>
      <c r="S315" s="83"/>
      <c r="T315" s="83"/>
    </row>
    <row r="316" spans="1:20" ht="12" customHeight="1">
      <c r="A316" s="290">
        <v>312</v>
      </c>
      <c r="B316" s="151" t="s">
        <v>355</v>
      </c>
      <c r="C316" s="139">
        <v>40123</v>
      </c>
      <c r="D316" s="125" t="s">
        <v>449</v>
      </c>
      <c r="E316" s="146">
        <v>58</v>
      </c>
      <c r="F316" s="146">
        <v>1</v>
      </c>
      <c r="G316" s="146">
        <v>21</v>
      </c>
      <c r="H316" s="150">
        <v>276</v>
      </c>
      <c r="I316" s="152">
        <v>46</v>
      </c>
      <c r="J316" s="129">
        <f t="shared" si="23"/>
        <v>46</v>
      </c>
      <c r="K316" s="130">
        <f t="shared" si="24"/>
        <v>6</v>
      </c>
      <c r="L316" s="154">
        <v>479288.75</v>
      </c>
      <c r="M316" s="153">
        <v>46548</v>
      </c>
      <c r="N316" s="133">
        <f t="shared" si="25"/>
        <v>10.2966561398986</v>
      </c>
      <c r="O316" s="148"/>
      <c r="P316" s="334">
        <v>1</v>
      </c>
      <c r="Q316" s="83"/>
      <c r="R316" s="83"/>
      <c r="S316" s="83"/>
      <c r="T316" s="83"/>
    </row>
    <row r="317" spans="1:20" ht="12" customHeight="1">
      <c r="A317" s="290">
        <v>313</v>
      </c>
      <c r="B317" s="123" t="s">
        <v>355</v>
      </c>
      <c r="C317" s="139">
        <v>40123</v>
      </c>
      <c r="D317" s="125" t="s">
        <v>449</v>
      </c>
      <c r="E317" s="146">
        <v>58</v>
      </c>
      <c r="F317" s="146">
        <v>1</v>
      </c>
      <c r="G317" s="146">
        <v>20</v>
      </c>
      <c r="H317" s="141">
        <v>252</v>
      </c>
      <c r="I317" s="142">
        <v>42</v>
      </c>
      <c r="J317" s="129">
        <f t="shared" si="23"/>
        <v>42</v>
      </c>
      <c r="K317" s="130">
        <f t="shared" si="24"/>
        <v>6</v>
      </c>
      <c r="L317" s="144">
        <v>479012.75</v>
      </c>
      <c r="M317" s="143">
        <v>46502</v>
      </c>
      <c r="N317" s="133">
        <f t="shared" si="25"/>
        <v>10.300906412627414</v>
      </c>
      <c r="O317" s="148"/>
      <c r="P317" s="334"/>
      <c r="Q317" s="83"/>
      <c r="R317" s="83"/>
      <c r="S317" s="83"/>
      <c r="T317" s="83"/>
    </row>
    <row r="318" spans="1:20" ht="12" customHeight="1">
      <c r="A318" s="290">
        <v>314</v>
      </c>
      <c r="B318" s="182" t="s">
        <v>355</v>
      </c>
      <c r="C318" s="124">
        <v>40123</v>
      </c>
      <c r="D318" s="155" t="s">
        <v>449</v>
      </c>
      <c r="E318" s="126">
        <v>58</v>
      </c>
      <c r="F318" s="126">
        <v>1</v>
      </c>
      <c r="G318" s="126">
        <v>19</v>
      </c>
      <c r="H318" s="162">
        <v>122</v>
      </c>
      <c r="I318" s="165">
        <v>20</v>
      </c>
      <c r="J318" s="129">
        <f t="shared" si="23"/>
        <v>20</v>
      </c>
      <c r="K318" s="130">
        <f t="shared" si="24"/>
        <v>6.1</v>
      </c>
      <c r="L318" s="164">
        <v>478760.75</v>
      </c>
      <c r="M318" s="153">
        <v>46460</v>
      </c>
      <c r="N318" s="133">
        <f t="shared" si="25"/>
        <v>10.304794446835988</v>
      </c>
      <c r="O318" s="109">
        <v>1</v>
      </c>
      <c r="P318" s="334"/>
      <c r="Q318" s="83"/>
      <c r="R318" s="83"/>
      <c r="S318" s="83"/>
      <c r="T318" s="83"/>
    </row>
    <row r="319" spans="1:20" ht="12" customHeight="1">
      <c r="A319" s="290">
        <v>315</v>
      </c>
      <c r="B319" s="123" t="s">
        <v>355</v>
      </c>
      <c r="C319" s="139">
        <v>40123</v>
      </c>
      <c r="D319" s="125" t="s">
        <v>449</v>
      </c>
      <c r="E319" s="146">
        <v>58</v>
      </c>
      <c r="F319" s="146">
        <v>1</v>
      </c>
      <c r="G319" s="146">
        <v>22</v>
      </c>
      <c r="H319" s="141">
        <v>120</v>
      </c>
      <c r="I319" s="142">
        <v>20</v>
      </c>
      <c r="J319" s="129">
        <f t="shared" si="23"/>
        <v>20</v>
      </c>
      <c r="K319" s="130">
        <f t="shared" si="24"/>
        <v>6</v>
      </c>
      <c r="L319" s="144">
        <f>479288.75+H319</f>
        <v>479408.75</v>
      </c>
      <c r="M319" s="143">
        <f>46548+I319</f>
        <v>46568</v>
      </c>
      <c r="N319" s="133">
        <f t="shared" si="25"/>
        <v>10.294810814293077</v>
      </c>
      <c r="O319" s="354">
        <v>1</v>
      </c>
      <c r="P319" s="334"/>
      <c r="Q319" s="83"/>
      <c r="R319" s="83"/>
      <c r="S319" s="83"/>
      <c r="T319" s="83"/>
    </row>
    <row r="320" spans="1:20" ht="12" customHeight="1">
      <c r="A320" s="290">
        <v>316</v>
      </c>
      <c r="B320" s="123" t="s">
        <v>355</v>
      </c>
      <c r="C320" s="124">
        <v>40123</v>
      </c>
      <c r="D320" s="125" t="s">
        <v>449</v>
      </c>
      <c r="E320" s="126">
        <v>58</v>
      </c>
      <c r="F320" s="126">
        <v>1</v>
      </c>
      <c r="G320" s="126">
        <v>18</v>
      </c>
      <c r="H320" s="127">
        <v>80</v>
      </c>
      <c r="I320" s="128">
        <v>13</v>
      </c>
      <c r="J320" s="129">
        <f t="shared" si="23"/>
        <v>13</v>
      </c>
      <c r="K320" s="130">
        <f t="shared" si="24"/>
        <v>6.153846153846154</v>
      </c>
      <c r="L320" s="131">
        <v>478638.75</v>
      </c>
      <c r="M320" s="132">
        <v>46440</v>
      </c>
      <c r="N320" s="133">
        <f t="shared" si="25"/>
        <v>10.306605297157622</v>
      </c>
      <c r="O320" s="149">
        <v>1</v>
      </c>
      <c r="P320" s="334"/>
      <c r="Q320" s="83"/>
      <c r="R320" s="83"/>
      <c r="S320" s="83"/>
      <c r="T320" s="83"/>
    </row>
    <row r="321" spans="1:20" ht="12" customHeight="1">
      <c r="A321" s="290">
        <v>317</v>
      </c>
      <c r="B321" s="508" t="s">
        <v>458</v>
      </c>
      <c r="C321" s="492">
        <v>39696</v>
      </c>
      <c r="D321" s="485" t="s">
        <v>337</v>
      </c>
      <c r="E321" s="493">
        <v>75</v>
      </c>
      <c r="F321" s="493">
        <v>1</v>
      </c>
      <c r="G321" s="493">
        <v>14</v>
      </c>
      <c r="H321" s="494">
        <v>3837</v>
      </c>
      <c r="I321" s="495">
        <v>640</v>
      </c>
      <c r="J321" s="435">
        <f>IF(H321&lt;&gt;0,I321/F321,"")</f>
        <v>640</v>
      </c>
      <c r="K321" s="436">
        <f>IF(H321&lt;&gt;0,H321/I321,"")</f>
        <v>5.9953125</v>
      </c>
      <c r="L321" s="496">
        <f>86230.5+60757+25197.5+7924+1147+850+226+56+3673+3630+2100+3603+3603+3837</f>
        <v>202834</v>
      </c>
      <c r="M321" s="497">
        <f>10350+7537+3961+1406+201+213+26+9+924+1210+350+721+721+640</f>
        <v>28269</v>
      </c>
      <c r="N321" s="450">
        <f>IF(L321&lt;&gt;0,L321/M321,"")</f>
        <v>7.175138844670841</v>
      </c>
      <c r="O321" s="109">
        <v>1</v>
      </c>
      <c r="P321" s="334"/>
      <c r="Q321" s="83"/>
      <c r="R321" s="83"/>
      <c r="S321" s="83"/>
      <c r="T321" s="83"/>
    </row>
    <row r="322" spans="1:20" ht="12" customHeight="1">
      <c r="A322" s="290">
        <v>318</v>
      </c>
      <c r="B322" s="449" t="s">
        <v>380</v>
      </c>
      <c r="C322" s="440">
        <v>39472</v>
      </c>
      <c r="D322" s="485" t="s">
        <v>337</v>
      </c>
      <c r="E322" s="486">
        <v>59</v>
      </c>
      <c r="F322" s="486">
        <v>1</v>
      </c>
      <c r="G322" s="486">
        <v>40</v>
      </c>
      <c r="H322" s="487">
        <v>3598</v>
      </c>
      <c r="I322" s="488">
        <v>600</v>
      </c>
      <c r="J322" s="577">
        <f aca="true" t="shared" si="26" ref="J322:J353">I322/F322</f>
        <v>600</v>
      </c>
      <c r="K322" s="578">
        <f aca="true" t="shared" si="27" ref="K322:K353">H322/I322</f>
        <v>5.996666666666667</v>
      </c>
      <c r="L322" s="491">
        <f>395290.5+262822+75939+23709.5+4083+1327+9321+1445+1267+2173+4575+201+1748+3343+728+28+948+1329+163+182+173+15521.5+171+40+110+75+183.5+127+124.5+1976+312+180+12+2398+1799+1799+1799+3598</f>
        <v>821020.5</v>
      </c>
      <c r="M322" s="438">
        <f>47426+32442+9866+4010+887+225+2185+263+226+460+1077+33+367+887+230+4+139+355+32+35+32+3859+49+8+22+15+68+46+45+659+52+30+2+399+300+300+300+600</f>
        <v>107935</v>
      </c>
      <c r="N322" s="595">
        <f>+L322/M322</f>
        <v>7.606619724834391</v>
      </c>
      <c r="O322" s="108"/>
      <c r="P322" s="561"/>
      <c r="Q322" s="83"/>
      <c r="R322" s="83"/>
      <c r="S322" s="83"/>
      <c r="T322" s="83"/>
    </row>
    <row r="323" spans="1:20" ht="12" customHeight="1">
      <c r="A323" s="290">
        <v>319</v>
      </c>
      <c r="B323" s="182" t="s">
        <v>380</v>
      </c>
      <c r="C323" s="139">
        <v>39472</v>
      </c>
      <c r="D323" s="145" t="s">
        <v>353</v>
      </c>
      <c r="E323" s="156">
        <v>59</v>
      </c>
      <c r="F323" s="156">
        <v>1</v>
      </c>
      <c r="G323" s="156">
        <v>36</v>
      </c>
      <c r="H323" s="157">
        <v>2398</v>
      </c>
      <c r="I323" s="158">
        <v>399</v>
      </c>
      <c r="J323" s="129">
        <f t="shared" si="26"/>
        <v>399</v>
      </c>
      <c r="K323" s="130">
        <f t="shared" si="27"/>
        <v>6.010025062656641</v>
      </c>
      <c r="L323" s="154">
        <f>395290.5+262822+75939+23709.5+4083+1327+9321+1445+1267+2173+4575+201+1748+3343+728+28+948+1329+163+182+173+15521.5+171+40+110+75+183.5+127+124.5+1976+312+180+12+2398</f>
        <v>812025.5</v>
      </c>
      <c r="M323" s="153">
        <f>47426+32442+9866+4010+887+225+2185+263+226+460+1077+33+367+887+230+4+139+355+32+35+32+3859+49+8+22+15+68+46+45+659+52+30+2+399</f>
        <v>106435</v>
      </c>
      <c r="N323" s="133">
        <f>+L323/M323</f>
        <v>7.62930896791469</v>
      </c>
      <c r="O323" s="149">
        <v>1</v>
      </c>
      <c r="P323" s="334"/>
      <c r="Q323" s="83"/>
      <c r="R323" s="83"/>
      <c r="S323" s="83"/>
      <c r="T323" s="83"/>
    </row>
    <row r="324" spans="1:20" ht="12" customHeight="1">
      <c r="A324" s="290">
        <v>320</v>
      </c>
      <c r="B324" s="506" t="s">
        <v>380</v>
      </c>
      <c r="C324" s="440">
        <v>39472</v>
      </c>
      <c r="D324" s="485" t="s">
        <v>337</v>
      </c>
      <c r="E324" s="486">
        <v>59</v>
      </c>
      <c r="F324" s="486">
        <v>1</v>
      </c>
      <c r="G324" s="486">
        <v>39</v>
      </c>
      <c r="H324" s="487">
        <v>1799</v>
      </c>
      <c r="I324" s="488">
        <v>300</v>
      </c>
      <c r="J324" s="489">
        <f t="shared" si="26"/>
        <v>300</v>
      </c>
      <c r="K324" s="490">
        <f t="shared" si="27"/>
        <v>5.996666666666667</v>
      </c>
      <c r="L324" s="491">
        <f>395290.5+262822+75939+23709.5+4083+1327+9321+1445+1267+2173+4575+201+1748+3343+728+28+948+1329+163+182+173+15521.5+171+40+110+75+183.5+127+124.5+1976+312+180+12+2398+1799+1799+1799</f>
        <v>817422.5</v>
      </c>
      <c r="M324" s="438">
        <f>47426+32442+9866+4010+887+225+2185+263+226+460+1077+33+367+887+230+4+139+355+32+35+32+3859+49+8+22+15+68+46+45+659+52+30+2+399+300+300+300</f>
        <v>107335</v>
      </c>
      <c r="N324" s="450">
        <f>IF(L324&lt;&gt;0,L324/M324,"")</f>
        <v>7.615619322681325</v>
      </c>
      <c r="O324" s="109"/>
      <c r="P324" s="334"/>
      <c r="Q324" s="83"/>
      <c r="R324" s="83"/>
      <c r="S324" s="83"/>
      <c r="T324" s="83"/>
    </row>
    <row r="325" spans="1:20" ht="12" customHeight="1">
      <c r="A325" s="290">
        <v>321</v>
      </c>
      <c r="B325" s="123" t="s">
        <v>380</v>
      </c>
      <c r="C325" s="139">
        <v>39472</v>
      </c>
      <c r="D325" s="125" t="s">
        <v>337</v>
      </c>
      <c r="E325" s="146">
        <v>59</v>
      </c>
      <c r="F325" s="146">
        <v>1</v>
      </c>
      <c r="G325" s="146">
        <v>38</v>
      </c>
      <c r="H325" s="141">
        <v>1799</v>
      </c>
      <c r="I325" s="142">
        <v>300</v>
      </c>
      <c r="J325" s="129">
        <f t="shared" si="26"/>
        <v>300</v>
      </c>
      <c r="K325" s="130">
        <f t="shared" si="27"/>
        <v>5.996666666666667</v>
      </c>
      <c r="L325" s="144">
        <f>395290.5+262822+75939+23709.5+4083+1327+9321+1445+1267+2173+4575+201+1748+3343+728+28+948+1329+163+182+173+15521.5+171+40+110+75+183.5+127+124.5+1976+312+180+12+2398+1799+1799</f>
        <v>815623.5</v>
      </c>
      <c r="M325" s="143">
        <f>47426+32442+9866+4010+887+225+2185+263+226+460+1077+33+367+887+230+4+139+355+32+35+32+3859+49+8+22+15+68+46+45+659+52+30+2+399+300+300</f>
        <v>107035</v>
      </c>
      <c r="N325" s="133">
        <f aca="true" t="shared" si="28" ref="N325:N356">+L325/M325</f>
        <v>7.620156958004391</v>
      </c>
      <c r="O325" s="149">
        <v>1</v>
      </c>
      <c r="P325" s="334"/>
      <c r="Q325" s="83"/>
      <c r="R325" s="83"/>
      <c r="S325" s="83"/>
      <c r="T325" s="83"/>
    </row>
    <row r="326" spans="1:20" ht="12" customHeight="1">
      <c r="A326" s="290">
        <v>322</v>
      </c>
      <c r="B326" s="123" t="s">
        <v>380</v>
      </c>
      <c r="C326" s="139">
        <v>39472</v>
      </c>
      <c r="D326" s="145" t="s">
        <v>337</v>
      </c>
      <c r="E326" s="146">
        <v>59</v>
      </c>
      <c r="F326" s="146">
        <v>1</v>
      </c>
      <c r="G326" s="146">
        <v>37</v>
      </c>
      <c r="H326" s="137">
        <v>1799</v>
      </c>
      <c r="I326" s="135">
        <v>300</v>
      </c>
      <c r="J326" s="129">
        <f t="shared" si="26"/>
        <v>300</v>
      </c>
      <c r="K326" s="130">
        <f t="shared" si="27"/>
        <v>5.996666666666667</v>
      </c>
      <c r="L326" s="144">
        <f>395290.5+262822+75939+23709.5+4083+1327+9321+1445+1267+2173+4575+201+1748+3343+728+28+948+1329+163+182+173+15521.5+171+40+110+75+183.5+127+124.5+1976+312+180+12+2398+1799</f>
        <v>813824.5</v>
      </c>
      <c r="M326" s="143">
        <f>47426+32442+9866+4010+887+225+2185+263+226+460+1077+33+367+887+230+4+139+355+32+35+32+3859+49+8+22+15+68+46+45+659+52+30+2+399+300</f>
        <v>106735</v>
      </c>
      <c r="N326" s="133">
        <f t="shared" si="28"/>
        <v>7.624720101185178</v>
      </c>
      <c r="O326" s="170">
        <v>1</v>
      </c>
      <c r="P326" s="334"/>
      <c r="Q326" s="83"/>
      <c r="R326" s="83"/>
      <c r="S326" s="83"/>
      <c r="T326" s="83"/>
    </row>
    <row r="327" spans="1:20" ht="12" customHeight="1">
      <c r="A327" s="290">
        <v>323</v>
      </c>
      <c r="B327" s="151" t="s">
        <v>218</v>
      </c>
      <c r="C327" s="139">
        <v>40151</v>
      </c>
      <c r="D327" s="145" t="s">
        <v>326</v>
      </c>
      <c r="E327" s="146">
        <v>8</v>
      </c>
      <c r="F327" s="146">
        <v>7</v>
      </c>
      <c r="G327" s="146">
        <v>6</v>
      </c>
      <c r="H327" s="127">
        <v>4958.5</v>
      </c>
      <c r="I327" s="128">
        <v>693</v>
      </c>
      <c r="J327" s="129">
        <f t="shared" si="26"/>
        <v>99</v>
      </c>
      <c r="K327" s="130">
        <f t="shared" si="27"/>
        <v>7.155122655122655</v>
      </c>
      <c r="L327" s="131">
        <f>69195.5+29540+2797+8009+1473.5+4958.5</f>
        <v>115973.5</v>
      </c>
      <c r="M327" s="132">
        <f>5170+2208+292+904+296+693</f>
        <v>9563</v>
      </c>
      <c r="N327" s="133">
        <f t="shared" si="28"/>
        <v>12.127313604517411</v>
      </c>
      <c r="O327" s="159">
        <v>1</v>
      </c>
      <c r="P327" s="334"/>
      <c r="Q327" s="83"/>
      <c r="R327" s="83"/>
      <c r="S327" s="83"/>
      <c r="T327" s="83"/>
    </row>
    <row r="328" spans="1:20" ht="12" customHeight="1">
      <c r="A328" s="290">
        <v>324</v>
      </c>
      <c r="B328" s="167" t="s">
        <v>218</v>
      </c>
      <c r="C328" s="168">
        <v>40151</v>
      </c>
      <c r="D328" s="145" t="s">
        <v>326</v>
      </c>
      <c r="E328" s="169">
        <v>8</v>
      </c>
      <c r="F328" s="169">
        <v>6</v>
      </c>
      <c r="G328" s="169">
        <v>7</v>
      </c>
      <c r="H328" s="127">
        <v>4691.5</v>
      </c>
      <c r="I328" s="135">
        <v>949</v>
      </c>
      <c r="J328" s="129">
        <f t="shared" si="26"/>
        <v>158.16666666666666</v>
      </c>
      <c r="K328" s="130">
        <f t="shared" si="27"/>
        <v>4.943624868282402</v>
      </c>
      <c r="L328" s="131">
        <f>69195.5+29540+2797+8009+1473.5+4958.5+4691.5</f>
        <v>120665</v>
      </c>
      <c r="M328" s="136">
        <f>5170+2208+292+904+296+693+949</f>
        <v>10512</v>
      </c>
      <c r="N328" s="133">
        <f t="shared" si="28"/>
        <v>11.478786149162861</v>
      </c>
      <c r="O328" s="108"/>
      <c r="P328" s="334"/>
      <c r="Q328" s="83"/>
      <c r="R328" s="83"/>
      <c r="S328" s="83"/>
      <c r="T328" s="83"/>
    </row>
    <row r="329" spans="1:20" ht="12" customHeight="1">
      <c r="A329" s="290">
        <v>325</v>
      </c>
      <c r="B329" s="151" t="s">
        <v>218</v>
      </c>
      <c r="C329" s="139">
        <v>40151</v>
      </c>
      <c r="D329" s="145" t="s">
        <v>326</v>
      </c>
      <c r="E329" s="146">
        <v>8</v>
      </c>
      <c r="F329" s="146">
        <v>4</v>
      </c>
      <c r="G329" s="146">
        <v>10</v>
      </c>
      <c r="H329" s="141">
        <v>3228</v>
      </c>
      <c r="I329" s="142">
        <v>613</v>
      </c>
      <c r="J329" s="129">
        <f t="shared" si="26"/>
        <v>153.25</v>
      </c>
      <c r="K329" s="130">
        <f t="shared" si="27"/>
        <v>5.265905383360522</v>
      </c>
      <c r="L329" s="144">
        <f>69195.5+29540+2797+8009+1473.5+4958.5+4691.5+45+762+3228</f>
        <v>124700</v>
      </c>
      <c r="M329" s="143">
        <f>5170+2208+292+904+296+693+949+9+122+613</f>
        <v>11256</v>
      </c>
      <c r="N329" s="133">
        <f t="shared" si="28"/>
        <v>11.078535891968729</v>
      </c>
      <c r="O329" s="147"/>
      <c r="P329" s="334"/>
      <c r="Q329" s="83"/>
      <c r="R329" s="83"/>
      <c r="S329" s="83"/>
      <c r="T329" s="83"/>
    </row>
    <row r="330" spans="1:20" ht="12" customHeight="1">
      <c r="A330" s="290">
        <v>326</v>
      </c>
      <c r="B330" s="123" t="s">
        <v>218</v>
      </c>
      <c r="C330" s="124">
        <v>40151</v>
      </c>
      <c r="D330" s="145" t="s">
        <v>326</v>
      </c>
      <c r="E330" s="126">
        <v>8</v>
      </c>
      <c r="F330" s="126">
        <v>1</v>
      </c>
      <c r="G330" s="126">
        <v>11</v>
      </c>
      <c r="H330" s="127">
        <v>1780</v>
      </c>
      <c r="I330" s="135">
        <v>445</v>
      </c>
      <c r="J330" s="129">
        <f t="shared" si="26"/>
        <v>445</v>
      </c>
      <c r="K330" s="130">
        <f t="shared" si="27"/>
        <v>4</v>
      </c>
      <c r="L330" s="131">
        <f>69195.5+29540+2797+8009+1473.5+4958.5+4691.5+45+762+3228+1780</f>
        <v>126480</v>
      </c>
      <c r="M330" s="136">
        <f>5170+2208+292+904+296+693+949+9+122+613+445</f>
        <v>11701</v>
      </c>
      <c r="N330" s="133">
        <f t="shared" si="28"/>
        <v>10.809332535680712</v>
      </c>
      <c r="O330" s="149"/>
      <c r="P330" s="334"/>
      <c r="Q330" s="83"/>
      <c r="R330" s="83"/>
      <c r="S330" s="83"/>
      <c r="T330" s="83"/>
    </row>
    <row r="331" spans="1:20" ht="12" customHeight="1">
      <c r="A331" s="290">
        <v>327</v>
      </c>
      <c r="B331" s="123" t="s">
        <v>218</v>
      </c>
      <c r="C331" s="124">
        <v>40151</v>
      </c>
      <c r="D331" s="145" t="s">
        <v>326</v>
      </c>
      <c r="E331" s="126">
        <v>8</v>
      </c>
      <c r="F331" s="126">
        <v>1</v>
      </c>
      <c r="G331" s="126">
        <v>12</v>
      </c>
      <c r="H331" s="127">
        <v>1780</v>
      </c>
      <c r="I331" s="128">
        <v>445</v>
      </c>
      <c r="J331" s="129">
        <f t="shared" si="26"/>
        <v>445</v>
      </c>
      <c r="K331" s="130">
        <f t="shared" si="27"/>
        <v>4</v>
      </c>
      <c r="L331" s="131">
        <f>69195.5+29540+2797+8009+1473.5+4958.5+4691.5+45+762+3228+1780+1780</f>
        <v>128260</v>
      </c>
      <c r="M331" s="132">
        <f>5170+2208+292+904+296+693+949+9+122+613+445+445</f>
        <v>12146</v>
      </c>
      <c r="N331" s="133">
        <f t="shared" si="28"/>
        <v>10.55985509632801</v>
      </c>
      <c r="O331" s="149"/>
      <c r="P331" s="334"/>
      <c r="Q331" s="83"/>
      <c r="R331" s="83"/>
      <c r="S331" s="83"/>
      <c r="T331" s="83"/>
    </row>
    <row r="332" spans="1:20" ht="12" customHeight="1">
      <c r="A332" s="290">
        <v>328</v>
      </c>
      <c r="B332" s="123" t="s">
        <v>218</v>
      </c>
      <c r="C332" s="139">
        <v>40151</v>
      </c>
      <c r="D332" s="145" t="s">
        <v>326</v>
      </c>
      <c r="E332" s="156">
        <v>8</v>
      </c>
      <c r="F332" s="156">
        <v>2</v>
      </c>
      <c r="G332" s="156">
        <v>13</v>
      </c>
      <c r="H332" s="157">
        <v>1567.5</v>
      </c>
      <c r="I332" s="158">
        <v>190</v>
      </c>
      <c r="J332" s="129">
        <f t="shared" si="26"/>
        <v>95</v>
      </c>
      <c r="K332" s="130">
        <f t="shared" si="27"/>
        <v>8.25</v>
      </c>
      <c r="L332" s="154">
        <f>69195.5+29540+2797+8009+1473.5+4958.5+4691.5+45+762+3228+1780+1780+1567.5</f>
        <v>129827.5</v>
      </c>
      <c r="M332" s="153">
        <f>5170+2208+292+904+296+693+949+9+122+613+445+445+190</f>
        <v>12336</v>
      </c>
      <c r="N332" s="133">
        <f t="shared" si="28"/>
        <v>10.524278534370946</v>
      </c>
      <c r="O332" s="181"/>
      <c r="P332" s="334"/>
      <c r="Q332" s="83"/>
      <c r="R332" s="83"/>
      <c r="S332" s="83"/>
      <c r="T332" s="83"/>
    </row>
    <row r="333" spans="1:20" ht="12" customHeight="1">
      <c r="A333" s="290">
        <v>329</v>
      </c>
      <c r="B333" s="151" t="s">
        <v>218</v>
      </c>
      <c r="C333" s="139">
        <v>40151</v>
      </c>
      <c r="D333" s="145" t="s">
        <v>326</v>
      </c>
      <c r="E333" s="146">
        <v>8</v>
      </c>
      <c r="F333" s="146">
        <v>3</v>
      </c>
      <c r="G333" s="146">
        <v>5</v>
      </c>
      <c r="H333" s="127">
        <v>1473.5</v>
      </c>
      <c r="I333" s="128">
        <v>296</v>
      </c>
      <c r="J333" s="129">
        <f t="shared" si="26"/>
        <v>98.66666666666667</v>
      </c>
      <c r="K333" s="130">
        <f t="shared" si="27"/>
        <v>4.97804054054054</v>
      </c>
      <c r="L333" s="131">
        <f>69195.5+29540+2797+8009+1473.5</f>
        <v>111015</v>
      </c>
      <c r="M333" s="132">
        <f>5170+2208+292+904+296</f>
        <v>8870</v>
      </c>
      <c r="N333" s="133">
        <f t="shared" si="28"/>
        <v>12.515783540022548</v>
      </c>
      <c r="O333" s="149"/>
      <c r="P333" s="334"/>
      <c r="Q333" s="83"/>
      <c r="R333" s="83"/>
      <c r="S333" s="83"/>
      <c r="T333" s="83"/>
    </row>
    <row r="334" spans="1:20" ht="12" customHeight="1">
      <c r="A334" s="290">
        <v>330</v>
      </c>
      <c r="B334" s="167" t="s">
        <v>218</v>
      </c>
      <c r="C334" s="168">
        <v>40151</v>
      </c>
      <c r="D334" s="145" t="s">
        <v>326</v>
      </c>
      <c r="E334" s="169">
        <v>8</v>
      </c>
      <c r="F334" s="169">
        <v>2</v>
      </c>
      <c r="G334" s="169">
        <v>9</v>
      </c>
      <c r="H334" s="137">
        <v>738</v>
      </c>
      <c r="I334" s="135">
        <v>114</v>
      </c>
      <c r="J334" s="129">
        <f t="shared" si="26"/>
        <v>57</v>
      </c>
      <c r="K334" s="130">
        <f t="shared" si="27"/>
        <v>6.473684210526316</v>
      </c>
      <c r="L334" s="138">
        <f>69195.5+29540+2797+8009+1473.5+4958.5+4691.5+45+738</f>
        <v>121448</v>
      </c>
      <c r="M334" s="136">
        <f>5170+2208+292+904+296+693+949+9+114</f>
        <v>10635</v>
      </c>
      <c r="N334" s="133">
        <f t="shared" si="28"/>
        <v>11.419652092148565</v>
      </c>
      <c r="O334" s="108"/>
      <c r="P334" s="334"/>
      <c r="Q334" s="83"/>
      <c r="R334" s="83"/>
      <c r="S334" s="83"/>
      <c r="T334" s="83"/>
    </row>
    <row r="335" spans="1:20" ht="12" customHeight="1">
      <c r="A335" s="290">
        <v>331</v>
      </c>
      <c r="B335" s="183" t="s">
        <v>218</v>
      </c>
      <c r="C335" s="139">
        <v>40151</v>
      </c>
      <c r="D335" s="145" t="s">
        <v>326</v>
      </c>
      <c r="E335" s="146">
        <v>8</v>
      </c>
      <c r="F335" s="146">
        <v>1</v>
      </c>
      <c r="G335" s="146">
        <v>15</v>
      </c>
      <c r="H335" s="137">
        <v>496</v>
      </c>
      <c r="I335" s="135">
        <v>75</v>
      </c>
      <c r="J335" s="129">
        <f t="shared" si="26"/>
        <v>75</v>
      </c>
      <c r="K335" s="130">
        <f t="shared" si="27"/>
        <v>6.613333333333333</v>
      </c>
      <c r="L335" s="138">
        <f>69195.5+29540+2797+8009+1473.5+4958.5+4691.5+45+762+3228+1780+1780+1567.5+183+496</f>
        <v>130506.5</v>
      </c>
      <c r="M335" s="136">
        <f>5170+2208+292+904+296+693+949+9+122+613+445+445+190+30+75</f>
        <v>12441</v>
      </c>
      <c r="N335" s="133">
        <f t="shared" si="28"/>
        <v>10.490032955550197</v>
      </c>
      <c r="O335" s="149"/>
      <c r="P335" s="334"/>
      <c r="Q335" s="83"/>
      <c r="R335" s="83"/>
      <c r="S335" s="83"/>
      <c r="T335" s="83"/>
    </row>
    <row r="336" spans="1:20" ht="12" customHeight="1">
      <c r="A336" s="290">
        <v>332</v>
      </c>
      <c r="B336" s="123" t="s">
        <v>218</v>
      </c>
      <c r="C336" s="139">
        <v>40151</v>
      </c>
      <c r="D336" s="145" t="s">
        <v>326</v>
      </c>
      <c r="E336" s="156">
        <v>8</v>
      </c>
      <c r="F336" s="156">
        <v>1</v>
      </c>
      <c r="G336" s="156">
        <v>14</v>
      </c>
      <c r="H336" s="157">
        <v>183</v>
      </c>
      <c r="I336" s="184">
        <v>30</v>
      </c>
      <c r="J336" s="129">
        <f t="shared" si="26"/>
        <v>30</v>
      </c>
      <c r="K336" s="130">
        <f t="shared" si="27"/>
        <v>6.1</v>
      </c>
      <c r="L336" s="144">
        <f>69195.5+29540+2797+8009+1473.5+4958.5+4691.5+45+762+3228+1780+1780+1567.5+183</f>
        <v>130010.5</v>
      </c>
      <c r="M336" s="143">
        <f>5170+2208+292+904+296+693+949+9+122+613+445+445+190+30</f>
        <v>12366</v>
      </c>
      <c r="N336" s="133">
        <f t="shared" si="28"/>
        <v>10.513545204593239</v>
      </c>
      <c r="O336" s="350"/>
      <c r="P336" s="334"/>
      <c r="Q336" s="83"/>
      <c r="R336" s="83"/>
      <c r="S336" s="83"/>
      <c r="T336" s="83"/>
    </row>
    <row r="337" spans="1:20" ht="12" customHeight="1">
      <c r="A337" s="290">
        <v>333</v>
      </c>
      <c r="B337" s="151" t="s">
        <v>218</v>
      </c>
      <c r="C337" s="139">
        <v>40151</v>
      </c>
      <c r="D337" s="145" t="s">
        <v>326</v>
      </c>
      <c r="E337" s="146">
        <v>8</v>
      </c>
      <c r="F337" s="146">
        <v>1</v>
      </c>
      <c r="G337" s="146">
        <v>8</v>
      </c>
      <c r="H337" s="137">
        <v>45</v>
      </c>
      <c r="I337" s="135">
        <v>9</v>
      </c>
      <c r="J337" s="129">
        <f t="shared" si="26"/>
        <v>9</v>
      </c>
      <c r="K337" s="130">
        <f t="shared" si="27"/>
        <v>5</v>
      </c>
      <c r="L337" s="138">
        <f>69195.5+29540+2797+8009+1473.5+4958.5+4691.5+45</f>
        <v>120710</v>
      </c>
      <c r="M337" s="136">
        <f>5170+2208+292+904+296+693+949+9</f>
        <v>10521</v>
      </c>
      <c r="N337" s="133">
        <f t="shared" si="28"/>
        <v>11.473243988214048</v>
      </c>
      <c r="O337" s="149"/>
      <c r="P337" s="334"/>
      <c r="Q337" s="83"/>
      <c r="R337" s="83"/>
      <c r="S337" s="83"/>
      <c r="T337" s="83"/>
    </row>
    <row r="338" spans="1:20" ht="12" customHeight="1">
      <c r="A338" s="290">
        <v>334</v>
      </c>
      <c r="B338" s="151" t="s">
        <v>243</v>
      </c>
      <c r="C338" s="139">
        <v>40102</v>
      </c>
      <c r="D338" s="194" t="s">
        <v>324</v>
      </c>
      <c r="E338" s="146">
        <v>62</v>
      </c>
      <c r="F338" s="146">
        <v>2</v>
      </c>
      <c r="G338" s="146">
        <v>13</v>
      </c>
      <c r="H338" s="150">
        <v>3422</v>
      </c>
      <c r="I338" s="142">
        <v>491</v>
      </c>
      <c r="J338" s="129">
        <f t="shared" si="26"/>
        <v>245.5</v>
      </c>
      <c r="K338" s="130">
        <f t="shared" si="27"/>
        <v>6.969450101832994</v>
      </c>
      <c r="L338" s="154">
        <v>493437</v>
      </c>
      <c r="M338" s="143">
        <v>56198</v>
      </c>
      <c r="N338" s="133">
        <f t="shared" si="28"/>
        <v>8.780330260863376</v>
      </c>
      <c r="O338" s="108"/>
      <c r="P338" s="334"/>
      <c r="Q338" s="83"/>
      <c r="R338" s="83"/>
      <c r="S338" s="83"/>
      <c r="T338" s="83"/>
    </row>
    <row r="339" spans="1:20" ht="12" customHeight="1">
      <c r="A339" s="290">
        <v>335</v>
      </c>
      <c r="B339" s="151" t="s">
        <v>243</v>
      </c>
      <c r="C339" s="139">
        <v>40102</v>
      </c>
      <c r="D339" s="194" t="s">
        <v>324</v>
      </c>
      <c r="E339" s="146">
        <v>62</v>
      </c>
      <c r="F339" s="146">
        <v>1</v>
      </c>
      <c r="G339" s="146">
        <v>12</v>
      </c>
      <c r="H339" s="150">
        <v>1258</v>
      </c>
      <c r="I339" s="152">
        <v>177</v>
      </c>
      <c r="J339" s="129">
        <f t="shared" si="26"/>
        <v>177</v>
      </c>
      <c r="K339" s="130">
        <f t="shared" si="27"/>
        <v>7.107344632768362</v>
      </c>
      <c r="L339" s="154">
        <v>490015</v>
      </c>
      <c r="M339" s="153">
        <v>55707</v>
      </c>
      <c r="N339" s="133">
        <f t="shared" si="28"/>
        <v>8.796291309889241</v>
      </c>
      <c r="O339" s="159"/>
      <c r="P339" s="334"/>
      <c r="Q339" s="83"/>
      <c r="R339" s="83"/>
      <c r="S339" s="83"/>
      <c r="T339" s="83"/>
    </row>
    <row r="340" spans="1:20" ht="12" customHeight="1">
      <c r="A340" s="290">
        <v>336</v>
      </c>
      <c r="B340" s="151" t="s">
        <v>243</v>
      </c>
      <c r="C340" s="139">
        <v>40102</v>
      </c>
      <c r="D340" s="194" t="s">
        <v>324</v>
      </c>
      <c r="E340" s="146">
        <v>62</v>
      </c>
      <c r="F340" s="146">
        <v>1</v>
      </c>
      <c r="G340" s="146">
        <v>14</v>
      </c>
      <c r="H340" s="141">
        <v>297</v>
      </c>
      <c r="I340" s="142">
        <v>42</v>
      </c>
      <c r="J340" s="129">
        <f t="shared" si="26"/>
        <v>42</v>
      </c>
      <c r="K340" s="130">
        <f t="shared" si="27"/>
        <v>7.071428571428571</v>
      </c>
      <c r="L340" s="144">
        <v>493734</v>
      </c>
      <c r="M340" s="143">
        <v>56240</v>
      </c>
      <c r="N340" s="133">
        <f t="shared" si="28"/>
        <v>8.779054054054054</v>
      </c>
      <c r="O340" s="149"/>
      <c r="P340" s="334"/>
      <c r="Q340" s="83"/>
      <c r="R340" s="83"/>
      <c r="S340" s="83"/>
      <c r="T340" s="83"/>
    </row>
    <row r="341" spans="1:20" ht="12" customHeight="1">
      <c r="A341" s="290">
        <v>337</v>
      </c>
      <c r="B341" s="151" t="s">
        <v>354</v>
      </c>
      <c r="C341" s="139">
        <v>40116</v>
      </c>
      <c r="D341" s="155" t="s">
        <v>353</v>
      </c>
      <c r="E341" s="146">
        <v>24</v>
      </c>
      <c r="F341" s="146">
        <v>2</v>
      </c>
      <c r="G341" s="146">
        <v>9</v>
      </c>
      <c r="H341" s="141">
        <v>865</v>
      </c>
      <c r="I341" s="142">
        <v>152</v>
      </c>
      <c r="J341" s="129">
        <f t="shared" si="26"/>
        <v>76</v>
      </c>
      <c r="K341" s="130">
        <f t="shared" si="27"/>
        <v>5.690789473684211</v>
      </c>
      <c r="L341" s="144">
        <f>87403.25+34862.75+15508.5+2797+944+915+1620+497+865</f>
        <v>145412.5</v>
      </c>
      <c r="M341" s="143">
        <f>14575+405+81+152</f>
        <v>15213</v>
      </c>
      <c r="N341" s="133">
        <f t="shared" si="28"/>
        <v>9.558436863209097</v>
      </c>
      <c r="O341" s="149"/>
      <c r="P341" s="334"/>
      <c r="Q341" s="83"/>
      <c r="R341" s="83"/>
      <c r="S341" s="83"/>
      <c r="T341" s="83"/>
    </row>
    <row r="342" spans="1:20" ht="12" customHeight="1">
      <c r="A342" s="290">
        <v>338</v>
      </c>
      <c r="B342" s="151" t="s">
        <v>354</v>
      </c>
      <c r="C342" s="139">
        <v>40116</v>
      </c>
      <c r="D342" s="140" t="s">
        <v>124</v>
      </c>
      <c r="E342" s="146">
        <v>24</v>
      </c>
      <c r="F342" s="146">
        <v>1</v>
      </c>
      <c r="G342" s="146">
        <v>8</v>
      </c>
      <c r="H342" s="150">
        <v>497</v>
      </c>
      <c r="I342" s="152">
        <v>81</v>
      </c>
      <c r="J342" s="129">
        <f t="shared" si="26"/>
        <v>81</v>
      </c>
      <c r="K342" s="130">
        <f t="shared" si="27"/>
        <v>6.135802469135802</v>
      </c>
      <c r="L342" s="154">
        <f>87403.25+34862.75+15508.5+2797+944+915+1620+497</f>
        <v>144547.5</v>
      </c>
      <c r="M342" s="153">
        <f>14575+405+81</f>
        <v>15061</v>
      </c>
      <c r="N342" s="133">
        <f t="shared" si="28"/>
        <v>9.59747028749751</v>
      </c>
      <c r="O342" s="353"/>
      <c r="P342" s="334"/>
      <c r="Q342" s="83"/>
      <c r="R342" s="83"/>
      <c r="S342" s="83"/>
      <c r="T342" s="83"/>
    </row>
    <row r="343" spans="1:20" ht="12" customHeight="1">
      <c r="A343" s="290">
        <v>339</v>
      </c>
      <c r="B343" s="151" t="s">
        <v>354</v>
      </c>
      <c r="C343" s="139">
        <v>40116</v>
      </c>
      <c r="D343" s="155" t="s">
        <v>353</v>
      </c>
      <c r="E343" s="146">
        <v>24</v>
      </c>
      <c r="F343" s="146">
        <v>1</v>
      </c>
      <c r="G343" s="146">
        <v>10</v>
      </c>
      <c r="H343" s="141">
        <v>439</v>
      </c>
      <c r="I343" s="142">
        <v>83</v>
      </c>
      <c r="J343" s="129">
        <f t="shared" si="26"/>
        <v>83</v>
      </c>
      <c r="K343" s="130">
        <f t="shared" si="27"/>
        <v>5.289156626506024</v>
      </c>
      <c r="L343" s="144">
        <f>87403.25+34862.75+15508.5+2797+944+915+1620+497+865+439</f>
        <v>145851.5</v>
      </c>
      <c r="M343" s="143">
        <f>14575+405+81+152+83</f>
        <v>15296</v>
      </c>
      <c r="N343" s="133">
        <f t="shared" si="28"/>
        <v>9.535270658995817</v>
      </c>
      <c r="O343" s="109"/>
      <c r="P343" s="334"/>
      <c r="Q343" s="83"/>
      <c r="R343" s="83"/>
      <c r="S343" s="83"/>
      <c r="T343" s="83"/>
    </row>
    <row r="344" spans="1:20" ht="12" customHeight="1">
      <c r="A344" s="290">
        <v>340</v>
      </c>
      <c r="B344" s="151" t="s">
        <v>219</v>
      </c>
      <c r="C344" s="139">
        <v>40151</v>
      </c>
      <c r="D344" s="145" t="s">
        <v>326</v>
      </c>
      <c r="E344" s="146">
        <v>2</v>
      </c>
      <c r="F344" s="146">
        <v>2</v>
      </c>
      <c r="G344" s="146">
        <v>5</v>
      </c>
      <c r="H344" s="127">
        <v>2853</v>
      </c>
      <c r="I344" s="128">
        <v>502</v>
      </c>
      <c r="J344" s="129">
        <f t="shared" si="26"/>
        <v>251</v>
      </c>
      <c r="K344" s="130">
        <f t="shared" si="27"/>
        <v>5.683266932270916</v>
      </c>
      <c r="L344" s="131">
        <f>14952+6112+2196+2975+2853</f>
        <v>29088</v>
      </c>
      <c r="M344" s="132">
        <f>1468+666+254+478+502</f>
        <v>3368</v>
      </c>
      <c r="N344" s="133">
        <f t="shared" si="28"/>
        <v>8.636579572446555</v>
      </c>
      <c r="O344" s="149"/>
      <c r="P344" s="334"/>
      <c r="Q344" s="83"/>
      <c r="R344" s="83"/>
      <c r="S344" s="83"/>
      <c r="T344" s="83"/>
    </row>
    <row r="345" spans="1:20" ht="12" customHeight="1">
      <c r="A345" s="290">
        <v>341</v>
      </c>
      <c r="B345" s="182" t="s">
        <v>219</v>
      </c>
      <c r="C345" s="171">
        <v>40151</v>
      </c>
      <c r="D345" s="145" t="s">
        <v>326</v>
      </c>
      <c r="E345" s="156">
        <v>2</v>
      </c>
      <c r="F345" s="156">
        <v>1</v>
      </c>
      <c r="G345" s="156">
        <v>9</v>
      </c>
      <c r="H345" s="157">
        <v>2139</v>
      </c>
      <c r="I345" s="158">
        <v>535</v>
      </c>
      <c r="J345" s="129">
        <f t="shared" si="26"/>
        <v>535</v>
      </c>
      <c r="K345" s="130">
        <f t="shared" si="27"/>
        <v>3.9981308411214953</v>
      </c>
      <c r="L345" s="154">
        <f>14952+6112+2196+2975+2853+674+1006+530+2139</f>
        <v>33437</v>
      </c>
      <c r="M345" s="153">
        <f>1468+666+254+478+502+81+130+107+535</f>
        <v>4221</v>
      </c>
      <c r="N345" s="133">
        <f t="shared" si="28"/>
        <v>7.921582563373608</v>
      </c>
      <c r="O345" s="159"/>
      <c r="P345" s="334"/>
      <c r="Q345" s="83"/>
      <c r="R345" s="83"/>
      <c r="S345" s="83"/>
      <c r="T345" s="83"/>
    </row>
    <row r="346" spans="1:20" ht="12" customHeight="1">
      <c r="A346" s="290">
        <v>342</v>
      </c>
      <c r="B346" s="151" t="s">
        <v>219</v>
      </c>
      <c r="C346" s="139">
        <v>40151</v>
      </c>
      <c r="D346" s="145" t="s">
        <v>326</v>
      </c>
      <c r="E346" s="146">
        <v>2</v>
      </c>
      <c r="F346" s="146">
        <v>2</v>
      </c>
      <c r="G346" s="146">
        <v>6</v>
      </c>
      <c r="H346" s="127">
        <v>674</v>
      </c>
      <c r="I346" s="128">
        <v>81</v>
      </c>
      <c r="J346" s="129">
        <f t="shared" si="26"/>
        <v>40.5</v>
      </c>
      <c r="K346" s="130">
        <f t="shared" si="27"/>
        <v>8.320987654320987</v>
      </c>
      <c r="L346" s="131">
        <f>14952+6112+2196+2975+2853+674</f>
        <v>29762</v>
      </c>
      <c r="M346" s="132">
        <f>1468+666+254+478+502+81</f>
        <v>3449</v>
      </c>
      <c r="N346" s="133">
        <f t="shared" si="28"/>
        <v>8.629167874746303</v>
      </c>
      <c r="O346" s="149"/>
      <c r="P346" s="334"/>
      <c r="Q346" s="83"/>
      <c r="R346" s="83"/>
      <c r="S346" s="83"/>
      <c r="T346" s="83"/>
    </row>
    <row r="347" spans="1:20" ht="12" customHeight="1">
      <c r="A347" s="290">
        <v>343</v>
      </c>
      <c r="B347" s="151" t="s">
        <v>219</v>
      </c>
      <c r="C347" s="139">
        <v>40151</v>
      </c>
      <c r="D347" s="145" t="s">
        <v>326</v>
      </c>
      <c r="E347" s="146">
        <v>2</v>
      </c>
      <c r="F347" s="146">
        <v>1</v>
      </c>
      <c r="G347" s="146">
        <v>8</v>
      </c>
      <c r="H347" s="150">
        <v>530</v>
      </c>
      <c r="I347" s="152">
        <v>107</v>
      </c>
      <c r="J347" s="129">
        <f t="shared" si="26"/>
        <v>107</v>
      </c>
      <c r="K347" s="130">
        <f t="shared" si="27"/>
        <v>4.953271028037383</v>
      </c>
      <c r="L347" s="154">
        <f>14952+6112+2196+2975+2853+674+1006+530</f>
        <v>31298</v>
      </c>
      <c r="M347" s="153">
        <f>1468+666+254+478+502+81+130+107</f>
        <v>3686</v>
      </c>
      <c r="N347" s="133">
        <f t="shared" si="28"/>
        <v>8.491047205642973</v>
      </c>
      <c r="O347" s="108"/>
      <c r="P347" s="334"/>
      <c r="Q347" s="83"/>
      <c r="R347" s="83"/>
      <c r="S347" s="83"/>
      <c r="T347" s="83"/>
    </row>
    <row r="348" spans="1:20" ht="12" customHeight="1">
      <c r="A348" s="290">
        <v>344</v>
      </c>
      <c r="B348" s="182" t="s">
        <v>381</v>
      </c>
      <c r="C348" s="139">
        <v>39710</v>
      </c>
      <c r="D348" s="145" t="s">
        <v>353</v>
      </c>
      <c r="E348" s="156">
        <v>65</v>
      </c>
      <c r="F348" s="156">
        <v>1</v>
      </c>
      <c r="G348" s="156">
        <v>28</v>
      </c>
      <c r="H348" s="157">
        <v>1922</v>
      </c>
      <c r="I348" s="158">
        <v>384</v>
      </c>
      <c r="J348" s="129">
        <f t="shared" si="26"/>
        <v>384</v>
      </c>
      <c r="K348" s="130">
        <f t="shared" si="27"/>
        <v>5.005208333333333</v>
      </c>
      <c r="L348" s="154">
        <f>152576+127511+68854.5+21974+10111.5+7103+7290+0.5+1014+3149+989+3524+0.5+3768+138+2528+257+351.5+573.5+184+3655+10+15+10+210+156+3603+3603+1922</f>
        <v>425081</v>
      </c>
      <c r="M348" s="153">
        <f>50018+825+47+65+137+67+1215+2+3+2+35+26+721+720+384</f>
        <v>54267</v>
      </c>
      <c r="N348" s="133">
        <f t="shared" si="28"/>
        <v>7.833139845578344</v>
      </c>
      <c r="O348" s="149"/>
      <c r="P348" s="334"/>
      <c r="Q348" s="83"/>
      <c r="R348" s="83"/>
      <c r="S348" s="83"/>
      <c r="T348" s="83"/>
    </row>
    <row r="349" spans="1:20" ht="12" customHeight="1">
      <c r="A349" s="290">
        <v>345</v>
      </c>
      <c r="B349" s="123" t="s">
        <v>30</v>
      </c>
      <c r="C349" s="124">
        <v>39871</v>
      </c>
      <c r="D349" s="125" t="s">
        <v>326</v>
      </c>
      <c r="E349" s="126">
        <v>1</v>
      </c>
      <c r="F349" s="126">
        <v>1</v>
      </c>
      <c r="G349" s="126">
        <v>23</v>
      </c>
      <c r="H349" s="137">
        <v>1780</v>
      </c>
      <c r="I349" s="135">
        <v>445</v>
      </c>
      <c r="J349" s="129">
        <f t="shared" si="26"/>
        <v>445</v>
      </c>
      <c r="K349" s="130">
        <f t="shared" si="27"/>
        <v>4</v>
      </c>
      <c r="L349" s="138">
        <f>1088+1510+1304+856+387+214+424+106+162+130+476+60.5+118+96+1664+1780+454+259.5+1188+119.5+1188+1780+1780+1780</f>
        <v>18924.5</v>
      </c>
      <c r="M349" s="136">
        <f>267+175+155+102+46+26+51+12+18+16+57+8+22+16+416+445+57+31+297+19+297+445+445+445</f>
        <v>3868</v>
      </c>
      <c r="N349" s="133">
        <f t="shared" si="28"/>
        <v>4.8925801447776625</v>
      </c>
      <c r="O349" s="108"/>
      <c r="P349" s="334"/>
      <c r="Q349" s="83"/>
      <c r="R349" s="83"/>
      <c r="S349" s="83"/>
      <c r="T349" s="83"/>
    </row>
    <row r="350" spans="1:20" ht="12" customHeight="1">
      <c r="A350" s="290">
        <v>346</v>
      </c>
      <c r="B350" s="123" t="s">
        <v>374</v>
      </c>
      <c r="C350" s="139">
        <v>40109</v>
      </c>
      <c r="D350" s="155" t="s">
        <v>169</v>
      </c>
      <c r="E350" s="146">
        <v>27</v>
      </c>
      <c r="F350" s="146">
        <v>3</v>
      </c>
      <c r="G350" s="146">
        <v>7</v>
      </c>
      <c r="H350" s="141">
        <v>1383</v>
      </c>
      <c r="I350" s="142">
        <v>193</v>
      </c>
      <c r="J350" s="129">
        <f t="shared" si="26"/>
        <v>64.33333333333333</v>
      </c>
      <c r="K350" s="130">
        <f t="shared" si="27"/>
        <v>7.16580310880829</v>
      </c>
      <c r="L350" s="144">
        <v>145394</v>
      </c>
      <c r="M350" s="143">
        <v>12128</v>
      </c>
      <c r="N350" s="133">
        <f t="shared" si="28"/>
        <v>11.988291556728232</v>
      </c>
      <c r="O350" s="149"/>
      <c r="P350" s="334"/>
      <c r="Q350" s="83"/>
      <c r="R350" s="83"/>
      <c r="S350" s="83"/>
      <c r="T350" s="83"/>
    </row>
    <row r="351" spans="1:20" ht="12" customHeight="1">
      <c r="A351" s="290">
        <v>347</v>
      </c>
      <c r="B351" s="123" t="s">
        <v>374</v>
      </c>
      <c r="C351" s="124">
        <v>40109</v>
      </c>
      <c r="D351" s="134" t="s">
        <v>169</v>
      </c>
      <c r="E351" s="126">
        <v>27</v>
      </c>
      <c r="F351" s="126">
        <v>1</v>
      </c>
      <c r="G351" s="126">
        <v>6</v>
      </c>
      <c r="H351" s="137">
        <v>189</v>
      </c>
      <c r="I351" s="135">
        <v>26</v>
      </c>
      <c r="J351" s="129">
        <f t="shared" si="26"/>
        <v>26</v>
      </c>
      <c r="K351" s="130">
        <f t="shared" si="27"/>
        <v>7.269230769230769</v>
      </c>
      <c r="L351" s="138">
        <v>142817</v>
      </c>
      <c r="M351" s="136">
        <v>11768</v>
      </c>
      <c r="N351" s="133">
        <f t="shared" si="28"/>
        <v>12.136046906866078</v>
      </c>
      <c r="O351" s="170"/>
      <c r="P351" s="334"/>
      <c r="Q351" s="83"/>
      <c r="R351" s="83"/>
      <c r="S351" s="83"/>
      <c r="T351" s="83"/>
    </row>
    <row r="352" spans="1:20" ht="12" customHeight="1">
      <c r="A352" s="290">
        <v>348</v>
      </c>
      <c r="B352" s="210" t="s">
        <v>361</v>
      </c>
      <c r="C352" s="124">
        <v>40074</v>
      </c>
      <c r="D352" s="205" t="s">
        <v>234</v>
      </c>
      <c r="E352" s="211" t="s">
        <v>240</v>
      </c>
      <c r="F352" s="211" t="s">
        <v>241</v>
      </c>
      <c r="G352" s="211" t="s">
        <v>242</v>
      </c>
      <c r="H352" s="206">
        <v>1385</v>
      </c>
      <c r="I352" s="212">
        <v>222</v>
      </c>
      <c r="J352" s="129">
        <f t="shared" si="26"/>
        <v>222</v>
      </c>
      <c r="K352" s="130">
        <f t="shared" si="27"/>
        <v>6.238738738738738</v>
      </c>
      <c r="L352" s="208">
        <v>176398</v>
      </c>
      <c r="M352" s="213">
        <v>21849</v>
      </c>
      <c r="N352" s="133">
        <f t="shared" si="28"/>
        <v>8.073504508215478</v>
      </c>
      <c r="O352" s="147"/>
      <c r="P352" s="334"/>
      <c r="Q352" s="83"/>
      <c r="R352" s="83"/>
      <c r="S352" s="83"/>
      <c r="T352" s="83"/>
    </row>
    <row r="353" spans="1:20" ht="12" customHeight="1">
      <c r="A353" s="290">
        <v>349</v>
      </c>
      <c r="B353" s="210" t="s">
        <v>361</v>
      </c>
      <c r="C353" s="124">
        <v>40074</v>
      </c>
      <c r="D353" s="205" t="s">
        <v>234</v>
      </c>
      <c r="E353" s="211" t="s">
        <v>240</v>
      </c>
      <c r="F353" s="211" t="s">
        <v>241</v>
      </c>
      <c r="G353" s="211" t="s">
        <v>362</v>
      </c>
      <c r="H353" s="206">
        <v>1145</v>
      </c>
      <c r="I353" s="207">
        <v>203</v>
      </c>
      <c r="J353" s="129">
        <f t="shared" si="26"/>
        <v>203</v>
      </c>
      <c r="K353" s="130">
        <f t="shared" si="27"/>
        <v>5.640394088669951</v>
      </c>
      <c r="L353" s="208">
        <v>177543</v>
      </c>
      <c r="M353" s="209">
        <v>22052</v>
      </c>
      <c r="N353" s="133">
        <f t="shared" si="28"/>
        <v>8.05110647560312</v>
      </c>
      <c r="O353" s="149"/>
      <c r="P353" s="334"/>
      <c r="Q353" s="83"/>
      <c r="R353" s="83"/>
      <c r="S353" s="83"/>
      <c r="T353" s="83"/>
    </row>
    <row r="354" spans="1:20" ht="12" customHeight="1">
      <c r="A354" s="290">
        <v>350</v>
      </c>
      <c r="B354" s="123" t="s">
        <v>366</v>
      </c>
      <c r="C354" s="124">
        <v>39962</v>
      </c>
      <c r="D354" s="125" t="s">
        <v>326</v>
      </c>
      <c r="E354" s="126">
        <v>1</v>
      </c>
      <c r="F354" s="126">
        <v>1</v>
      </c>
      <c r="G354" s="126">
        <v>18</v>
      </c>
      <c r="H354" s="137">
        <v>2020</v>
      </c>
      <c r="I354" s="135">
        <v>505</v>
      </c>
      <c r="J354" s="129">
        <f aca="true" t="shared" si="29" ref="J354:J376">I354/F354</f>
        <v>505</v>
      </c>
      <c r="K354" s="130">
        <f aca="true" t="shared" si="30" ref="K354:K385">H354/I354</f>
        <v>4</v>
      </c>
      <c r="L354" s="138">
        <f>2055+1340+750+709+604+925+1270+1220+776+981+343+858+383+597+2376+84+51+2020</f>
        <v>17342</v>
      </c>
      <c r="M354" s="136">
        <f>411+268+150+85+70+118+161+152+99+144+47+143+48+95+594+20+17+505</f>
        <v>3127</v>
      </c>
      <c r="N354" s="133">
        <f t="shared" si="28"/>
        <v>5.545890629996802</v>
      </c>
      <c r="O354" s="108"/>
      <c r="P354" s="334"/>
      <c r="Q354" s="83"/>
      <c r="R354" s="83"/>
      <c r="S354" s="83"/>
      <c r="T354" s="83"/>
    </row>
    <row r="355" spans="1:20" ht="12" customHeight="1">
      <c r="A355" s="290">
        <v>351</v>
      </c>
      <c r="B355" s="151" t="s">
        <v>366</v>
      </c>
      <c r="C355" s="139">
        <v>39962</v>
      </c>
      <c r="D355" s="145" t="s">
        <v>326</v>
      </c>
      <c r="E355" s="146">
        <v>1</v>
      </c>
      <c r="F355" s="146">
        <v>1</v>
      </c>
      <c r="G355" s="146">
        <v>16</v>
      </c>
      <c r="H355" s="127">
        <v>84</v>
      </c>
      <c r="I355" s="135">
        <v>20</v>
      </c>
      <c r="J355" s="129">
        <f t="shared" si="29"/>
        <v>20</v>
      </c>
      <c r="K355" s="130">
        <f t="shared" si="30"/>
        <v>4.2</v>
      </c>
      <c r="L355" s="131">
        <f>2055+1340+750+709+604+925+1270+1220+776+981+343+858+383+597+2376+84</f>
        <v>15271</v>
      </c>
      <c r="M355" s="136">
        <f>411+268+150+85+70+118+161+152+99+144+47+143+48+95+594+20</f>
        <v>2605</v>
      </c>
      <c r="N355" s="133">
        <f t="shared" si="28"/>
        <v>5.862188099808061</v>
      </c>
      <c r="O355" s="108"/>
      <c r="P355" s="334"/>
      <c r="Q355" s="83"/>
      <c r="R355" s="83"/>
      <c r="S355" s="83"/>
      <c r="T355" s="83"/>
    </row>
    <row r="356" spans="1:20" ht="12" customHeight="1">
      <c r="A356" s="290">
        <v>352</v>
      </c>
      <c r="B356" s="151" t="s">
        <v>366</v>
      </c>
      <c r="C356" s="139">
        <v>39962</v>
      </c>
      <c r="D356" s="145" t="s">
        <v>326</v>
      </c>
      <c r="E356" s="146">
        <v>1</v>
      </c>
      <c r="F356" s="146">
        <v>1</v>
      </c>
      <c r="G356" s="146">
        <v>17</v>
      </c>
      <c r="H356" s="137">
        <v>51</v>
      </c>
      <c r="I356" s="135">
        <v>17</v>
      </c>
      <c r="J356" s="129">
        <f t="shared" si="29"/>
        <v>17</v>
      </c>
      <c r="K356" s="130">
        <f t="shared" si="30"/>
        <v>3</v>
      </c>
      <c r="L356" s="138">
        <f>2055+1340+750+709+604+925+1270+1220+776+981+343+858+383+597+2376+84+51</f>
        <v>15322</v>
      </c>
      <c r="M356" s="136">
        <f>411+268+150+85+70+118+161+152+99+144+47+143+48+95+594+20+17</f>
        <v>2622</v>
      </c>
      <c r="N356" s="133">
        <f t="shared" si="28"/>
        <v>5.843630816170862</v>
      </c>
      <c r="O356" s="159"/>
      <c r="P356" s="334"/>
      <c r="Q356" s="83"/>
      <c r="R356" s="83"/>
      <c r="S356" s="83"/>
      <c r="T356" s="83"/>
    </row>
    <row r="357" spans="1:20" ht="12" customHeight="1">
      <c r="A357" s="290">
        <v>353</v>
      </c>
      <c r="B357" s="123" t="s">
        <v>373</v>
      </c>
      <c r="C357" s="124">
        <v>40088</v>
      </c>
      <c r="D357" s="134" t="s">
        <v>169</v>
      </c>
      <c r="E357" s="126">
        <v>53</v>
      </c>
      <c r="F357" s="126">
        <v>2</v>
      </c>
      <c r="G357" s="126">
        <v>12</v>
      </c>
      <c r="H357" s="137">
        <v>206</v>
      </c>
      <c r="I357" s="135">
        <v>33</v>
      </c>
      <c r="J357" s="129">
        <f t="shared" si="29"/>
        <v>16.5</v>
      </c>
      <c r="K357" s="130">
        <f t="shared" si="30"/>
        <v>6.242424242424242</v>
      </c>
      <c r="L357" s="138">
        <v>520501</v>
      </c>
      <c r="M357" s="136">
        <v>51318</v>
      </c>
      <c r="N357" s="133">
        <f aca="true" t="shared" si="31" ref="N357:N376">+L357/M357</f>
        <v>10.142659495693518</v>
      </c>
      <c r="O357" s="147"/>
      <c r="P357" s="334"/>
      <c r="Q357" s="83"/>
      <c r="R357" s="83"/>
      <c r="S357" s="83"/>
      <c r="T357" s="83"/>
    </row>
    <row r="358" spans="1:20" ht="12" customHeight="1">
      <c r="A358" s="290">
        <v>354</v>
      </c>
      <c r="B358" s="123" t="s">
        <v>373</v>
      </c>
      <c r="C358" s="139">
        <v>40088</v>
      </c>
      <c r="D358" s="155" t="s">
        <v>169</v>
      </c>
      <c r="E358" s="146">
        <v>53</v>
      </c>
      <c r="F358" s="146">
        <v>1</v>
      </c>
      <c r="G358" s="146">
        <v>13</v>
      </c>
      <c r="H358" s="141">
        <v>48</v>
      </c>
      <c r="I358" s="142">
        <v>8</v>
      </c>
      <c r="J358" s="129">
        <f t="shared" si="29"/>
        <v>8</v>
      </c>
      <c r="K358" s="130">
        <f t="shared" si="30"/>
        <v>6</v>
      </c>
      <c r="L358" s="144">
        <v>520549</v>
      </c>
      <c r="M358" s="143">
        <v>51326</v>
      </c>
      <c r="N358" s="133">
        <f t="shared" si="31"/>
        <v>10.14201379417839</v>
      </c>
      <c r="O358" s="149"/>
      <c r="P358" s="334"/>
      <c r="Q358" s="83"/>
      <c r="R358" s="83"/>
      <c r="S358" s="83"/>
      <c r="T358" s="83"/>
    </row>
    <row r="359" spans="1:20" ht="12" customHeight="1">
      <c r="A359" s="290">
        <v>355</v>
      </c>
      <c r="B359" s="172" t="s">
        <v>60</v>
      </c>
      <c r="C359" s="124">
        <v>40158</v>
      </c>
      <c r="D359" s="214" t="s">
        <v>169</v>
      </c>
      <c r="E359" s="173">
        <v>148</v>
      </c>
      <c r="F359" s="173">
        <v>91</v>
      </c>
      <c r="G359" s="173">
        <v>4</v>
      </c>
      <c r="H359" s="206">
        <v>119681</v>
      </c>
      <c r="I359" s="212">
        <v>17048</v>
      </c>
      <c r="J359" s="129">
        <f t="shared" si="29"/>
        <v>187.34065934065933</v>
      </c>
      <c r="K359" s="130">
        <f t="shared" si="30"/>
        <v>7.020236977944627</v>
      </c>
      <c r="L359" s="208">
        <v>2757217</v>
      </c>
      <c r="M359" s="213">
        <v>323709</v>
      </c>
      <c r="N359" s="133">
        <f t="shared" si="31"/>
        <v>8.517579060205307</v>
      </c>
      <c r="O359" s="109"/>
      <c r="P359" s="334"/>
      <c r="Q359" s="83"/>
      <c r="R359" s="83"/>
      <c r="S359" s="83"/>
      <c r="T359" s="83"/>
    </row>
    <row r="360" spans="1:20" ht="12" customHeight="1">
      <c r="A360" s="290">
        <v>356</v>
      </c>
      <c r="B360" s="172" t="s">
        <v>60</v>
      </c>
      <c r="C360" s="124">
        <v>40158</v>
      </c>
      <c r="D360" s="205" t="s">
        <v>169</v>
      </c>
      <c r="E360" s="173">
        <v>148</v>
      </c>
      <c r="F360" s="173">
        <v>77</v>
      </c>
      <c r="G360" s="173">
        <v>5</v>
      </c>
      <c r="H360" s="206">
        <v>62188</v>
      </c>
      <c r="I360" s="212">
        <v>9495</v>
      </c>
      <c r="J360" s="129">
        <f t="shared" si="29"/>
        <v>123.31168831168831</v>
      </c>
      <c r="K360" s="130">
        <f t="shared" si="30"/>
        <v>6.549552395997893</v>
      </c>
      <c r="L360" s="208">
        <v>2819404</v>
      </c>
      <c r="M360" s="213">
        <v>333204</v>
      </c>
      <c r="N360" s="133">
        <f t="shared" si="31"/>
        <v>8.461495060083312</v>
      </c>
      <c r="O360" s="149"/>
      <c r="P360" s="334"/>
      <c r="Q360" s="83"/>
      <c r="R360" s="83"/>
      <c r="S360" s="83"/>
      <c r="T360" s="83"/>
    </row>
    <row r="361" spans="1:20" ht="12" customHeight="1">
      <c r="A361" s="290">
        <v>357</v>
      </c>
      <c r="B361" s="172" t="s">
        <v>60</v>
      </c>
      <c r="C361" s="124">
        <v>40158</v>
      </c>
      <c r="D361" s="205" t="s">
        <v>169</v>
      </c>
      <c r="E361" s="173">
        <v>148</v>
      </c>
      <c r="F361" s="173">
        <v>39</v>
      </c>
      <c r="G361" s="173">
        <v>6</v>
      </c>
      <c r="H361" s="206">
        <v>28359</v>
      </c>
      <c r="I361" s="207">
        <v>4830</v>
      </c>
      <c r="J361" s="129">
        <f t="shared" si="29"/>
        <v>123.84615384615384</v>
      </c>
      <c r="K361" s="130">
        <f t="shared" si="30"/>
        <v>5.871428571428571</v>
      </c>
      <c r="L361" s="208">
        <v>2847763</v>
      </c>
      <c r="M361" s="209">
        <v>338034</v>
      </c>
      <c r="N361" s="133">
        <f t="shared" si="31"/>
        <v>8.42448688593455</v>
      </c>
      <c r="O361" s="149"/>
      <c r="P361" s="334"/>
      <c r="Q361" s="83"/>
      <c r="R361" s="83"/>
      <c r="S361" s="83"/>
      <c r="T361" s="83"/>
    </row>
    <row r="362" spans="1:20" ht="12" customHeight="1">
      <c r="A362" s="290">
        <v>358</v>
      </c>
      <c r="B362" s="172" t="s">
        <v>60</v>
      </c>
      <c r="C362" s="124">
        <v>40158</v>
      </c>
      <c r="D362" s="134" t="s">
        <v>169</v>
      </c>
      <c r="E362" s="126">
        <v>148</v>
      </c>
      <c r="F362" s="126">
        <v>16</v>
      </c>
      <c r="G362" s="126">
        <v>7</v>
      </c>
      <c r="H362" s="137">
        <v>12514</v>
      </c>
      <c r="I362" s="135">
        <v>2441</v>
      </c>
      <c r="J362" s="129">
        <f t="shared" si="29"/>
        <v>152.5625</v>
      </c>
      <c r="K362" s="130">
        <f t="shared" si="30"/>
        <v>5.126587464154035</v>
      </c>
      <c r="L362" s="138">
        <v>2860277</v>
      </c>
      <c r="M362" s="136">
        <v>340475</v>
      </c>
      <c r="N362" s="133">
        <f t="shared" si="31"/>
        <v>8.40084294001028</v>
      </c>
      <c r="O362" s="149"/>
      <c r="P362" s="334"/>
      <c r="Q362" s="83"/>
      <c r="R362" s="83"/>
      <c r="S362" s="83"/>
      <c r="T362" s="83"/>
    </row>
    <row r="363" spans="1:20" ht="12" customHeight="1">
      <c r="A363" s="290">
        <v>359</v>
      </c>
      <c r="B363" s="172" t="s">
        <v>60</v>
      </c>
      <c r="C363" s="139">
        <v>40158</v>
      </c>
      <c r="D363" s="155" t="s">
        <v>169</v>
      </c>
      <c r="E363" s="146">
        <v>148</v>
      </c>
      <c r="F363" s="146">
        <v>6</v>
      </c>
      <c r="G363" s="146">
        <v>8</v>
      </c>
      <c r="H363" s="141">
        <v>2612</v>
      </c>
      <c r="I363" s="142">
        <v>424</v>
      </c>
      <c r="J363" s="129">
        <f t="shared" si="29"/>
        <v>70.66666666666667</v>
      </c>
      <c r="K363" s="130">
        <f t="shared" si="30"/>
        <v>6.160377358490566</v>
      </c>
      <c r="L363" s="144">
        <v>2862889</v>
      </c>
      <c r="M363" s="143">
        <v>340899</v>
      </c>
      <c r="N363" s="133">
        <f t="shared" si="31"/>
        <v>8.39805631580028</v>
      </c>
      <c r="O363" s="148">
        <v>1</v>
      </c>
      <c r="P363" s="334"/>
      <c r="Q363" s="83"/>
      <c r="R363" s="83"/>
      <c r="S363" s="83"/>
      <c r="T363" s="83"/>
    </row>
    <row r="364" spans="1:20" ht="12" customHeight="1">
      <c r="A364" s="290">
        <v>360</v>
      </c>
      <c r="B364" s="172" t="s">
        <v>60</v>
      </c>
      <c r="C364" s="139">
        <v>40158</v>
      </c>
      <c r="D364" s="155" t="s">
        <v>169</v>
      </c>
      <c r="E364" s="146">
        <v>148</v>
      </c>
      <c r="F364" s="146">
        <v>2</v>
      </c>
      <c r="G364" s="146">
        <v>9</v>
      </c>
      <c r="H364" s="141">
        <v>836</v>
      </c>
      <c r="I364" s="142">
        <v>126</v>
      </c>
      <c r="J364" s="129">
        <f t="shared" si="29"/>
        <v>63</v>
      </c>
      <c r="K364" s="130">
        <f t="shared" si="30"/>
        <v>6.634920634920635</v>
      </c>
      <c r="L364" s="144">
        <v>2863725</v>
      </c>
      <c r="M364" s="143">
        <v>341025</v>
      </c>
      <c r="N364" s="133">
        <f t="shared" si="31"/>
        <v>8.397404882340004</v>
      </c>
      <c r="O364" s="149"/>
      <c r="P364" s="334"/>
      <c r="Q364" s="83"/>
      <c r="R364" s="83"/>
      <c r="S364" s="83"/>
      <c r="T364" s="83"/>
    </row>
    <row r="365" spans="1:20" ht="12" customHeight="1">
      <c r="A365" s="290">
        <v>361</v>
      </c>
      <c r="B365" s="172" t="s">
        <v>60</v>
      </c>
      <c r="C365" s="139">
        <v>40158</v>
      </c>
      <c r="D365" s="125" t="s">
        <v>339</v>
      </c>
      <c r="E365" s="146">
        <v>148</v>
      </c>
      <c r="F365" s="146">
        <v>2</v>
      </c>
      <c r="G365" s="146">
        <v>12</v>
      </c>
      <c r="H365" s="141">
        <v>511</v>
      </c>
      <c r="I365" s="142">
        <v>98</v>
      </c>
      <c r="J365" s="129">
        <f t="shared" si="29"/>
        <v>49</v>
      </c>
      <c r="K365" s="130">
        <f t="shared" si="30"/>
        <v>5.214285714285714</v>
      </c>
      <c r="L365" s="144">
        <v>2865385</v>
      </c>
      <c r="M365" s="143">
        <v>341359</v>
      </c>
      <c r="N365" s="133">
        <f t="shared" si="31"/>
        <v>8.394051423867541</v>
      </c>
      <c r="O365" s="353"/>
      <c r="P365" s="334"/>
      <c r="Q365" s="83"/>
      <c r="R365" s="83"/>
      <c r="S365" s="83"/>
      <c r="T365" s="83"/>
    </row>
    <row r="366" spans="1:20" ht="12" customHeight="1">
      <c r="A366" s="290">
        <v>362</v>
      </c>
      <c r="B366" s="172" t="s">
        <v>60</v>
      </c>
      <c r="C366" s="171">
        <v>40158</v>
      </c>
      <c r="D366" s="190" t="s">
        <v>169</v>
      </c>
      <c r="E366" s="156">
        <v>148</v>
      </c>
      <c r="F366" s="156">
        <v>1</v>
      </c>
      <c r="G366" s="156">
        <v>12</v>
      </c>
      <c r="H366" s="157">
        <v>500</v>
      </c>
      <c r="I366" s="158">
        <v>125</v>
      </c>
      <c r="J366" s="129">
        <f t="shared" si="29"/>
        <v>125</v>
      </c>
      <c r="K366" s="130">
        <f t="shared" si="30"/>
        <v>4</v>
      </c>
      <c r="L366" s="154">
        <v>2864874</v>
      </c>
      <c r="M366" s="153">
        <v>341261</v>
      </c>
      <c r="N366" s="133">
        <f t="shared" si="31"/>
        <v>8.394964557919012</v>
      </c>
      <c r="O366" s="108"/>
      <c r="P366" s="334"/>
      <c r="Q366" s="83"/>
      <c r="R366" s="83"/>
      <c r="S366" s="83"/>
      <c r="T366" s="83"/>
    </row>
    <row r="367" spans="1:20" ht="12" customHeight="1">
      <c r="A367" s="290">
        <v>363</v>
      </c>
      <c r="B367" s="172" t="s">
        <v>60</v>
      </c>
      <c r="C367" s="139">
        <v>40158</v>
      </c>
      <c r="D367" s="155" t="s">
        <v>169</v>
      </c>
      <c r="E367" s="146">
        <v>148</v>
      </c>
      <c r="F367" s="146">
        <v>1</v>
      </c>
      <c r="G367" s="146">
        <v>10</v>
      </c>
      <c r="H367" s="150">
        <v>473</v>
      </c>
      <c r="I367" s="152">
        <v>81</v>
      </c>
      <c r="J367" s="129">
        <f t="shared" si="29"/>
        <v>81</v>
      </c>
      <c r="K367" s="130">
        <f t="shared" si="30"/>
        <v>5.839506172839506</v>
      </c>
      <c r="L367" s="154">
        <v>2864198</v>
      </c>
      <c r="M367" s="153">
        <v>341106</v>
      </c>
      <c r="N367" s="133">
        <f t="shared" si="31"/>
        <v>8.396797476444272</v>
      </c>
      <c r="O367" s="109"/>
      <c r="P367" s="334"/>
      <c r="Q367" s="83"/>
      <c r="R367" s="83"/>
      <c r="S367" s="83"/>
      <c r="T367" s="83"/>
    </row>
    <row r="368" spans="1:20" ht="12" customHeight="1">
      <c r="A368" s="290">
        <v>364</v>
      </c>
      <c r="B368" s="172" t="s">
        <v>60</v>
      </c>
      <c r="C368" s="171">
        <v>40158</v>
      </c>
      <c r="D368" s="190" t="s">
        <v>169</v>
      </c>
      <c r="E368" s="156">
        <v>148</v>
      </c>
      <c r="F368" s="156">
        <v>1</v>
      </c>
      <c r="G368" s="156">
        <v>11</v>
      </c>
      <c r="H368" s="157">
        <v>176</v>
      </c>
      <c r="I368" s="158">
        <v>30</v>
      </c>
      <c r="J368" s="129">
        <f t="shared" si="29"/>
        <v>30</v>
      </c>
      <c r="K368" s="130">
        <f t="shared" si="30"/>
        <v>5.866666666666666</v>
      </c>
      <c r="L368" s="154">
        <v>2864374</v>
      </c>
      <c r="M368" s="153">
        <v>341136</v>
      </c>
      <c r="N368" s="133">
        <f t="shared" si="31"/>
        <v>8.396574973031283</v>
      </c>
      <c r="O368" s="159"/>
      <c r="P368" s="334"/>
      <c r="Q368" s="83"/>
      <c r="R368" s="83"/>
      <c r="S368" s="83"/>
      <c r="T368" s="83"/>
    </row>
    <row r="369" spans="1:20" ht="12" customHeight="1">
      <c r="A369" s="290">
        <v>365</v>
      </c>
      <c r="B369" s="172" t="s">
        <v>60</v>
      </c>
      <c r="C369" s="139">
        <v>40158</v>
      </c>
      <c r="D369" s="125" t="s">
        <v>339</v>
      </c>
      <c r="E369" s="146">
        <v>148</v>
      </c>
      <c r="F369" s="146">
        <v>1</v>
      </c>
      <c r="G369" s="146">
        <v>13</v>
      </c>
      <c r="H369" s="141">
        <v>115</v>
      </c>
      <c r="I369" s="142">
        <v>23</v>
      </c>
      <c r="J369" s="129">
        <f t="shared" si="29"/>
        <v>23</v>
      </c>
      <c r="K369" s="130">
        <f t="shared" si="30"/>
        <v>5</v>
      </c>
      <c r="L369" s="144">
        <v>2865500</v>
      </c>
      <c r="M369" s="143">
        <v>341382</v>
      </c>
      <c r="N369" s="133">
        <f t="shared" si="31"/>
        <v>8.393822755739905</v>
      </c>
      <c r="O369" s="149"/>
      <c r="P369" s="334"/>
      <c r="Q369" s="83"/>
      <c r="R369" s="83"/>
      <c r="S369" s="83"/>
      <c r="T369" s="83"/>
    </row>
    <row r="370" spans="1:20" ht="12" customHeight="1">
      <c r="A370" s="290">
        <v>366</v>
      </c>
      <c r="B370" s="123" t="s">
        <v>348</v>
      </c>
      <c r="C370" s="124">
        <v>40074</v>
      </c>
      <c r="D370" s="194" t="s">
        <v>324</v>
      </c>
      <c r="E370" s="126">
        <v>61</v>
      </c>
      <c r="F370" s="126">
        <v>1</v>
      </c>
      <c r="G370" s="126">
        <v>28</v>
      </c>
      <c r="H370" s="127">
        <v>5600</v>
      </c>
      <c r="I370" s="128">
        <v>1400</v>
      </c>
      <c r="J370" s="129">
        <f t="shared" si="29"/>
        <v>1400</v>
      </c>
      <c r="K370" s="130">
        <f t="shared" si="30"/>
        <v>4</v>
      </c>
      <c r="L370" s="131">
        <v>1023515</v>
      </c>
      <c r="M370" s="132">
        <v>104314</v>
      </c>
      <c r="N370" s="133">
        <f t="shared" si="31"/>
        <v>9.81186609659298</v>
      </c>
      <c r="O370" s="149"/>
      <c r="P370" s="334"/>
      <c r="Q370" s="83"/>
      <c r="R370" s="83"/>
      <c r="S370" s="83"/>
      <c r="T370" s="83"/>
    </row>
    <row r="371" spans="1:20" ht="12" customHeight="1">
      <c r="A371" s="290">
        <v>367</v>
      </c>
      <c r="B371" s="123" t="s">
        <v>348</v>
      </c>
      <c r="C371" s="139">
        <v>40074</v>
      </c>
      <c r="D371" s="194" t="s">
        <v>324</v>
      </c>
      <c r="E371" s="146">
        <v>61</v>
      </c>
      <c r="F371" s="146">
        <v>1</v>
      </c>
      <c r="G371" s="156">
        <v>30</v>
      </c>
      <c r="H371" s="157">
        <v>4480</v>
      </c>
      <c r="I371" s="158">
        <v>1120</v>
      </c>
      <c r="J371" s="129">
        <f t="shared" si="29"/>
        <v>1120</v>
      </c>
      <c r="K371" s="130">
        <f t="shared" si="30"/>
        <v>4</v>
      </c>
      <c r="L371" s="154">
        <v>1027995</v>
      </c>
      <c r="M371" s="153">
        <v>105434</v>
      </c>
      <c r="N371" s="133">
        <f t="shared" si="31"/>
        <v>9.75012804218753</v>
      </c>
      <c r="O371" s="159"/>
      <c r="P371" s="334"/>
      <c r="Q371" s="83"/>
      <c r="R371" s="83"/>
      <c r="S371" s="83"/>
      <c r="T371" s="83"/>
    </row>
    <row r="372" spans="1:20" ht="12" customHeight="1">
      <c r="A372" s="290">
        <v>368</v>
      </c>
      <c r="B372" s="123" t="s">
        <v>348</v>
      </c>
      <c r="C372" s="139">
        <v>40074</v>
      </c>
      <c r="D372" s="194" t="s">
        <v>324</v>
      </c>
      <c r="E372" s="156">
        <v>61</v>
      </c>
      <c r="F372" s="156">
        <v>1</v>
      </c>
      <c r="G372" s="156">
        <v>31</v>
      </c>
      <c r="H372" s="157">
        <v>4480</v>
      </c>
      <c r="I372" s="158">
        <v>1120</v>
      </c>
      <c r="J372" s="129">
        <f t="shared" si="29"/>
        <v>1120</v>
      </c>
      <c r="K372" s="130">
        <f t="shared" si="30"/>
        <v>4</v>
      </c>
      <c r="L372" s="154">
        <v>1032475</v>
      </c>
      <c r="M372" s="153">
        <v>106554</v>
      </c>
      <c r="N372" s="133">
        <f t="shared" si="31"/>
        <v>9.6896878577998</v>
      </c>
      <c r="O372" s="108"/>
      <c r="P372" s="334"/>
      <c r="Q372" s="83"/>
      <c r="R372" s="83"/>
      <c r="S372" s="83"/>
      <c r="T372" s="83"/>
    </row>
    <row r="373" spans="1:20" ht="12" customHeight="1">
      <c r="A373" s="290">
        <v>369</v>
      </c>
      <c r="B373" s="195" t="s">
        <v>348</v>
      </c>
      <c r="C373" s="196">
        <v>40074</v>
      </c>
      <c r="D373" s="194" t="s">
        <v>324</v>
      </c>
      <c r="E373" s="197">
        <v>61</v>
      </c>
      <c r="F373" s="197">
        <v>1</v>
      </c>
      <c r="G373" s="197">
        <v>15</v>
      </c>
      <c r="H373" s="198">
        <v>1521</v>
      </c>
      <c r="I373" s="199">
        <v>408</v>
      </c>
      <c r="J373" s="129">
        <f t="shared" si="29"/>
        <v>408</v>
      </c>
      <c r="K373" s="130">
        <f t="shared" si="30"/>
        <v>3.7279411764705883</v>
      </c>
      <c r="L373" s="201">
        <v>1027374</v>
      </c>
      <c r="M373" s="200">
        <v>103387</v>
      </c>
      <c r="N373" s="133">
        <f t="shared" si="31"/>
        <v>9.937168115913993</v>
      </c>
      <c r="O373" s="149"/>
      <c r="P373" s="334"/>
      <c r="Q373" s="83"/>
      <c r="R373" s="83"/>
      <c r="S373" s="83"/>
      <c r="T373" s="83"/>
    </row>
    <row r="374" spans="1:20" ht="12" customHeight="1">
      <c r="A374" s="290">
        <v>370</v>
      </c>
      <c r="B374" s="151" t="s">
        <v>348</v>
      </c>
      <c r="C374" s="139">
        <v>40074</v>
      </c>
      <c r="D374" s="194" t="s">
        <v>324</v>
      </c>
      <c r="E374" s="146">
        <v>61</v>
      </c>
      <c r="F374" s="146">
        <v>2</v>
      </c>
      <c r="G374" s="146">
        <v>17</v>
      </c>
      <c r="H374" s="150">
        <v>1503</v>
      </c>
      <c r="I374" s="142">
        <v>241</v>
      </c>
      <c r="J374" s="129">
        <f t="shared" si="29"/>
        <v>120.5</v>
      </c>
      <c r="K374" s="130">
        <f t="shared" si="30"/>
        <v>6.236514522821577</v>
      </c>
      <c r="L374" s="154">
        <v>1028993</v>
      </c>
      <c r="M374" s="143">
        <v>103644</v>
      </c>
      <c r="N374" s="133">
        <f t="shared" si="31"/>
        <v>9.92814827679364</v>
      </c>
      <c r="O374" s="149"/>
      <c r="P374" s="334"/>
      <c r="Q374" s="83"/>
      <c r="R374" s="83"/>
      <c r="S374" s="83"/>
      <c r="T374" s="83"/>
    </row>
    <row r="375" spans="1:20" ht="12" customHeight="1">
      <c r="A375" s="290">
        <v>371</v>
      </c>
      <c r="B375" s="151" t="s">
        <v>348</v>
      </c>
      <c r="C375" s="139">
        <v>40074</v>
      </c>
      <c r="D375" s="194" t="s">
        <v>324</v>
      </c>
      <c r="E375" s="146">
        <v>61</v>
      </c>
      <c r="F375" s="146">
        <v>1</v>
      </c>
      <c r="G375" s="146">
        <v>16</v>
      </c>
      <c r="H375" s="150">
        <v>116</v>
      </c>
      <c r="I375" s="152">
        <v>16</v>
      </c>
      <c r="J375" s="129">
        <f t="shared" si="29"/>
        <v>16</v>
      </c>
      <c r="K375" s="130">
        <f t="shared" si="30"/>
        <v>7.25</v>
      </c>
      <c r="L375" s="154">
        <v>1027490</v>
      </c>
      <c r="M375" s="153">
        <v>103403</v>
      </c>
      <c r="N375" s="133">
        <f t="shared" si="31"/>
        <v>9.936752318598106</v>
      </c>
      <c r="O375" s="108"/>
      <c r="P375" s="334"/>
      <c r="Q375" s="83"/>
      <c r="R375" s="83"/>
      <c r="S375" s="83"/>
      <c r="T375" s="83"/>
    </row>
    <row r="376" spans="1:20" ht="12" customHeight="1">
      <c r="A376" s="290">
        <v>372</v>
      </c>
      <c r="B376" s="123" t="s">
        <v>61</v>
      </c>
      <c r="C376" s="139">
        <v>33564</v>
      </c>
      <c r="D376" s="145" t="s">
        <v>336</v>
      </c>
      <c r="E376" s="146">
        <v>1</v>
      </c>
      <c r="F376" s="146">
        <v>1</v>
      </c>
      <c r="G376" s="146">
        <v>20</v>
      </c>
      <c r="H376" s="137">
        <v>1800</v>
      </c>
      <c r="I376" s="135">
        <v>450</v>
      </c>
      <c r="J376" s="129">
        <f t="shared" si="29"/>
        <v>450</v>
      </c>
      <c r="K376" s="130">
        <f t="shared" si="30"/>
        <v>4</v>
      </c>
      <c r="L376" s="144">
        <v>1800</v>
      </c>
      <c r="M376" s="143">
        <v>34964</v>
      </c>
      <c r="N376" s="133">
        <f t="shared" si="31"/>
        <v>0.05148152385310605</v>
      </c>
      <c r="O376" s="181">
        <v>1</v>
      </c>
      <c r="P376" s="334"/>
      <c r="Q376" s="83"/>
      <c r="R376" s="83"/>
      <c r="S376" s="83"/>
      <c r="T376" s="83"/>
    </row>
    <row r="377" spans="1:20" ht="12" customHeight="1">
      <c r="A377" s="290">
        <v>373</v>
      </c>
      <c r="B377" s="449" t="s">
        <v>172</v>
      </c>
      <c r="C377" s="440">
        <v>39878</v>
      </c>
      <c r="D377" s="485" t="s">
        <v>326</v>
      </c>
      <c r="E377" s="486">
        <v>39</v>
      </c>
      <c r="F377" s="486">
        <v>2</v>
      </c>
      <c r="G377" s="486">
        <v>36</v>
      </c>
      <c r="H377" s="442">
        <v>4752</v>
      </c>
      <c r="I377" s="443">
        <v>1188</v>
      </c>
      <c r="J377" s="444">
        <f>(I377/F377)</f>
        <v>594</v>
      </c>
      <c r="K377" s="445">
        <f t="shared" si="30"/>
        <v>4</v>
      </c>
      <c r="L377" s="446">
        <f>143992.5+82756.5+42509+41229+27290.5+16668+27602+17675+4710+8504.5+2403+4164+2272+3469+1997+135+299+674+178+30+240+1413+1006+209+393+680+1780+4040+1780+1780+952+745+2376+2376+2376+4752</f>
        <v>455456</v>
      </c>
      <c r="M377" s="447">
        <f>15320+9228+5096+5970+4485+3115+5134+3946+1139+2307+509+879+411+637+472+29+62+165+32+6+48+348+139+43+54+68+445+1010+445+445+238+149+594+594+594+1188</f>
        <v>65344</v>
      </c>
      <c r="N377" s="451">
        <f>L377/M377</f>
        <v>6.970127326150832</v>
      </c>
      <c r="O377" s="108"/>
      <c r="P377" s="561"/>
      <c r="Q377" s="83"/>
      <c r="R377" s="83"/>
      <c r="S377" s="83"/>
      <c r="T377" s="83"/>
    </row>
    <row r="378" spans="1:20" ht="12" customHeight="1">
      <c r="A378" s="290">
        <v>374</v>
      </c>
      <c r="B378" s="123" t="s">
        <v>172</v>
      </c>
      <c r="C378" s="124">
        <v>39878</v>
      </c>
      <c r="D378" s="125" t="s">
        <v>326</v>
      </c>
      <c r="E378" s="126">
        <v>39</v>
      </c>
      <c r="F378" s="126">
        <v>1</v>
      </c>
      <c r="G378" s="126">
        <v>35</v>
      </c>
      <c r="H378" s="137">
        <v>2376</v>
      </c>
      <c r="I378" s="135">
        <v>594</v>
      </c>
      <c r="J378" s="129">
        <f aca="true" t="shared" si="32" ref="J378:J387">I378/F378</f>
        <v>594</v>
      </c>
      <c r="K378" s="130">
        <f t="shared" si="30"/>
        <v>4</v>
      </c>
      <c r="L378" s="138">
        <f>143992.5+82756.5+42509+41229+27290.5+16668+27602+17675+4710+8504.5+2403+4164+2272+3469+1997+135+299+674+178+30+240+1413+1006+209+393+680+1780+4040+1780+1780+952+745+2376+2376+2376</f>
        <v>450704</v>
      </c>
      <c r="M378" s="136">
        <f>15320+9228+5096+5970+4485+3115+5134+3946+1139+2307+509+879+411+637+472+29+62+165+32+6+48+348+139+43+54+68+445+1010+445+445+238+149+594+594+594</f>
        <v>64156</v>
      </c>
      <c r="N378" s="133">
        <f aca="true" t="shared" si="33" ref="N378:N387">+L378/M378</f>
        <v>7.025126254754037</v>
      </c>
      <c r="O378" s="108">
        <v>1</v>
      </c>
      <c r="P378" s="334"/>
      <c r="Q378" s="83"/>
      <c r="R378" s="83"/>
      <c r="S378" s="83"/>
      <c r="T378" s="83"/>
    </row>
    <row r="379" spans="1:20" ht="12" customHeight="1">
      <c r="A379" s="290">
        <v>375</v>
      </c>
      <c r="B379" s="123" t="s">
        <v>172</v>
      </c>
      <c r="C379" s="139">
        <v>39878</v>
      </c>
      <c r="D379" s="125" t="s">
        <v>326</v>
      </c>
      <c r="E379" s="146">
        <v>39</v>
      </c>
      <c r="F379" s="146">
        <v>1</v>
      </c>
      <c r="G379" s="146">
        <v>34</v>
      </c>
      <c r="H379" s="141">
        <v>2376</v>
      </c>
      <c r="I379" s="142">
        <v>594</v>
      </c>
      <c r="J379" s="129">
        <f t="shared" si="32"/>
        <v>594</v>
      </c>
      <c r="K379" s="130">
        <f t="shared" si="30"/>
        <v>4</v>
      </c>
      <c r="L379" s="144">
        <f>143992.5+82756.5+42509+41229+27290.5+16668+27602+17675+4710+8504.5+2403+4164+2272+3469+1997+135+299+674+178+30+240+1413+1006+209+393+680+1780+4040+1780+1780+952+745+2376+2376</f>
        <v>448328</v>
      </c>
      <c r="M379" s="143">
        <f>15320+9228+5096+5970+4485+3115+5134+3946+1139+2307+509+879+411+637+472+29+62+165+32+6+48+348+139+43+54+68+445+1010+445+445+238+149+594+594</f>
        <v>63562</v>
      </c>
      <c r="N379" s="133">
        <f t="shared" si="33"/>
        <v>7.053396683553066</v>
      </c>
      <c r="O379" s="149">
        <v>1</v>
      </c>
      <c r="P379" s="334"/>
      <c r="Q379" s="83"/>
      <c r="R379" s="83"/>
      <c r="S379" s="83"/>
      <c r="T379" s="83"/>
    </row>
    <row r="380" spans="1:20" ht="12" customHeight="1">
      <c r="A380" s="290">
        <v>376</v>
      </c>
      <c r="B380" s="123" t="s">
        <v>172</v>
      </c>
      <c r="C380" s="139">
        <v>39878</v>
      </c>
      <c r="D380" s="145" t="s">
        <v>326</v>
      </c>
      <c r="E380" s="146">
        <v>39</v>
      </c>
      <c r="F380" s="146">
        <v>1</v>
      </c>
      <c r="G380" s="146">
        <v>33</v>
      </c>
      <c r="H380" s="137">
        <v>2376</v>
      </c>
      <c r="I380" s="135">
        <v>594</v>
      </c>
      <c r="J380" s="129">
        <f t="shared" si="32"/>
        <v>594</v>
      </c>
      <c r="K380" s="130">
        <f t="shared" si="30"/>
        <v>4</v>
      </c>
      <c r="L380" s="144">
        <f>143992.5+82756.5+42509+41229+27290.5+16668+27602+17675+4710+8504.5+2403+4164+2272+3469+1997+135+299+674+178+30+240+1413+1006+209+393+680+1780+4040+1780+1780+952+745+2376</f>
        <v>445952</v>
      </c>
      <c r="M380" s="143">
        <f>15320+9228+5096+5970+4485+3115+5134+3946+1139+2307+509+879+411+637+472+29+62+165+32+6+48+348+139+43+54+68+445+1010+445+445+238+149+594</f>
        <v>62968</v>
      </c>
      <c r="N380" s="133">
        <f t="shared" si="33"/>
        <v>7.0822004827849065</v>
      </c>
      <c r="O380" s="109">
        <v>1</v>
      </c>
      <c r="P380" s="334"/>
      <c r="Q380" s="83"/>
      <c r="R380" s="83"/>
      <c r="S380" s="83"/>
      <c r="T380" s="83"/>
    </row>
    <row r="381" spans="1:20" ht="12" customHeight="1">
      <c r="A381" s="290">
        <v>377</v>
      </c>
      <c r="B381" s="167" t="s">
        <v>172</v>
      </c>
      <c r="C381" s="168">
        <v>39878</v>
      </c>
      <c r="D381" s="145" t="s">
        <v>326</v>
      </c>
      <c r="E381" s="169">
        <v>39</v>
      </c>
      <c r="F381" s="169">
        <v>1</v>
      </c>
      <c r="G381" s="169">
        <v>29</v>
      </c>
      <c r="H381" s="137">
        <v>1780</v>
      </c>
      <c r="I381" s="135">
        <v>445</v>
      </c>
      <c r="J381" s="129">
        <f t="shared" si="32"/>
        <v>445</v>
      </c>
      <c r="K381" s="130">
        <f t="shared" si="30"/>
        <v>4</v>
      </c>
      <c r="L381" s="138">
        <f>143992.5+82756.5+42509+41229+27290.5+16668+27602+17675+4710+8504.5+2403+4164+2272+3469+1997+135+299+674+178+30+240+1413+1006+209+393+680+1780+4040+1780</f>
        <v>440099</v>
      </c>
      <c r="M381" s="136">
        <f>15320+9228+5096+5970+4485+3115+5134+3946+1139+2307+509+879+411+637+472+29+62+165+32+6+48+348+139+43+54+68+445+1010+445</f>
        <v>61542</v>
      </c>
      <c r="N381" s="133">
        <f t="shared" si="33"/>
        <v>7.151197556140522</v>
      </c>
      <c r="O381" s="147"/>
      <c r="P381" s="334"/>
      <c r="Q381" s="83"/>
      <c r="R381" s="83"/>
      <c r="S381" s="83"/>
      <c r="T381" s="83"/>
    </row>
    <row r="382" spans="1:20" ht="12" customHeight="1">
      <c r="A382" s="290">
        <v>378</v>
      </c>
      <c r="B382" s="151" t="s">
        <v>172</v>
      </c>
      <c r="C382" s="139">
        <v>39878</v>
      </c>
      <c r="D382" s="145" t="s">
        <v>326</v>
      </c>
      <c r="E382" s="146">
        <v>39</v>
      </c>
      <c r="F382" s="146">
        <v>1</v>
      </c>
      <c r="G382" s="146">
        <v>30</v>
      </c>
      <c r="H382" s="141">
        <v>1780</v>
      </c>
      <c r="I382" s="142">
        <v>445</v>
      </c>
      <c r="J382" s="129">
        <f t="shared" si="32"/>
        <v>445</v>
      </c>
      <c r="K382" s="130">
        <f t="shared" si="30"/>
        <v>4</v>
      </c>
      <c r="L382" s="144">
        <f>143992.5+82756.5+42509+41229+27290.5+16668+27602+17675+4710+8504.5+2403+4164+2272+3469+1997+135+299+674+178+30+240+1413+1006+209+393+680+1780+4040+1780+1780</f>
        <v>441879</v>
      </c>
      <c r="M382" s="143">
        <f>15320+9228+5096+5970+4485+3115+5134+3946+1139+2307+509+879+411+637+472+29+62+165+32+6+48+348+139+43+54+68+445+1010+445+445</f>
        <v>61987</v>
      </c>
      <c r="N382" s="133">
        <f t="shared" si="33"/>
        <v>7.1285753464436095</v>
      </c>
      <c r="O382" s="108"/>
      <c r="P382" s="334"/>
      <c r="Q382" s="83"/>
      <c r="R382" s="83"/>
      <c r="S382" s="83"/>
      <c r="T382" s="83"/>
    </row>
    <row r="383" spans="1:20" ht="12" customHeight="1">
      <c r="A383" s="290">
        <v>379</v>
      </c>
      <c r="B383" s="182" t="s">
        <v>172</v>
      </c>
      <c r="C383" s="139">
        <v>39878</v>
      </c>
      <c r="D383" s="145" t="s">
        <v>326</v>
      </c>
      <c r="E383" s="156">
        <v>39</v>
      </c>
      <c r="F383" s="156">
        <v>1</v>
      </c>
      <c r="G383" s="156">
        <v>31</v>
      </c>
      <c r="H383" s="157">
        <v>952</v>
      </c>
      <c r="I383" s="158">
        <v>238</v>
      </c>
      <c r="J383" s="129">
        <f t="shared" si="32"/>
        <v>238</v>
      </c>
      <c r="K383" s="130">
        <f t="shared" si="30"/>
        <v>4</v>
      </c>
      <c r="L383" s="154">
        <f>143992.5+82756.5+42509+41229+27290.5+16668+27602+17675+4710+8504.5+2403+4164+2272+3469+1997+135+299+674+178+30+240+1413+1006+209+393+680+1780+4040+1780+1780+952</f>
        <v>442831</v>
      </c>
      <c r="M383" s="153">
        <f>15320+9228+5096+5970+4485+3115+5134+3946+1139+2307+509+879+411+637+472+29+62+165+32+6+48+348+139+43+54+68+445+1010+445+445+238</f>
        <v>62225</v>
      </c>
      <c r="N383" s="133">
        <f t="shared" si="33"/>
        <v>7.116609079951788</v>
      </c>
      <c r="O383" s="147"/>
      <c r="P383" s="334"/>
      <c r="Q383" s="83"/>
      <c r="R383" s="83"/>
      <c r="S383" s="83"/>
      <c r="T383" s="83"/>
    </row>
    <row r="384" spans="1:20" ht="12" customHeight="1">
      <c r="A384" s="290">
        <v>380</v>
      </c>
      <c r="B384" s="123" t="s">
        <v>172</v>
      </c>
      <c r="C384" s="124">
        <v>39878</v>
      </c>
      <c r="D384" s="125" t="s">
        <v>326</v>
      </c>
      <c r="E384" s="126">
        <v>39</v>
      </c>
      <c r="F384" s="126">
        <v>1</v>
      </c>
      <c r="G384" s="126">
        <v>32</v>
      </c>
      <c r="H384" s="137">
        <v>745</v>
      </c>
      <c r="I384" s="135">
        <v>149</v>
      </c>
      <c r="J384" s="129">
        <f t="shared" si="32"/>
        <v>149</v>
      </c>
      <c r="K384" s="130">
        <f t="shared" si="30"/>
        <v>5</v>
      </c>
      <c r="L384" s="138">
        <f>143992.5+82756.5+42509+41229+27290.5+16668+27602+17675+4710+8504.5+2403+4164+2272+3469+1997+135+299+674+178+30+240+1413+1006+209+393+680+1780+4040+1780+1780+952+745</f>
        <v>443576</v>
      </c>
      <c r="M384" s="136">
        <f>15320+9228+5096+5970+4485+3115+5134+3946+1139+2307+509+879+411+637+472+29+62+165+32+6+48+348+139+43+54+68+445+1010+445+445+238+149</f>
        <v>62374</v>
      </c>
      <c r="N384" s="133">
        <f t="shared" si="33"/>
        <v>7.111552890627505</v>
      </c>
      <c r="O384" s="159">
        <v>1</v>
      </c>
      <c r="P384" s="334"/>
      <c r="Q384" s="83"/>
      <c r="R384" s="83"/>
      <c r="S384" s="83"/>
      <c r="T384" s="83"/>
    </row>
    <row r="385" spans="1:20" ht="12" customHeight="1">
      <c r="A385" s="290">
        <v>381</v>
      </c>
      <c r="B385" s="151" t="s">
        <v>62</v>
      </c>
      <c r="C385" s="139">
        <v>39884</v>
      </c>
      <c r="D385" s="155" t="s">
        <v>169</v>
      </c>
      <c r="E385" s="146">
        <v>355</v>
      </c>
      <c r="F385" s="146">
        <v>1</v>
      </c>
      <c r="G385" s="146">
        <v>14</v>
      </c>
      <c r="H385" s="141">
        <v>1500</v>
      </c>
      <c r="I385" s="142">
        <v>300</v>
      </c>
      <c r="J385" s="129">
        <f t="shared" si="32"/>
        <v>300</v>
      </c>
      <c r="K385" s="130">
        <f t="shared" si="30"/>
        <v>5</v>
      </c>
      <c r="L385" s="144">
        <v>19045225</v>
      </c>
      <c r="M385" s="143">
        <v>2491754</v>
      </c>
      <c r="N385" s="133">
        <f t="shared" si="33"/>
        <v>7.6433006629065305</v>
      </c>
      <c r="O385" s="149">
        <v>1</v>
      </c>
      <c r="P385" s="334"/>
      <c r="Q385" s="83"/>
      <c r="R385" s="83"/>
      <c r="S385" s="83"/>
      <c r="T385" s="83"/>
    </row>
    <row r="386" spans="1:20" ht="12" customHeight="1">
      <c r="A386" s="290">
        <v>382</v>
      </c>
      <c r="B386" s="123" t="s">
        <v>63</v>
      </c>
      <c r="C386" s="124">
        <v>39759</v>
      </c>
      <c r="D386" s="125" t="s">
        <v>326</v>
      </c>
      <c r="E386" s="126">
        <v>93</v>
      </c>
      <c r="F386" s="126">
        <v>1</v>
      </c>
      <c r="G386" s="126">
        <v>19</v>
      </c>
      <c r="H386" s="127">
        <v>1424</v>
      </c>
      <c r="I386" s="128">
        <v>356</v>
      </c>
      <c r="J386" s="129">
        <f t="shared" si="32"/>
        <v>356</v>
      </c>
      <c r="K386" s="130">
        <f aca="true" t="shared" si="34" ref="K386:K394">H386/I386</f>
        <v>4</v>
      </c>
      <c r="L386" s="131">
        <f>224223+136351+27895+24212+1274+3482+7147+2804+5279+2025+2635+2196+1188+832+2140+360+2140+2376+1424</f>
        <v>449983</v>
      </c>
      <c r="M386" s="132">
        <f>27969+18593+4268+4646+311+857+1472+745+1285+386+636+549+297+208+535+80+535+594+356</f>
        <v>64322</v>
      </c>
      <c r="N386" s="133">
        <f t="shared" si="33"/>
        <v>6.99578682254905</v>
      </c>
      <c r="O386" s="149">
        <v>1</v>
      </c>
      <c r="P386" s="334"/>
      <c r="Q386" s="83"/>
      <c r="R386" s="83"/>
      <c r="S386" s="83"/>
      <c r="T386" s="83"/>
    </row>
    <row r="387" spans="1:20" ht="12" customHeight="1">
      <c r="A387" s="290">
        <v>383</v>
      </c>
      <c r="B387" s="123" t="s">
        <v>64</v>
      </c>
      <c r="C387" s="139">
        <v>39836</v>
      </c>
      <c r="D387" s="125" t="s">
        <v>337</v>
      </c>
      <c r="E387" s="146">
        <v>180</v>
      </c>
      <c r="F387" s="146">
        <v>2</v>
      </c>
      <c r="G387" s="146">
        <v>22</v>
      </c>
      <c r="H387" s="141">
        <v>797</v>
      </c>
      <c r="I387" s="142">
        <v>89</v>
      </c>
      <c r="J387" s="129">
        <f t="shared" si="32"/>
        <v>44.5</v>
      </c>
      <c r="K387" s="130">
        <f t="shared" si="34"/>
        <v>8.955056179775282</v>
      </c>
      <c r="L387" s="144">
        <f>1758644.5+1323710+941534+309534.5+197920+55019+28515+10481.5+9376+0.5+7127+5202+0.5+4667+2669+85+805+2472+228+108+1372+272+347+797</f>
        <v>4660886.5</v>
      </c>
      <c r="M387" s="143">
        <f>205635+158652+117576+43365+28181+9066+4843+2243+2345+1225+998+716+401+17+161+412+38+18+343+46+58+89</f>
        <v>576428</v>
      </c>
      <c r="N387" s="133">
        <f t="shared" si="33"/>
        <v>8.085808635250196</v>
      </c>
      <c r="O387" s="149">
        <v>1</v>
      </c>
      <c r="P387" s="334"/>
      <c r="Q387" s="83"/>
      <c r="R387" s="83"/>
      <c r="S387" s="83"/>
      <c r="T387" s="83"/>
    </row>
    <row r="388" spans="1:20" ht="12" customHeight="1">
      <c r="A388" s="290">
        <v>384</v>
      </c>
      <c r="B388" s="449" t="s">
        <v>474</v>
      </c>
      <c r="C388" s="440">
        <v>39864</v>
      </c>
      <c r="D388" s="485" t="s">
        <v>326</v>
      </c>
      <c r="E388" s="486">
        <v>4</v>
      </c>
      <c r="F388" s="486">
        <v>3</v>
      </c>
      <c r="G388" s="486">
        <v>14</v>
      </c>
      <c r="H388" s="442">
        <v>6060</v>
      </c>
      <c r="I388" s="443">
        <v>1515</v>
      </c>
      <c r="J388" s="444">
        <f>(I388/F388)</f>
        <v>505</v>
      </c>
      <c r="K388" s="445">
        <f t="shared" si="34"/>
        <v>4</v>
      </c>
      <c r="L388" s="446">
        <f>6804+2328+2310+826+241+1288+1545+817+40+615+1688+420+95+6060</f>
        <v>25077</v>
      </c>
      <c r="M388" s="447">
        <f>775+357+469+134+39+295+305+158+8+67+387+70+19+1515</f>
        <v>4598</v>
      </c>
      <c r="N388" s="451">
        <f>L388/M388</f>
        <v>5.453892996955198</v>
      </c>
      <c r="O388" s="108">
        <v>1</v>
      </c>
      <c r="P388" s="561"/>
      <c r="Q388" s="83"/>
      <c r="R388" s="83"/>
      <c r="S388" s="83"/>
      <c r="T388" s="83"/>
    </row>
    <row r="389" spans="1:20" ht="12" customHeight="1">
      <c r="A389" s="290">
        <v>385</v>
      </c>
      <c r="B389" s="123" t="s">
        <v>45</v>
      </c>
      <c r="C389" s="139">
        <v>39899</v>
      </c>
      <c r="D389" s="145" t="s">
        <v>326</v>
      </c>
      <c r="E389" s="156">
        <v>16</v>
      </c>
      <c r="F389" s="156">
        <v>1</v>
      </c>
      <c r="G389" s="156">
        <v>19</v>
      </c>
      <c r="H389" s="157">
        <v>669.28</v>
      </c>
      <c r="I389" s="158">
        <v>150</v>
      </c>
      <c r="J389" s="129">
        <f aca="true" t="shared" si="35" ref="J389:J394">I389/F389</f>
        <v>150</v>
      </c>
      <c r="K389" s="130">
        <f t="shared" si="34"/>
        <v>4.461866666666666</v>
      </c>
      <c r="L389" s="154">
        <f>31480+15536+8716+2149+2897+1360+2390+1251+322+381+329+492+928+436+1103+1913+46+240+669.28</f>
        <v>72638.28</v>
      </c>
      <c r="M389" s="153">
        <f>3450+1778+1361+440+508+248+548+290+68+72+58+96+96+70+137+309+9+48+150</f>
        <v>9736</v>
      </c>
      <c r="N389" s="133">
        <f aca="true" t="shared" si="36" ref="N389:N394">+L389/M389</f>
        <v>7.460792933442892</v>
      </c>
      <c r="O389" s="108">
        <v>1</v>
      </c>
      <c r="P389" s="334"/>
      <c r="Q389" s="83"/>
      <c r="R389" s="83"/>
      <c r="S389" s="83"/>
      <c r="T389" s="83"/>
    </row>
    <row r="390" spans="1:20" ht="12" customHeight="1">
      <c r="A390" s="290">
        <v>386</v>
      </c>
      <c r="B390" s="123" t="s">
        <v>45</v>
      </c>
      <c r="C390" s="139">
        <v>39899</v>
      </c>
      <c r="D390" s="145" t="s">
        <v>326</v>
      </c>
      <c r="E390" s="156">
        <v>16</v>
      </c>
      <c r="F390" s="156">
        <v>1</v>
      </c>
      <c r="G390" s="156">
        <v>20</v>
      </c>
      <c r="H390" s="157">
        <v>648.46</v>
      </c>
      <c r="I390" s="158">
        <v>151</v>
      </c>
      <c r="J390" s="129">
        <f t="shared" si="35"/>
        <v>151</v>
      </c>
      <c r="K390" s="130">
        <f t="shared" si="34"/>
        <v>4.2944370860927155</v>
      </c>
      <c r="L390" s="154">
        <f>31480+15536+8716+2149+2897+1360+2390+1251+322+381+329+492+928+436+1103+1913+46+240+669.28+648.46</f>
        <v>73286.74</v>
      </c>
      <c r="M390" s="153">
        <f>3450+1778+1361+440+508+248+548+290+68+72+58+96+96+70+137+309+9+48+150+151</f>
        <v>9887</v>
      </c>
      <c r="N390" s="133">
        <f t="shared" si="36"/>
        <v>7.412434509962577</v>
      </c>
      <c r="O390" s="149"/>
      <c r="P390" s="334"/>
      <c r="Q390" s="83"/>
      <c r="R390" s="83"/>
      <c r="S390" s="83"/>
      <c r="T390" s="83"/>
    </row>
    <row r="391" spans="1:20" ht="12" customHeight="1">
      <c r="A391" s="290">
        <v>387</v>
      </c>
      <c r="B391" s="123" t="s">
        <v>45</v>
      </c>
      <c r="C391" s="139">
        <v>39899</v>
      </c>
      <c r="D391" s="145" t="s">
        <v>326</v>
      </c>
      <c r="E391" s="156">
        <v>16</v>
      </c>
      <c r="F391" s="156">
        <v>1</v>
      </c>
      <c r="G391" s="156">
        <v>21</v>
      </c>
      <c r="H391" s="157">
        <v>226</v>
      </c>
      <c r="I391" s="184">
        <v>48</v>
      </c>
      <c r="J391" s="129">
        <f t="shared" si="35"/>
        <v>48</v>
      </c>
      <c r="K391" s="130">
        <f t="shared" si="34"/>
        <v>4.708333333333333</v>
      </c>
      <c r="L391" s="144">
        <f>31480+15536+8716+2149+2897+1360+2390+1251+322+381+329+492+928+436+1103+1913+46+240+669.28+648.46+226</f>
        <v>73512.74</v>
      </c>
      <c r="M391" s="143">
        <f>3450+1778+1361+440+508+248+548+290+68+72+58+96+96+70+137+309+9+48+150+151+48</f>
        <v>9935</v>
      </c>
      <c r="N391" s="133">
        <f t="shared" si="36"/>
        <v>7.39936990437846</v>
      </c>
      <c r="O391" s="149"/>
      <c r="P391" s="334"/>
      <c r="Q391" s="83"/>
      <c r="R391" s="83"/>
      <c r="S391" s="83"/>
      <c r="T391" s="83"/>
    </row>
    <row r="392" spans="1:20" ht="12" customHeight="1">
      <c r="A392" s="290">
        <v>388</v>
      </c>
      <c r="B392" s="123" t="s">
        <v>46</v>
      </c>
      <c r="C392" s="139">
        <v>40060</v>
      </c>
      <c r="D392" s="145" t="s">
        <v>326</v>
      </c>
      <c r="E392" s="156">
        <v>3</v>
      </c>
      <c r="F392" s="156">
        <v>1</v>
      </c>
      <c r="G392" s="156">
        <v>9</v>
      </c>
      <c r="H392" s="157">
        <v>2830.46</v>
      </c>
      <c r="I392" s="158">
        <v>698</v>
      </c>
      <c r="J392" s="129">
        <f t="shared" si="35"/>
        <v>698</v>
      </c>
      <c r="K392" s="130">
        <f t="shared" si="34"/>
        <v>4.0551002865329515</v>
      </c>
      <c r="L392" s="154">
        <f>7317+3809.25+1860+639+729+966+238+668+2830.46</f>
        <v>19056.71</v>
      </c>
      <c r="M392" s="153">
        <f>792+424+238+115+144+202+40+134+698</f>
        <v>2787</v>
      </c>
      <c r="N392" s="133">
        <f t="shared" si="36"/>
        <v>6.837714388231072</v>
      </c>
      <c r="O392" s="352"/>
      <c r="P392" s="334"/>
      <c r="Q392" s="83"/>
      <c r="R392" s="83"/>
      <c r="S392" s="83"/>
      <c r="T392" s="83"/>
    </row>
    <row r="393" spans="1:20" ht="12" customHeight="1">
      <c r="A393" s="290">
        <v>389</v>
      </c>
      <c r="B393" s="123" t="s">
        <v>46</v>
      </c>
      <c r="C393" s="139">
        <v>40060</v>
      </c>
      <c r="D393" s="145" t="s">
        <v>326</v>
      </c>
      <c r="E393" s="156">
        <v>3</v>
      </c>
      <c r="F393" s="156">
        <v>1</v>
      </c>
      <c r="G393" s="156">
        <v>10</v>
      </c>
      <c r="H393" s="157">
        <v>53.64</v>
      </c>
      <c r="I393" s="184">
        <v>14</v>
      </c>
      <c r="J393" s="129">
        <f t="shared" si="35"/>
        <v>14</v>
      </c>
      <c r="K393" s="130">
        <f t="shared" si="34"/>
        <v>3.8314285714285714</v>
      </c>
      <c r="L393" s="144">
        <f>7317+3809.25+1860+639+729+966+238+668+2830.46+53.64</f>
        <v>19110.35</v>
      </c>
      <c r="M393" s="143">
        <f>792+424+238+115+144+202+40+134+698+14</f>
        <v>2801</v>
      </c>
      <c r="N393" s="133">
        <f t="shared" si="36"/>
        <v>6.822688325598</v>
      </c>
      <c r="O393" s="149"/>
      <c r="P393" s="334"/>
      <c r="Q393" s="83"/>
      <c r="R393" s="83"/>
      <c r="S393" s="83"/>
      <c r="T393" s="83"/>
    </row>
    <row r="394" spans="1:20" ht="12" customHeight="1">
      <c r="A394" s="290">
        <v>390</v>
      </c>
      <c r="B394" s="123" t="s">
        <v>279</v>
      </c>
      <c r="C394" s="124">
        <v>38800</v>
      </c>
      <c r="D394" s="134" t="s">
        <v>449</v>
      </c>
      <c r="E394" s="126">
        <v>58</v>
      </c>
      <c r="F394" s="126">
        <v>1</v>
      </c>
      <c r="G394" s="126">
        <v>41</v>
      </c>
      <c r="H394" s="162">
        <v>723</v>
      </c>
      <c r="I394" s="165">
        <v>115</v>
      </c>
      <c r="J394" s="129">
        <f t="shared" si="35"/>
        <v>115</v>
      </c>
      <c r="K394" s="130">
        <f t="shared" si="34"/>
        <v>6.28695652173913</v>
      </c>
      <c r="L394" s="164">
        <f>887873.4+120+723</f>
        <v>888716.4</v>
      </c>
      <c r="M394" s="153">
        <f>136470+17+115</f>
        <v>136602</v>
      </c>
      <c r="N394" s="133">
        <f t="shared" si="36"/>
        <v>6.505881319453596</v>
      </c>
      <c r="O394" s="159"/>
      <c r="P394" s="334"/>
      <c r="Q394" s="83"/>
      <c r="R394" s="83"/>
      <c r="S394" s="83"/>
      <c r="T394" s="83"/>
    </row>
    <row r="395" spans="1:20" ht="12" customHeight="1">
      <c r="A395" s="290">
        <v>391</v>
      </c>
      <c r="B395" s="448" t="s">
        <v>279</v>
      </c>
      <c r="C395" s="431">
        <v>38800</v>
      </c>
      <c r="D395" s="430" t="s">
        <v>449</v>
      </c>
      <c r="E395" s="432">
        <v>58</v>
      </c>
      <c r="F395" s="432">
        <v>1</v>
      </c>
      <c r="G395" s="432">
        <v>42</v>
      </c>
      <c r="H395" s="433">
        <v>420</v>
      </c>
      <c r="I395" s="434">
        <v>69</v>
      </c>
      <c r="J395" s="435">
        <f>IF(H395&lt;&gt;0,I395/F395,"")</f>
        <v>69</v>
      </c>
      <c r="K395" s="436">
        <f>IF(H395&lt;&gt;0,H395/I395,"")</f>
        <v>6.086956521739131</v>
      </c>
      <c r="L395" s="437">
        <f>887873.4+120+723+420</f>
        <v>889136.4</v>
      </c>
      <c r="M395" s="438">
        <f>136470+17+115+69</f>
        <v>136671</v>
      </c>
      <c r="N395" s="450">
        <f>IF(L395&lt;&gt;0,L395/M395,"")</f>
        <v>6.505669820225212</v>
      </c>
      <c r="O395" s="149"/>
      <c r="P395" s="334"/>
      <c r="Q395" s="83"/>
      <c r="R395" s="83"/>
      <c r="S395" s="83"/>
      <c r="T395" s="83"/>
    </row>
    <row r="396" spans="1:20" ht="12" customHeight="1">
      <c r="A396" s="290">
        <v>392</v>
      </c>
      <c r="B396" s="123" t="s">
        <v>279</v>
      </c>
      <c r="C396" s="139">
        <v>38800</v>
      </c>
      <c r="D396" s="125" t="s">
        <v>449</v>
      </c>
      <c r="E396" s="146">
        <v>58</v>
      </c>
      <c r="F396" s="146">
        <v>1</v>
      </c>
      <c r="G396" s="146">
        <v>36</v>
      </c>
      <c r="H396" s="141">
        <v>187</v>
      </c>
      <c r="I396" s="142">
        <v>26</v>
      </c>
      <c r="J396" s="129">
        <f aca="true" t="shared" si="37" ref="J396:J435">I396/F396</f>
        <v>26</v>
      </c>
      <c r="K396" s="130">
        <f aca="true" t="shared" si="38" ref="K396:K427">H396/I396</f>
        <v>7.1923076923076925</v>
      </c>
      <c r="L396" s="144">
        <f>887325.4+H396</f>
        <v>887512.4</v>
      </c>
      <c r="M396" s="143">
        <f>136390+I396</f>
        <v>136416</v>
      </c>
      <c r="N396" s="133">
        <f aca="true" t="shared" si="39" ref="N396:N435">+L396/M396</f>
        <v>6.50592599108609</v>
      </c>
      <c r="O396" s="108"/>
      <c r="P396" s="334"/>
      <c r="Q396" s="83"/>
      <c r="R396" s="83"/>
      <c r="S396" s="83"/>
      <c r="T396" s="83"/>
    </row>
    <row r="397" spans="1:20" ht="12" customHeight="1">
      <c r="A397" s="290">
        <v>393</v>
      </c>
      <c r="B397" s="123" t="s">
        <v>279</v>
      </c>
      <c r="C397" s="139">
        <v>38800</v>
      </c>
      <c r="D397" s="125" t="s">
        <v>449</v>
      </c>
      <c r="E397" s="146">
        <v>58</v>
      </c>
      <c r="F397" s="146">
        <v>1</v>
      </c>
      <c r="G397" s="146">
        <v>37</v>
      </c>
      <c r="H397" s="141">
        <v>167</v>
      </c>
      <c r="I397" s="142">
        <v>26</v>
      </c>
      <c r="J397" s="129">
        <f t="shared" si="37"/>
        <v>26</v>
      </c>
      <c r="K397" s="130">
        <f t="shared" si="38"/>
        <v>6.423076923076923</v>
      </c>
      <c r="L397" s="144">
        <f>887512.4+H397</f>
        <v>887679.4</v>
      </c>
      <c r="M397" s="143">
        <f>136416+I397</f>
        <v>136442</v>
      </c>
      <c r="N397" s="133">
        <f t="shared" si="39"/>
        <v>6.505910203602996</v>
      </c>
      <c r="O397" s="147"/>
      <c r="P397" s="334"/>
      <c r="Q397" s="83"/>
      <c r="R397" s="83"/>
      <c r="S397" s="83"/>
      <c r="T397" s="83"/>
    </row>
    <row r="398" spans="1:20" ht="12" customHeight="1">
      <c r="A398" s="290">
        <v>394</v>
      </c>
      <c r="B398" s="123" t="s">
        <v>279</v>
      </c>
      <c r="C398" s="139">
        <v>38800</v>
      </c>
      <c r="D398" s="125" t="s">
        <v>449</v>
      </c>
      <c r="E398" s="146">
        <v>58</v>
      </c>
      <c r="F398" s="146">
        <v>1</v>
      </c>
      <c r="G398" s="146">
        <v>40</v>
      </c>
      <c r="H398" s="141">
        <v>120</v>
      </c>
      <c r="I398" s="142">
        <v>17</v>
      </c>
      <c r="J398" s="129">
        <f t="shared" si="37"/>
        <v>17</v>
      </c>
      <c r="K398" s="130">
        <f t="shared" si="38"/>
        <v>7.0588235294117645</v>
      </c>
      <c r="L398" s="144">
        <f>887873.4+H398</f>
        <v>887993.4</v>
      </c>
      <c r="M398" s="143">
        <f>136470+I398</f>
        <v>136487</v>
      </c>
      <c r="N398" s="133">
        <f t="shared" si="39"/>
        <v>6.506065779158455</v>
      </c>
      <c r="O398" s="148"/>
      <c r="P398" s="334"/>
      <c r="Q398" s="83"/>
      <c r="R398" s="83"/>
      <c r="S398" s="83"/>
      <c r="T398" s="83"/>
    </row>
    <row r="399" spans="1:20" ht="12" customHeight="1">
      <c r="A399" s="290">
        <v>395</v>
      </c>
      <c r="B399" s="123" t="s">
        <v>279</v>
      </c>
      <c r="C399" s="139">
        <v>38800</v>
      </c>
      <c r="D399" s="145" t="s">
        <v>449</v>
      </c>
      <c r="E399" s="146">
        <v>58</v>
      </c>
      <c r="F399" s="146">
        <v>1</v>
      </c>
      <c r="G399" s="146">
        <v>38</v>
      </c>
      <c r="H399" s="137">
        <v>105</v>
      </c>
      <c r="I399" s="135">
        <v>15</v>
      </c>
      <c r="J399" s="129">
        <f t="shared" si="37"/>
        <v>15</v>
      </c>
      <c r="K399" s="130">
        <f t="shared" si="38"/>
        <v>7</v>
      </c>
      <c r="L399" s="144">
        <f>887679.4+H399</f>
        <v>887784.4</v>
      </c>
      <c r="M399" s="143">
        <f>136442+I399</f>
        <v>136457</v>
      </c>
      <c r="N399" s="133">
        <f t="shared" si="39"/>
        <v>6.505964516294511</v>
      </c>
      <c r="O399" s="148"/>
      <c r="P399" s="334"/>
      <c r="Q399" s="83"/>
      <c r="R399" s="83"/>
      <c r="S399" s="83"/>
      <c r="T399" s="83"/>
    </row>
    <row r="400" spans="1:20" ht="12" customHeight="1">
      <c r="A400" s="290">
        <v>396</v>
      </c>
      <c r="B400" s="123" t="s">
        <v>279</v>
      </c>
      <c r="C400" s="139">
        <v>38800</v>
      </c>
      <c r="D400" s="125" t="s">
        <v>449</v>
      </c>
      <c r="E400" s="146">
        <v>58</v>
      </c>
      <c r="F400" s="146">
        <v>1</v>
      </c>
      <c r="G400" s="146">
        <v>39</v>
      </c>
      <c r="H400" s="141">
        <v>89</v>
      </c>
      <c r="I400" s="142">
        <v>13</v>
      </c>
      <c r="J400" s="129">
        <f t="shared" si="37"/>
        <v>13</v>
      </c>
      <c r="K400" s="130">
        <f t="shared" si="38"/>
        <v>6.846153846153846</v>
      </c>
      <c r="L400" s="144">
        <f>887784.4+H400</f>
        <v>887873.4</v>
      </c>
      <c r="M400" s="143">
        <f>136457+I400</f>
        <v>136470</v>
      </c>
      <c r="N400" s="133">
        <f t="shared" si="39"/>
        <v>6.505996922400528</v>
      </c>
      <c r="O400" s="147"/>
      <c r="P400" s="334"/>
      <c r="Q400" s="83"/>
      <c r="R400" s="83"/>
      <c r="S400" s="83"/>
      <c r="T400" s="83"/>
    </row>
    <row r="401" spans="1:20" ht="12" customHeight="1">
      <c r="A401" s="290">
        <v>397</v>
      </c>
      <c r="B401" s="182" t="s">
        <v>428</v>
      </c>
      <c r="C401" s="171">
        <v>39892</v>
      </c>
      <c r="D401" s="145" t="s">
        <v>326</v>
      </c>
      <c r="E401" s="156">
        <v>5</v>
      </c>
      <c r="F401" s="156">
        <v>1</v>
      </c>
      <c r="G401" s="156">
        <v>23</v>
      </c>
      <c r="H401" s="157">
        <v>2376</v>
      </c>
      <c r="I401" s="158">
        <v>594</v>
      </c>
      <c r="J401" s="129">
        <f t="shared" si="37"/>
        <v>594</v>
      </c>
      <c r="K401" s="130">
        <f t="shared" si="38"/>
        <v>4</v>
      </c>
      <c r="L401" s="154">
        <f>18881.5+13473+6553+4173.5+2378+3269+2172+792+240+60+1236+552+1321+1757+465+884+565+65+261+952+114+51+2376</f>
        <v>62591</v>
      </c>
      <c r="M401" s="153">
        <f>2268+1745+795+568+579+610+541+209+80+20+215+68+169+337+93+144+93+15+56+238+23+20+594</f>
        <v>9480</v>
      </c>
      <c r="N401" s="133">
        <f t="shared" si="39"/>
        <v>6.6024261603375525</v>
      </c>
      <c r="O401" s="148"/>
      <c r="P401" s="334"/>
      <c r="Q401" s="83"/>
      <c r="R401" s="83"/>
      <c r="S401" s="83"/>
      <c r="T401" s="83"/>
    </row>
    <row r="402" spans="1:20" ht="12" customHeight="1">
      <c r="A402" s="290">
        <v>398</v>
      </c>
      <c r="B402" s="151" t="s">
        <v>428</v>
      </c>
      <c r="C402" s="139">
        <v>39892</v>
      </c>
      <c r="D402" s="145" t="s">
        <v>326</v>
      </c>
      <c r="E402" s="146">
        <v>5</v>
      </c>
      <c r="F402" s="146">
        <v>1</v>
      </c>
      <c r="G402" s="146">
        <v>20</v>
      </c>
      <c r="H402" s="141">
        <v>114</v>
      </c>
      <c r="I402" s="142">
        <v>23</v>
      </c>
      <c r="J402" s="129">
        <f t="shared" si="37"/>
        <v>23</v>
      </c>
      <c r="K402" s="130">
        <f t="shared" si="38"/>
        <v>4.956521739130435</v>
      </c>
      <c r="L402" s="144">
        <f>18881.5+13473+6553+4173.5+2378+3269+2172+792+240+60+1236+552+1321+1757+465+884+565+65+261+952+114</f>
        <v>60164</v>
      </c>
      <c r="M402" s="143">
        <f>2268+1745+795+568+579+610+541+209+80+20+215+68+169+337+93+144+93+15+56+238+23</f>
        <v>8866</v>
      </c>
      <c r="N402" s="133">
        <f t="shared" si="39"/>
        <v>6.785923753665689</v>
      </c>
      <c r="O402" s="149">
        <v>1</v>
      </c>
      <c r="P402" s="334"/>
      <c r="Q402" s="83"/>
      <c r="R402" s="83"/>
      <c r="S402" s="83"/>
      <c r="T402" s="83"/>
    </row>
    <row r="403" spans="1:20" ht="12" customHeight="1">
      <c r="A403" s="290">
        <v>399</v>
      </c>
      <c r="B403" s="151" t="s">
        <v>428</v>
      </c>
      <c r="C403" s="139">
        <v>39892</v>
      </c>
      <c r="D403" s="145" t="s">
        <v>326</v>
      </c>
      <c r="E403" s="146">
        <v>5</v>
      </c>
      <c r="F403" s="146">
        <v>1</v>
      </c>
      <c r="G403" s="146">
        <v>22</v>
      </c>
      <c r="H403" s="150">
        <v>51</v>
      </c>
      <c r="I403" s="152">
        <v>20</v>
      </c>
      <c r="J403" s="129">
        <f t="shared" si="37"/>
        <v>20</v>
      </c>
      <c r="K403" s="130">
        <f t="shared" si="38"/>
        <v>2.55</v>
      </c>
      <c r="L403" s="154">
        <f>18881.5+13473+6553+4173.5+2378+3269+2172+792+240+60+1236+552+1321+1757+465+884+565+65+261+952+114+51</f>
        <v>60215</v>
      </c>
      <c r="M403" s="153">
        <f>2268+1745+795+568+579+610+541+209+80+20+215+68+169+337+93+144+93+15+56+238+23+20</f>
        <v>8886</v>
      </c>
      <c r="N403" s="133">
        <f t="shared" si="39"/>
        <v>6.776389826693675</v>
      </c>
      <c r="O403" s="149"/>
      <c r="P403" s="334"/>
      <c r="Q403" s="83"/>
      <c r="R403" s="83"/>
      <c r="S403" s="83"/>
      <c r="T403" s="83"/>
    </row>
    <row r="404" spans="1:20" ht="12" customHeight="1">
      <c r="A404" s="290">
        <v>400</v>
      </c>
      <c r="B404" s="182" t="s">
        <v>175</v>
      </c>
      <c r="C404" s="171">
        <v>40088</v>
      </c>
      <c r="D404" s="145" t="s">
        <v>326</v>
      </c>
      <c r="E404" s="156">
        <v>22</v>
      </c>
      <c r="F404" s="156">
        <v>22</v>
      </c>
      <c r="G404" s="156">
        <v>12</v>
      </c>
      <c r="H404" s="157">
        <v>126229.75</v>
      </c>
      <c r="I404" s="158">
        <v>10017</v>
      </c>
      <c r="J404" s="129">
        <f t="shared" si="37"/>
        <v>455.3181818181818</v>
      </c>
      <c r="K404" s="130">
        <f t="shared" si="38"/>
        <v>12.601552360986323</v>
      </c>
      <c r="L404" s="154">
        <f>25195+10013.5+1152+270+83.5+141+48+709.5+1424+1356+5416.5+126229.75</f>
        <v>172038.75</v>
      </c>
      <c r="M404" s="153">
        <f>2139+1282+178+44+14+26+8+240+356+299+446+10017</f>
        <v>15049</v>
      </c>
      <c r="N404" s="133">
        <f t="shared" si="39"/>
        <v>11.431905774470064</v>
      </c>
      <c r="O404" s="148">
        <v>1</v>
      </c>
      <c r="P404" s="334"/>
      <c r="Q404" s="83"/>
      <c r="R404" s="83"/>
      <c r="S404" s="83"/>
      <c r="T404" s="83"/>
    </row>
    <row r="405" spans="1:20" ht="12" customHeight="1">
      <c r="A405" s="290">
        <v>401</v>
      </c>
      <c r="B405" s="182" t="s">
        <v>175</v>
      </c>
      <c r="C405" s="171">
        <v>40088</v>
      </c>
      <c r="D405" s="145" t="s">
        <v>326</v>
      </c>
      <c r="E405" s="156">
        <v>22</v>
      </c>
      <c r="F405" s="156">
        <v>9</v>
      </c>
      <c r="G405" s="156">
        <v>13</v>
      </c>
      <c r="H405" s="157">
        <v>19198.5</v>
      </c>
      <c r="I405" s="158">
        <v>1456</v>
      </c>
      <c r="J405" s="129">
        <f t="shared" si="37"/>
        <v>161.77777777777777</v>
      </c>
      <c r="K405" s="130">
        <f t="shared" si="38"/>
        <v>13.185782967032967</v>
      </c>
      <c r="L405" s="154">
        <f>25195+10013.5+1152+270+83.5+141+48+709.5+1424+1356+5416.5+126229.75+19198.5</f>
        <v>191237.25</v>
      </c>
      <c r="M405" s="153">
        <f>2139+1282+178+44+14+26+8+240+356+299+446+10017+1456</f>
        <v>16505</v>
      </c>
      <c r="N405" s="133">
        <f t="shared" si="39"/>
        <v>11.586625265071191</v>
      </c>
      <c r="O405" s="185"/>
      <c r="P405" s="334"/>
      <c r="Q405" s="83"/>
      <c r="R405" s="83"/>
      <c r="S405" s="83"/>
      <c r="T405" s="83"/>
    </row>
    <row r="406" spans="1:20" ht="12" customHeight="1">
      <c r="A406" s="290">
        <v>402</v>
      </c>
      <c r="B406" s="123" t="s">
        <v>175</v>
      </c>
      <c r="C406" s="124">
        <v>40088</v>
      </c>
      <c r="D406" s="145" t="s">
        <v>326</v>
      </c>
      <c r="E406" s="126">
        <v>22</v>
      </c>
      <c r="F406" s="126">
        <v>8</v>
      </c>
      <c r="G406" s="126">
        <v>15</v>
      </c>
      <c r="H406" s="127">
        <v>6475.5</v>
      </c>
      <c r="I406" s="128">
        <v>877</v>
      </c>
      <c r="J406" s="129">
        <f t="shared" si="37"/>
        <v>109.625</v>
      </c>
      <c r="K406" s="130">
        <f t="shared" si="38"/>
        <v>7.38369441277081</v>
      </c>
      <c r="L406" s="131">
        <f>25195+10013.5+1152+270+83.5+141+48+709.5+1424+1356+5416.5+126229.75+19059.5+5814+6475.5</f>
        <v>203387.75</v>
      </c>
      <c r="M406" s="132">
        <f>2139+1282+178+44+14+26+8+240+356+299+446+10017+1456+869+877</f>
        <v>18251</v>
      </c>
      <c r="N406" s="133">
        <f t="shared" si="39"/>
        <v>11.143923620623527</v>
      </c>
      <c r="O406" s="159">
        <v>1</v>
      </c>
      <c r="P406" s="334"/>
      <c r="Q406" s="83"/>
      <c r="R406" s="83"/>
      <c r="S406" s="83"/>
      <c r="T406" s="83"/>
    </row>
    <row r="407" spans="1:20" ht="12" customHeight="1">
      <c r="A407" s="290">
        <v>403</v>
      </c>
      <c r="B407" s="182" t="s">
        <v>175</v>
      </c>
      <c r="C407" s="139">
        <v>40088</v>
      </c>
      <c r="D407" s="145" t="s">
        <v>326</v>
      </c>
      <c r="E407" s="156">
        <v>22</v>
      </c>
      <c r="F407" s="156">
        <v>3</v>
      </c>
      <c r="G407" s="156">
        <v>17</v>
      </c>
      <c r="H407" s="157">
        <v>6300</v>
      </c>
      <c r="I407" s="158">
        <v>776</v>
      </c>
      <c r="J407" s="129">
        <f t="shared" si="37"/>
        <v>258.6666666666667</v>
      </c>
      <c r="K407" s="130">
        <f t="shared" si="38"/>
        <v>8.118556701030927</v>
      </c>
      <c r="L407" s="154">
        <f>25195+10013.5+1152+270+83.5+141+48+709.5+1424+1356+5416.5+126229.75+19059.5+5814+6475.5+5450+6300</f>
        <v>215137.75</v>
      </c>
      <c r="M407" s="153">
        <f>2139+1282+178+44+14+26+8+240+356+299+446+10017+1456+869+877+646+776</f>
        <v>19673</v>
      </c>
      <c r="N407" s="133">
        <f t="shared" si="39"/>
        <v>10.935685965536521</v>
      </c>
      <c r="O407" s="148"/>
      <c r="P407" s="334"/>
      <c r="Q407" s="83"/>
      <c r="R407" s="83"/>
      <c r="S407" s="83"/>
      <c r="T407" s="83"/>
    </row>
    <row r="408" spans="1:20" ht="12" customHeight="1">
      <c r="A408" s="290">
        <v>404</v>
      </c>
      <c r="B408" s="123" t="s">
        <v>175</v>
      </c>
      <c r="C408" s="124">
        <v>40088</v>
      </c>
      <c r="D408" s="145" t="s">
        <v>326</v>
      </c>
      <c r="E408" s="126">
        <v>22</v>
      </c>
      <c r="F408" s="126">
        <v>6</v>
      </c>
      <c r="G408" s="126">
        <v>14</v>
      </c>
      <c r="H408" s="127">
        <v>5814</v>
      </c>
      <c r="I408" s="135">
        <v>869</v>
      </c>
      <c r="J408" s="129">
        <f t="shared" si="37"/>
        <v>144.83333333333334</v>
      </c>
      <c r="K408" s="130">
        <f t="shared" si="38"/>
        <v>6.690448791714615</v>
      </c>
      <c r="L408" s="131">
        <f>25195+10013.5+1152+270+83.5+141+48+709.5+1424+1356+5416.5+126229.75+19059.5+5814</f>
        <v>196912.25</v>
      </c>
      <c r="M408" s="136">
        <f>2139+1282+178+44+14+26+8+240+356+299+446+10017+1456+869</f>
        <v>17374</v>
      </c>
      <c r="N408" s="133">
        <f t="shared" si="39"/>
        <v>11.333731437780592</v>
      </c>
      <c r="O408" s="149">
        <v>1</v>
      </c>
      <c r="P408" s="334"/>
      <c r="Q408" s="83"/>
      <c r="R408" s="83"/>
      <c r="S408" s="83"/>
      <c r="T408" s="83"/>
    </row>
    <row r="409" spans="1:20" ht="12" customHeight="1">
      <c r="A409" s="290">
        <v>405</v>
      </c>
      <c r="B409" s="182" t="s">
        <v>175</v>
      </c>
      <c r="C409" s="139">
        <v>40088</v>
      </c>
      <c r="D409" s="145" t="s">
        <v>326</v>
      </c>
      <c r="E409" s="156">
        <v>22</v>
      </c>
      <c r="F409" s="156">
        <v>6</v>
      </c>
      <c r="G409" s="156">
        <v>16</v>
      </c>
      <c r="H409" s="157">
        <v>5450</v>
      </c>
      <c r="I409" s="158">
        <v>646</v>
      </c>
      <c r="J409" s="129">
        <f t="shared" si="37"/>
        <v>107.66666666666667</v>
      </c>
      <c r="K409" s="130">
        <f t="shared" si="38"/>
        <v>8.436532507739939</v>
      </c>
      <c r="L409" s="154">
        <f>25195+10013.5+1152+270+83.5+141+48+709.5+1424+1356+5416.5+126229.75+19059.5+5814+6475.5+5450</f>
        <v>208837.75</v>
      </c>
      <c r="M409" s="153">
        <f>2139+1282+178+44+14+26+8+240+356+299+446+10017+1456+869+877+646</f>
        <v>18897</v>
      </c>
      <c r="N409" s="133">
        <f t="shared" si="39"/>
        <v>11.051370587924009</v>
      </c>
      <c r="O409" s="149">
        <v>1</v>
      </c>
      <c r="P409" s="334"/>
      <c r="Q409" s="83"/>
      <c r="R409" s="83"/>
      <c r="S409" s="83"/>
      <c r="T409" s="83"/>
    </row>
    <row r="410" spans="1:20" ht="12" customHeight="1">
      <c r="A410" s="290">
        <v>406</v>
      </c>
      <c r="B410" s="151" t="s">
        <v>175</v>
      </c>
      <c r="C410" s="171">
        <v>40088</v>
      </c>
      <c r="D410" s="145" t="s">
        <v>326</v>
      </c>
      <c r="E410" s="156">
        <v>22</v>
      </c>
      <c r="F410" s="156">
        <v>2</v>
      </c>
      <c r="G410" s="156">
        <v>11</v>
      </c>
      <c r="H410" s="157">
        <v>5416.5</v>
      </c>
      <c r="I410" s="158">
        <v>446</v>
      </c>
      <c r="J410" s="129">
        <f t="shared" si="37"/>
        <v>223</v>
      </c>
      <c r="K410" s="130">
        <f t="shared" si="38"/>
        <v>12.144618834080717</v>
      </c>
      <c r="L410" s="154">
        <f>25195+10013.5+1152+270+83.5+141+48+709.5+1424+1356+5416.5</f>
        <v>45809</v>
      </c>
      <c r="M410" s="153">
        <f>2139+1282+178+44+14+26+8+240+356+299+446</f>
        <v>5032</v>
      </c>
      <c r="N410" s="133">
        <f t="shared" si="39"/>
        <v>9.103537360890302</v>
      </c>
      <c r="O410" s="149">
        <v>1</v>
      </c>
      <c r="P410" s="334"/>
      <c r="Q410" s="83"/>
      <c r="R410" s="83"/>
      <c r="S410" s="83"/>
      <c r="T410" s="83"/>
    </row>
    <row r="411" spans="1:20" ht="12" customHeight="1">
      <c r="A411" s="290">
        <v>407</v>
      </c>
      <c r="B411" s="123" t="s">
        <v>175</v>
      </c>
      <c r="C411" s="139">
        <v>40088</v>
      </c>
      <c r="D411" s="145" t="s">
        <v>326</v>
      </c>
      <c r="E411" s="156">
        <v>22</v>
      </c>
      <c r="F411" s="156">
        <v>3</v>
      </c>
      <c r="G411" s="156">
        <v>18</v>
      </c>
      <c r="H411" s="157">
        <v>4948</v>
      </c>
      <c r="I411" s="158">
        <v>686</v>
      </c>
      <c r="J411" s="129">
        <f t="shared" si="37"/>
        <v>228.66666666666666</v>
      </c>
      <c r="K411" s="130">
        <f t="shared" si="38"/>
        <v>7.2128279883381925</v>
      </c>
      <c r="L411" s="154">
        <f>25195+10013.5+1152+270+83.5+141+48+709.5+1424+1356+5416.5+126229.75+19059.5+5814+6475.5+5450+6300+4948</f>
        <v>220085.75</v>
      </c>
      <c r="M411" s="153">
        <f>2139+1282+178+44+14+26+8+240+356+299+446+10017+1456+869+877+646+776+686</f>
        <v>20359</v>
      </c>
      <c r="N411" s="133">
        <f t="shared" si="39"/>
        <v>10.810243626897195</v>
      </c>
      <c r="O411" s="147">
        <v>1</v>
      </c>
      <c r="P411" s="334"/>
      <c r="Q411" s="83"/>
      <c r="R411" s="83"/>
      <c r="S411" s="83"/>
      <c r="T411" s="83"/>
    </row>
    <row r="412" spans="1:20" ht="12" customHeight="1">
      <c r="A412" s="290">
        <v>408</v>
      </c>
      <c r="B412" s="167" t="s">
        <v>175</v>
      </c>
      <c r="C412" s="168">
        <v>40088</v>
      </c>
      <c r="D412" s="145" t="s">
        <v>326</v>
      </c>
      <c r="E412" s="169">
        <v>22</v>
      </c>
      <c r="F412" s="169">
        <v>1</v>
      </c>
      <c r="G412" s="169">
        <v>9</v>
      </c>
      <c r="H412" s="137">
        <v>1424</v>
      </c>
      <c r="I412" s="135">
        <v>356</v>
      </c>
      <c r="J412" s="129">
        <f t="shared" si="37"/>
        <v>356</v>
      </c>
      <c r="K412" s="130">
        <f t="shared" si="38"/>
        <v>4</v>
      </c>
      <c r="L412" s="138">
        <f>25195+10013.5+1152+270+83.5+141+48+709.5+1424</f>
        <v>39036.5</v>
      </c>
      <c r="M412" s="136">
        <f>2139+1282+178+44+14+26+8+240+356</f>
        <v>4287</v>
      </c>
      <c r="N412" s="133">
        <f t="shared" si="39"/>
        <v>9.10578493118731</v>
      </c>
      <c r="O412" s="149">
        <v>1</v>
      </c>
      <c r="P412" s="334"/>
      <c r="Q412" s="83"/>
      <c r="R412" s="83"/>
      <c r="S412" s="83"/>
      <c r="T412" s="83"/>
    </row>
    <row r="413" spans="1:20" ht="12" customHeight="1">
      <c r="A413" s="290">
        <v>409</v>
      </c>
      <c r="B413" s="151" t="s">
        <v>175</v>
      </c>
      <c r="C413" s="139">
        <v>40088</v>
      </c>
      <c r="D413" s="145" t="s">
        <v>326</v>
      </c>
      <c r="E413" s="146">
        <v>22</v>
      </c>
      <c r="F413" s="146">
        <v>3</v>
      </c>
      <c r="G413" s="146">
        <v>10</v>
      </c>
      <c r="H413" s="141">
        <v>1356</v>
      </c>
      <c r="I413" s="142">
        <v>299</v>
      </c>
      <c r="J413" s="129">
        <f t="shared" si="37"/>
        <v>99.66666666666667</v>
      </c>
      <c r="K413" s="130">
        <f t="shared" si="38"/>
        <v>4.535117056856187</v>
      </c>
      <c r="L413" s="144">
        <f>25195+10013.5+1152+270+83.5+141+48+709.5+1424+1356</f>
        <v>40392.5</v>
      </c>
      <c r="M413" s="143">
        <f>2139+1282+178+44+14+26+8+240+356+299</f>
        <v>4586</v>
      </c>
      <c r="N413" s="133">
        <f t="shared" si="39"/>
        <v>8.807784561709552</v>
      </c>
      <c r="O413" s="147">
        <v>1</v>
      </c>
      <c r="P413" s="334"/>
      <c r="Q413" s="83"/>
      <c r="R413" s="83"/>
      <c r="S413" s="83"/>
      <c r="T413" s="83"/>
    </row>
    <row r="414" spans="1:20" ht="12" customHeight="1">
      <c r="A414" s="290">
        <v>410</v>
      </c>
      <c r="B414" s="123" t="s">
        <v>175</v>
      </c>
      <c r="C414" s="139">
        <v>40088</v>
      </c>
      <c r="D414" s="125" t="s">
        <v>326</v>
      </c>
      <c r="E414" s="146">
        <v>22</v>
      </c>
      <c r="F414" s="146">
        <v>1</v>
      </c>
      <c r="G414" s="146">
        <v>21</v>
      </c>
      <c r="H414" s="141">
        <v>1188</v>
      </c>
      <c r="I414" s="142">
        <v>297</v>
      </c>
      <c r="J414" s="129">
        <f t="shared" si="37"/>
        <v>297</v>
      </c>
      <c r="K414" s="130">
        <f t="shared" si="38"/>
        <v>4</v>
      </c>
      <c r="L414" s="144">
        <f>25195+10013.5+1152+270+83.5+141+48+709.5+1424+1356+5416.5+126229.75+19059.5+5814+6475.5+5450+6300+4948+862+493+1188</f>
        <v>222628.75</v>
      </c>
      <c r="M414" s="143">
        <f>2139+1282+178+44+14+26+8+240+356+299+446+10017+1456+869+877+646+776+686+134+93+297</f>
        <v>20883</v>
      </c>
      <c r="N414" s="133">
        <f t="shared" si="39"/>
        <v>10.660764736867309</v>
      </c>
      <c r="O414" s="149"/>
      <c r="P414" s="334"/>
      <c r="Q414" s="83"/>
      <c r="R414" s="83"/>
      <c r="S414" s="83"/>
      <c r="T414" s="83"/>
    </row>
    <row r="415" spans="1:20" ht="12" customHeight="1">
      <c r="A415" s="290">
        <v>411</v>
      </c>
      <c r="B415" s="123" t="s">
        <v>175</v>
      </c>
      <c r="C415" s="139">
        <v>40088</v>
      </c>
      <c r="D415" s="145" t="s">
        <v>326</v>
      </c>
      <c r="E415" s="156">
        <v>22</v>
      </c>
      <c r="F415" s="156">
        <v>2</v>
      </c>
      <c r="G415" s="156">
        <v>19</v>
      </c>
      <c r="H415" s="157">
        <v>862</v>
      </c>
      <c r="I415" s="158">
        <v>134</v>
      </c>
      <c r="J415" s="129">
        <f t="shared" si="37"/>
        <v>67</v>
      </c>
      <c r="K415" s="130">
        <f t="shared" si="38"/>
        <v>6.432835820895522</v>
      </c>
      <c r="L415" s="154">
        <f>25195+10013.5+1152+270+83.5+141+48+709.5+1424+1356+5416.5+126229.75+19059.5+5814+6475.5+5450+6300+4948+862</f>
        <v>220947.75</v>
      </c>
      <c r="M415" s="153">
        <f>2139+1282+178+44+14+26+8+240+356+299+446+10017+1456+869+877+646+776+686+134</f>
        <v>20493</v>
      </c>
      <c r="N415" s="133">
        <f t="shared" si="39"/>
        <v>10.781620553359684</v>
      </c>
      <c r="O415" s="149"/>
      <c r="P415" s="334"/>
      <c r="Q415" s="83"/>
      <c r="R415" s="83"/>
      <c r="S415" s="83"/>
      <c r="T415" s="83"/>
    </row>
    <row r="416" spans="1:20" ht="12" customHeight="1">
      <c r="A416" s="290">
        <v>412</v>
      </c>
      <c r="B416" s="123" t="s">
        <v>175</v>
      </c>
      <c r="C416" s="139">
        <v>40088</v>
      </c>
      <c r="D416" s="145" t="s">
        <v>326</v>
      </c>
      <c r="E416" s="156">
        <v>22</v>
      </c>
      <c r="F416" s="156">
        <v>1</v>
      </c>
      <c r="G416" s="156">
        <v>20</v>
      </c>
      <c r="H416" s="157">
        <v>493</v>
      </c>
      <c r="I416" s="184">
        <v>93</v>
      </c>
      <c r="J416" s="129">
        <f t="shared" si="37"/>
        <v>93</v>
      </c>
      <c r="K416" s="130">
        <f t="shared" si="38"/>
        <v>5.301075268817204</v>
      </c>
      <c r="L416" s="144">
        <f>25195+10013.5+1152+270+83.5+141+48+709.5+1424+1356+5416.5+126229.75+19059.5+5814+6475.5+5450+6300+4948+862+493</f>
        <v>221440.75</v>
      </c>
      <c r="M416" s="143">
        <f>2139+1282+178+44+14+26+8+240+356+299+446+10017+1456+869+877+646+776+686+134+93</f>
        <v>20586</v>
      </c>
      <c r="N416" s="133">
        <f t="shared" si="39"/>
        <v>10.756861459244147</v>
      </c>
      <c r="O416" s="149"/>
      <c r="P416" s="334"/>
      <c r="Q416" s="83"/>
      <c r="R416" s="83"/>
      <c r="S416" s="83"/>
      <c r="T416" s="83"/>
    </row>
    <row r="417" spans="1:20" ht="12" customHeight="1">
      <c r="A417" s="290">
        <v>413</v>
      </c>
      <c r="B417" s="167" t="s">
        <v>363</v>
      </c>
      <c r="C417" s="168">
        <v>40151</v>
      </c>
      <c r="D417" s="145" t="s">
        <v>326</v>
      </c>
      <c r="E417" s="169">
        <v>2</v>
      </c>
      <c r="F417" s="169">
        <v>2</v>
      </c>
      <c r="G417" s="169">
        <v>7</v>
      </c>
      <c r="H417" s="127">
        <v>1006</v>
      </c>
      <c r="I417" s="135">
        <v>130</v>
      </c>
      <c r="J417" s="129">
        <f t="shared" si="37"/>
        <v>65</v>
      </c>
      <c r="K417" s="130">
        <f t="shared" si="38"/>
        <v>7.7384615384615385</v>
      </c>
      <c r="L417" s="131">
        <f>14952+6112+2196+2975+2853+674+1006</f>
        <v>30768</v>
      </c>
      <c r="M417" s="136">
        <f>1468+666+254+478+502+81+130</f>
        <v>3579</v>
      </c>
      <c r="N417" s="133">
        <f t="shared" si="39"/>
        <v>8.596814752724224</v>
      </c>
      <c r="O417" s="108"/>
      <c r="P417" s="334"/>
      <c r="Q417" s="83"/>
      <c r="R417" s="83"/>
      <c r="S417" s="83"/>
      <c r="T417" s="83"/>
    </row>
    <row r="418" spans="1:20" ht="12" customHeight="1">
      <c r="A418" s="290">
        <v>414</v>
      </c>
      <c r="B418" s="182" t="s">
        <v>345</v>
      </c>
      <c r="C418" s="171">
        <v>39995</v>
      </c>
      <c r="D418" s="145" t="s">
        <v>326</v>
      </c>
      <c r="E418" s="156">
        <v>209</v>
      </c>
      <c r="F418" s="156">
        <v>5</v>
      </c>
      <c r="G418" s="156">
        <v>36</v>
      </c>
      <c r="H418" s="157">
        <v>10448</v>
      </c>
      <c r="I418" s="158">
        <v>2612</v>
      </c>
      <c r="J418" s="129">
        <f t="shared" si="37"/>
        <v>522.4</v>
      </c>
      <c r="K418" s="130">
        <f t="shared" si="38"/>
        <v>4</v>
      </c>
      <c r="L418" s="154">
        <f>872160.5+3062686.25+2016658.5+1330226.25+943221.5+742732+516667.5+450351.5+331944.75+238834+191406+133484.5+252388.75+88483.5+54821.5+50455.5+10393.5+13219.5+4551+15537+5404+869+4082+1834+3805+1635+750+1385+2821+5898+4584.5+5853+2137+508+960+2260+10448</f>
        <v>11375457</v>
      </c>
      <c r="M418" s="153">
        <f>115039+364710+241056+162109+115810+90639+66180+59650+44695+33272+25508+18324+32600+11489+6695+7353+1723+3013+920+3530+1123+138+968+454+919+396+210+249+551+1381+976+1328+506+127+240+565+2612</f>
        <v>1417058</v>
      </c>
      <c r="N418" s="133">
        <f t="shared" si="39"/>
        <v>8.027516869457708</v>
      </c>
      <c r="O418" s="349"/>
      <c r="P418" s="334"/>
      <c r="Q418" s="83"/>
      <c r="R418" s="83"/>
      <c r="S418" s="83"/>
      <c r="T418" s="83"/>
    </row>
    <row r="419" spans="1:20" ht="12" customHeight="1">
      <c r="A419" s="290">
        <v>415</v>
      </c>
      <c r="B419" s="123" t="s">
        <v>345</v>
      </c>
      <c r="C419" s="139">
        <v>39995</v>
      </c>
      <c r="D419" s="125" t="s">
        <v>326</v>
      </c>
      <c r="E419" s="146">
        <v>209</v>
      </c>
      <c r="F419" s="146">
        <v>4</v>
      </c>
      <c r="G419" s="146">
        <v>55</v>
      </c>
      <c r="H419" s="141">
        <v>6614</v>
      </c>
      <c r="I419" s="142">
        <v>1638</v>
      </c>
      <c r="J419" s="129">
        <f t="shared" si="37"/>
        <v>409.5</v>
      </c>
      <c r="K419" s="130">
        <f t="shared" si="38"/>
        <v>4.037851037851038</v>
      </c>
      <c r="L419" s="144">
        <f>11405777.5+385+1188+6614</f>
        <v>11413964.5</v>
      </c>
      <c r="M419" s="143">
        <f>1424397+63+297+1638</f>
        <v>1426395</v>
      </c>
      <c r="N419" s="133">
        <f t="shared" si="39"/>
        <v>8.001966145422552</v>
      </c>
      <c r="O419" s="149"/>
      <c r="P419" s="334"/>
      <c r="Q419" s="83"/>
      <c r="R419" s="83"/>
      <c r="S419" s="83"/>
      <c r="T419" s="83"/>
    </row>
    <row r="420" spans="1:20" ht="12" customHeight="1">
      <c r="A420" s="290">
        <v>416</v>
      </c>
      <c r="B420" s="167" t="s">
        <v>345</v>
      </c>
      <c r="C420" s="168">
        <v>39995</v>
      </c>
      <c r="D420" s="145" t="s">
        <v>326</v>
      </c>
      <c r="E420" s="169">
        <v>209</v>
      </c>
      <c r="F420" s="169">
        <v>4</v>
      </c>
      <c r="G420" s="169">
        <v>29</v>
      </c>
      <c r="H420" s="127">
        <v>5898</v>
      </c>
      <c r="I420" s="135">
        <v>1381</v>
      </c>
      <c r="J420" s="129">
        <f t="shared" si="37"/>
        <v>345.25</v>
      </c>
      <c r="K420" s="130">
        <f t="shared" si="38"/>
        <v>4.270818247646633</v>
      </c>
      <c r="L420" s="131">
        <f>872160.5+3062686.25+2016658.5+1330226.25+943221.5+742732+516667.5+450351.5+331944.75+238834+191406+133484.5+252388.75+88483.5+54821.5+50455.5+10393.5+13219.5+4551+15537+5404+869+4082+1834+3805+1635+750+1385+2821+5898</f>
        <v>11348706.5</v>
      </c>
      <c r="M420" s="136">
        <f>115039+364710+241056+162109+115810+90639+66180+59650+44695+33272+25508+18324+32600+11489+6695+7353+1723+3013+920+3530+1123+138+968+454+919+396+210+249+551+1381</f>
        <v>1410704</v>
      </c>
      <c r="N420" s="133">
        <f t="shared" si="39"/>
        <v>8.044711363971464</v>
      </c>
      <c r="O420" s="149"/>
      <c r="P420" s="334"/>
      <c r="Q420" s="83"/>
      <c r="R420" s="83"/>
      <c r="S420" s="83"/>
      <c r="T420" s="83"/>
    </row>
    <row r="421" spans="1:20" ht="12" customHeight="1">
      <c r="A421" s="290">
        <v>417</v>
      </c>
      <c r="B421" s="167" t="s">
        <v>345</v>
      </c>
      <c r="C421" s="168">
        <v>39995</v>
      </c>
      <c r="D421" s="145" t="s">
        <v>326</v>
      </c>
      <c r="E421" s="169">
        <v>209</v>
      </c>
      <c r="F421" s="169">
        <v>5</v>
      </c>
      <c r="G421" s="169">
        <v>31</v>
      </c>
      <c r="H421" s="137">
        <v>5853</v>
      </c>
      <c r="I421" s="135">
        <v>1328</v>
      </c>
      <c r="J421" s="129">
        <f t="shared" si="37"/>
        <v>265.6</v>
      </c>
      <c r="K421" s="130">
        <f t="shared" si="38"/>
        <v>4.407379518072289</v>
      </c>
      <c r="L421" s="138">
        <f>872160.5+3062686.25+2016658.5+1330226.25+943221.5+742732+516667.5+450351.5+331944.75+238834+191406+133484.5+252388.75+88483.5+54821.5+50455.5+10393.5+13219.5+4551+15537+5404+869+4082+1834+3805+1635+750+1385+2821+5898+4584.5+5853</f>
        <v>11359144</v>
      </c>
      <c r="M421" s="136">
        <f>115039+364710+241056+162109+115810+90639+66180+59650+44695+33272+25508+18324+32600+11489+6695+7353+1723+3013+920+3530+1123+138+968+454+919+396+210+249+551+1381+976+1328</f>
        <v>1413008</v>
      </c>
      <c r="N421" s="133">
        <f t="shared" si="39"/>
        <v>8.038980671022387</v>
      </c>
      <c r="O421" s="149"/>
      <c r="P421" s="334"/>
      <c r="Q421" s="83"/>
      <c r="R421" s="83"/>
      <c r="S421" s="83"/>
      <c r="T421" s="83"/>
    </row>
    <row r="422" spans="1:20" ht="12" customHeight="1">
      <c r="A422" s="290">
        <v>418</v>
      </c>
      <c r="B422" s="123" t="s">
        <v>345</v>
      </c>
      <c r="C422" s="139">
        <v>39995</v>
      </c>
      <c r="D422" s="125" t="s">
        <v>338</v>
      </c>
      <c r="E422" s="146">
        <v>209</v>
      </c>
      <c r="F422" s="146">
        <v>4</v>
      </c>
      <c r="G422" s="146">
        <v>51</v>
      </c>
      <c r="H422" s="141">
        <v>4759</v>
      </c>
      <c r="I422" s="142">
        <v>1130</v>
      </c>
      <c r="J422" s="129">
        <f t="shared" si="37"/>
        <v>282.5</v>
      </c>
      <c r="K422" s="130">
        <f t="shared" si="38"/>
        <v>4.211504424778761</v>
      </c>
      <c r="L422" s="144">
        <f>872160.5+3062686.25+2016658.5+1330226.25+943221.5+742732+516667.5+450351.5+331944.75+238834+191406+133484.5+252388.75+88483.5+54821.5+50455.5+10393.5+13219.5+4551+15537+5404+869+4082+1834+3805+1635+750+1385+2821+5898+4584.5+5853+2137+508+960+2260+10448+960+932+543+451+1939+592+592+592+1545.5+974+2612+2612+3564+4681+4759</f>
        <v>11402805.5</v>
      </c>
      <c r="M422" s="143">
        <f>115039+364710+241056+162109+115810+90639+66180+59650+44695+33272+25508+18324+32600+11489+6695+7353+1723+3013+920+3530+1123+138+968+454+919+396+210+249+551+1381+976+1328+506+127+240+565+2612+240+233+106+87+474+148+148+148+381+237+653+653+891+1067+1130</f>
        <v>1423654</v>
      </c>
      <c r="N422" s="133">
        <f t="shared" si="39"/>
        <v>8.009534268860271</v>
      </c>
      <c r="O422" s="181"/>
      <c r="P422" s="334"/>
      <c r="Q422" s="83"/>
      <c r="R422" s="83"/>
      <c r="S422" s="83"/>
      <c r="T422" s="83"/>
    </row>
    <row r="423" spans="1:20" ht="12" customHeight="1">
      <c r="A423" s="290">
        <v>419</v>
      </c>
      <c r="B423" s="123" t="s">
        <v>345</v>
      </c>
      <c r="C423" s="124">
        <v>39995</v>
      </c>
      <c r="D423" s="125" t="s">
        <v>326</v>
      </c>
      <c r="E423" s="126">
        <v>209</v>
      </c>
      <c r="F423" s="126">
        <v>3</v>
      </c>
      <c r="G423" s="126">
        <v>50</v>
      </c>
      <c r="H423" s="137">
        <v>4681</v>
      </c>
      <c r="I423" s="135">
        <v>1067</v>
      </c>
      <c r="J423" s="129">
        <f t="shared" si="37"/>
        <v>355.6666666666667</v>
      </c>
      <c r="K423" s="130">
        <f t="shared" si="38"/>
        <v>4.387066541705717</v>
      </c>
      <c r="L423" s="138">
        <f>872160.5+3062686.25+2016658.5+1330226.25+943221.5+742732+516667.5+450351.5+331944.75+238834+191406+133484.5+252388.75+88483.5+54821.5+50455.5+10393.5+13219.5+4551+15537+5404+869+4082+1834+3805+1635+750+1385+2821+5898+4584.5+5853+2137+508+960+2260+10448+960+932+543+451+1939+592+592+592+1545.5+974+2612+2612+3564+4681</f>
        <v>11398046.5</v>
      </c>
      <c r="M423" s="136">
        <f>115039+364710+241056+162109+115810+90639+66180+59650+44695+33272+25508+18324+32600+11489+6695+7353+1723+3013+920+3530+1123+138+968+454+919+396+210+249+551+1381+976+1328+506+127+240+565+2612+240+233+106+87+474+148+148+148+381+237+653+653+891+1067</f>
        <v>1422524</v>
      </c>
      <c r="N423" s="133">
        <f t="shared" si="39"/>
        <v>8.012551282087331</v>
      </c>
      <c r="O423" s="149"/>
      <c r="P423" s="334"/>
      <c r="Q423" s="83"/>
      <c r="R423" s="83"/>
      <c r="S423" s="83"/>
      <c r="T423" s="83"/>
    </row>
    <row r="424" spans="1:20" ht="12" customHeight="1">
      <c r="A424" s="290">
        <v>420</v>
      </c>
      <c r="B424" s="151" t="s">
        <v>345</v>
      </c>
      <c r="C424" s="139">
        <v>39995</v>
      </c>
      <c r="D424" s="145" t="s">
        <v>326</v>
      </c>
      <c r="E424" s="146">
        <v>209</v>
      </c>
      <c r="F424" s="146">
        <v>6</v>
      </c>
      <c r="G424" s="146">
        <v>30</v>
      </c>
      <c r="H424" s="137">
        <v>4584.5</v>
      </c>
      <c r="I424" s="135">
        <v>976</v>
      </c>
      <c r="J424" s="129">
        <f t="shared" si="37"/>
        <v>162.66666666666666</v>
      </c>
      <c r="K424" s="130">
        <f t="shared" si="38"/>
        <v>4.697233606557377</v>
      </c>
      <c r="L424" s="138">
        <f>872160.5+3062686.25+2016658.5+1330226.25+943221.5+742732+516667.5+450351.5+331944.75+238834+191406+133484.5+252388.75+88483.5+54821.5+50455.5+10393.5+13219.5+4551+15537+5404+869+4082+1834+3805+1635+750+1385+2821+5898+4584.5</f>
        <v>11353291</v>
      </c>
      <c r="M424" s="136">
        <f>115039+364710+241056+162109+115810+90639+66180+59650+44695+33272+25508+18324+32600+11489+6695+7353+1723+3013+920+3530+1123+138+968+454+919+396+210+249+551+1381+976</f>
        <v>1411680</v>
      </c>
      <c r="N424" s="133">
        <f t="shared" si="39"/>
        <v>8.042397002153463</v>
      </c>
      <c r="O424" s="185"/>
      <c r="P424" s="334"/>
      <c r="Q424" s="83"/>
      <c r="R424" s="83"/>
      <c r="S424" s="83"/>
      <c r="T424" s="83"/>
    </row>
    <row r="425" spans="1:20" ht="12" customHeight="1">
      <c r="A425" s="290">
        <v>421</v>
      </c>
      <c r="B425" s="123" t="s">
        <v>345</v>
      </c>
      <c r="C425" s="124">
        <v>39995</v>
      </c>
      <c r="D425" s="125" t="s">
        <v>326</v>
      </c>
      <c r="E425" s="126">
        <v>209</v>
      </c>
      <c r="F425" s="126">
        <v>3</v>
      </c>
      <c r="G425" s="126">
        <v>49</v>
      </c>
      <c r="H425" s="127">
        <v>3564</v>
      </c>
      <c r="I425" s="128">
        <v>891</v>
      </c>
      <c r="J425" s="129">
        <f t="shared" si="37"/>
        <v>297</v>
      </c>
      <c r="K425" s="130">
        <f t="shared" si="38"/>
        <v>4</v>
      </c>
      <c r="L425" s="131">
        <f>872160.5+3062686.25+2016658.5+1330226.25+943221.5+742732+516667.5+450351.5+331944.75+238834+191406+133484.5+252388.75+88483.5+54821.5+50455.5+10393.5+13219.5+4551+15537+5404+869+4082+1834+3805+1635+750+1385+2821+5898+4584.5+5853+2137+508+960+2260+10448+960+932+543+451+1939+592+592+592+1545.5+974+2612+2612+3564</f>
        <v>11393365.5</v>
      </c>
      <c r="M425" s="132">
        <f>115039+364710+241056+162109+115810+90639+66180+59650+44695+33272+25508+18324+32600+11489+6695+7353+1723+3013+920+3530+1123+138+968+454+919+396+210+249+551+1381+976+1328+506+127+240+565+2612+240+233+106+87+474+148+148+148+381+237+653+653+891</f>
        <v>1421457</v>
      </c>
      <c r="N425" s="133">
        <f t="shared" si="39"/>
        <v>8.015272709621184</v>
      </c>
      <c r="O425" s="148"/>
      <c r="P425" s="334"/>
      <c r="Q425" s="83"/>
      <c r="R425" s="83"/>
      <c r="S425" s="83"/>
      <c r="T425" s="83"/>
    </row>
    <row r="426" spans="1:20" ht="12" customHeight="1">
      <c r="A426" s="290">
        <v>422</v>
      </c>
      <c r="B426" s="151" t="s">
        <v>345</v>
      </c>
      <c r="C426" s="139">
        <v>39995</v>
      </c>
      <c r="D426" s="125" t="s">
        <v>326</v>
      </c>
      <c r="E426" s="146">
        <v>209</v>
      </c>
      <c r="F426" s="146">
        <v>2</v>
      </c>
      <c r="G426" s="146">
        <v>52</v>
      </c>
      <c r="H426" s="150">
        <v>2972</v>
      </c>
      <c r="I426" s="152">
        <v>743</v>
      </c>
      <c r="J426" s="129">
        <f t="shared" si="37"/>
        <v>371.5</v>
      </c>
      <c r="K426" s="130">
        <f t="shared" si="38"/>
        <v>4</v>
      </c>
      <c r="L426" s="154">
        <v>11405777.5</v>
      </c>
      <c r="M426" s="153">
        <v>1424397</v>
      </c>
      <c r="N426" s="133">
        <f t="shared" si="39"/>
        <v>8.007442798601794</v>
      </c>
      <c r="O426" s="110"/>
      <c r="P426" s="334"/>
      <c r="Q426" s="83"/>
      <c r="R426" s="83"/>
      <c r="S426" s="83"/>
      <c r="T426" s="83"/>
    </row>
    <row r="427" spans="1:20" ht="12" customHeight="1">
      <c r="A427" s="290">
        <v>423</v>
      </c>
      <c r="B427" s="123" t="s">
        <v>345</v>
      </c>
      <c r="C427" s="139">
        <v>39995</v>
      </c>
      <c r="D427" s="145" t="s">
        <v>326</v>
      </c>
      <c r="E427" s="146">
        <v>209</v>
      </c>
      <c r="F427" s="146">
        <v>1</v>
      </c>
      <c r="G427" s="146">
        <v>56</v>
      </c>
      <c r="H427" s="137">
        <v>2968</v>
      </c>
      <c r="I427" s="135">
        <v>742</v>
      </c>
      <c r="J427" s="129">
        <f t="shared" si="37"/>
        <v>742</v>
      </c>
      <c r="K427" s="130">
        <f t="shared" si="38"/>
        <v>4</v>
      </c>
      <c r="L427" s="144">
        <f>11405777.5+385+1188+6614+2968</f>
        <v>11416932.5</v>
      </c>
      <c r="M427" s="143">
        <f>1424397+63+297+1638+742</f>
        <v>1427137</v>
      </c>
      <c r="N427" s="133">
        <f t="shared" si="39"/>
        <v>7.999885434965249</v>
      </c>
      <c r="O427" s="148"/>
      <c r="P427" s="334"/>
      <c r="Q427" s="83"/>
      <c r="R427" s="83"/>
      <c r="S427" s="83"/>
      <c r="T427" s="83"/>
    </row>
    <row r="428" spans="1:20" ht="12" customHeight="1">
      <c r="A428" s="290">
        <v>424</v>
      </c>
      <c r="B428" s="151" t="s">
        <v>345</v>
      </c>
      <c r="C428" s="139">
        <v>39995</v>
      </c>
      <c r="D428" s="145" t="s">
        <v>326</v>
      </c>
      <c r="E428" s="146">
        <v>209</v>
      </c>
      <c r="F428" s="146">
        <v>3</v>
      </c>
      <c r="G428" s="146">
        <v>28</v>
      </c>
      <c r="H428" s="127">
        <v>2821</v>
      </c>
      <c r="I428" s="128">
        <v>551</v>
      </c>
      <c r="J428" s="129">
        <f t="shared" si="37"/>
        <v>183.66666666666666</v>
      </c>
      <c r="K428" s="130">
        <f aca="true" t="shared" si="40" ref="K428:K462">H428/I428</f>
        <v>5.11978221415608</v>
      </c>
      <c r="L428" s="131">
        <f>872160.5+3062686.25+2016658.5+1330226.25+943221.5+742732+516667.5+450351.5+331944.75+238834+191406+133484.5+252388.75+88483.5+54821.5+50455.5+10393.5+13219.5+4551+15537+5404+869+4082+1834+3805+1635+750+1385+2821</f>
        <v>11342808.5</v>
      </c>
      <c r="M428" s="132">
        <f>115039+364710+241056+162109+115810+90639+66180+59650+44695+33272+25508+18324+32600+11489+6695+7353+1723+3013+920+3530+1123+138+968+454+919+396+210+249+551</f>
        <v>1409323</v>
      </c>
      <c r="N428" s="133">
        <f t="shared" si="39"/>
        <v>8.048409413597877</v>
      </c>
      <c r="O428" s="148"/>
      <c r="P428" s="334"/>
      <c r="Q428" s="83"/>
      <c r="R428" s="83"/>
      <c r="S428" s="83"/>
      <c r="T428" s="83"/>
    </row>
    <row r="429" spans="1:20" ht="12" customHeight="1">
      <c r="A429" s="290">
        <v>425</v>
      </c>
      <c r="B429" s="151" t="s">
        <v>345</v>
      </c>
      <c r="C429" s="139">
        <v>39995</v>
      </c>
      <c r="D429" s="140" t="s">
        <v>326</v>
      </c>
      <c r="E429" s="146">
        <v>209</v>
      </c>
      <c r="F429" s="146">
        <v>1</v>
      </c>
      <c r="G429" s="146">
        <v>59</v>
      </c>
      <c r="H429" s="186">
        <v>2612</v>
      </c>
      <c r="I429" s="187">
        <v>653</v>
      </c>
      <c r="J429" s="129">
        <f t="shared" si="37"/>
        <v>653</v>
      </c>
      <c r="K429" s="130">
        <f t="shared" si="40"/>
        <v>4</v>
      </c>
      <c r="L429" s="188">
        <f>11405777.5+385+1188+6614+2968+1417+277+2612</f>
        <v>11421238.5</v>
      </c>
      <c r="M429" s="189">
        <f>1424397+63+297+1638+742+364+66+653</f>
        <v>1428220</v>
      </c>
      <c r="N429" s="133">
        <f t="shared" si="39"/>
        <v>7.996834171206117</v>
      </c>
      <c r="O429" s="110"/>
      <c r="P429" s="334"/>
      <c r="Q429" s="83"/>
      <c r="R429" s="83"/>
      <c r="S429" s="83"/>
      <c r="T429" s="83"/>
    </row>
    <row r="430" spans="1:20" ht="12" customHeight="1">
      <c r="A430" s="290">
        <v>426</v>
      </c>
      <c r="B430" s="123" t="s">
        <v>345</v>
      </c>
      <c r="C430" s="124">
        <v>39995</v>
      </c>
      <c r="D430" s="125" t="s">
        <v>326</v>
      </c>
      <c r="E430" s="126">
        <v>209</v>
      </c>
      <c r="F430" s="126">
        <v>2</v>
      </c>
      <c r="G430" s="126">
        <v>48</v>
      </c>
      <c r="H430" s="137">
        <v>2612</v>
      </c>
      <c r="I430" s="135">
        <v>653</v>
      </c>
      <c r="J430" s="129">
        <f t="shared" si="37"/>
        <v>326.5</v>
      </c>
      <c r="K430" s="130">
        <f t="shared" si="40"/>
        <v>4</v>
      </c>
      <c r="L430" s="138">
        <f>872160.5+3062686.25+2016658.5+1330226.25+943221.5+742732+516667.5+450351.5+331944.75+238834+191406+133484.5+252388.75+88483.5+54821.5+50455.5+10393.5+13219.5+4551+15537+5404+869+4082+1834+3805+1635+750+1385+2821+5898+4584.5+5853+2137+508+960+2260+10448+960+932+543+451+1939+592+592+592+1545.5+974+2612+2612</f>
        <v>11389801.5</v>
      </c>
      <c r="M430" s="136">
        <f>115039+364710+241056+162109+115810+90639+66180+59650+44695+33272+25508+18324+32600+11489+6695+7353+1723+3013+920+3530+1123+138+968+454+919+396+210+249+551+1381+976+1328+506+127+240+565+2612+240+233+106+87+474+148+148+148+381+237+653+653</f>
        <v>1420566</v>
      </c>
      <c r="N430" s="133">
        <f t="shared" si="39"/>
        <v>8.01779114803536</v>
      </c>
      <c r="O430" s="110"/>
      <c r="P430" s="334"/>
      <c r="Q430" s="83"/>
      <c r="R430" s="83"/>
      <c r="S430" s="83"/>
      <c r="T430" s="83"/>
    </row>
    <row r="431" spans="1:20" ht="12" customHeight="1">
      <c r="A431" s="290">
        <v>427</v>
      </c>
      <c r="B431" s="151" t="s">
        <v>345</v>
      </c>
      <c r="C431" s="171">
        <v>39995</v>
      </c>
      <c r="D431" s="145" t="s">
        <v>326</v>
      </c>
      <c r="E431" s="156">
        <v>209</v>
      </c>
      <c r="F431" s="156">
        <v>2</v>
      </c>
      <c r="G431" s="156">
        <v>35</v>
      </c>
      <c r="H431" s="157">
        <v>2260</v>
      </c>
      <c r="I431" s="158">
        <v>565</v>
      </c>
      <c r="J431" s="129">
        <f t="shared" si="37"/>
        <v>282.5</v>
      </c>
      <c r="K431" s="130">
        <f t="shared" si="40"/>
        <v>4</v>
      </c>
      <c r="L431" s="154">
        <f>872160.5+3062686.25+2016658.5+1330226.25+943221.5+742732+516667.5+450351.5+331944.75+238834+191406+133484.5+252388.75+88483.5+54821.5+50455.5+10393.5+13219.5+4551+15537+5404+869+4082+1834+3805+1635+750+1385+2821+5898+4584.5+5853+2137+508+960+2260</f>
        <v>11365009</v>
      </c>
      <c r="M431" s="153">
        <f>115039+364710+241056+162109+115810+90639+66180+59650+44695+33272+25508+18324+32600+11489+6695+7353+1723+3013+920+3530+1123+138+968+454+919+396+210+249+551+1381+976+1328+506+127+240+565</f>
        <v>1414446</v>
      </c>
      <c r="N431" s="133">
        <f t="shared" si="39"/>
        <v>8.034954321338532</v>
      </c>
      <c r="O431" s="108"/>
      <c r="P431" s="334"/>
      <c r="Q431" s="83"/>
      <c r="R431" s="83"/>
      <c r="S431" s="83"/>
      <c r="T431" s="83"/>
    </row>
    <row r="432" spans="1:20" ht="12" customHeight="1">
      <c r="A432" s="290">
        <v>428</v>
      </c>
      <c r="B432" s="151" t="s">
        <v>345</v>
      </c>
      <c r="C432" s="139">
        <v>39995</v>
      </c>
      <c r="D432" s="145" t="s">
        <v>326</v>
      </c>
      <c r="E432" s="146">
        <v>209</v>
      </c>
      <c r="F432" s="146">
        <v>3</v>
      </c>
      <c r="G432" s="146">
        <v>32</v>
      </c>
      <c r="H432" s="141">
        <v>2137</v>
      </c>
      <c r="I432" s="142">
        <v>506</v>
      </c>
      <c r="J432" s="129">
        <f t="shared" si="37"/>
        <v>168.66666666666666</v>
      </c>
      <c r="K432" s="130">
        <f t="shared" si="40"/>
        <v>4.223320158102767</v>
      </c>
      <c r="L432" s="144">
        <f>872160.5+3062686.25+2016658.5+1330226.25+943221.5+742732+516667.5+450351.5+331944.75+238834+191406+133484.5+252388.75+88483.5+54821.5+50455.5+10393.5+13219.5+4551+15537+5404+869+4082+1834+3805+1635+750+1385+2821+5898+4584.5+5853+2137</f>
        <v>11361281</v>
      </c>
      <c r="M432" s="143">
        <f>115039+364710+241056+162109+115810+90639+66180+59650+44695+33272+25508+18324+32600+11489+6695+7353+1723+3013+920+3530+1123+138+968+454+919+396+210+249+551+1381+976+1328+506</f>
        <v>1413514</v>
      </c>
      <c r="N432" s="133">
        <f t="shared" si="39"/>
        <v>8.037614767168915</v>
      </c>
      <c r="O432" s="149"/>
      <c r="P432" s="334"/>
      <c r="Q432" s="83"/>
      <c r="R432" s="83"/>
      <c r="S432" s="83"/>
      <c r="T432" s="83"/>
    </row>
    <row r="433" spans="1:20" ht="12" customHeight="1">
      <c r="A433" s="290">
        <v>429</v>
      </c>
      <c r="B433" s="182" t="s">
        <v>345</v>
      </c>
      <c r="C433" s="139">
        <v>39995</v>
      </c>
      <c r="D433" s="145" t="s">
        <v>326</v>
      </c>
      <c r="E433" s="156">
        <v>209</v>
      </c>
      <c r="F433" s="156">
        <v>3</v>
      </c>
      <c r="G433" s="156">
        <v>41</v>
      </c>
      <c r="H433" s="157">
        <v>1939</v>
      </c>
      <c r="I433" s="158">
        <v>474</v>
      </c>
      <c r="J433" s="129">
        <f t="shared" si="37"/>
        <v>158</v>
      </c>
      <c r="K433" s="130">
        <f t="shared" si="40"/>
        <v>4.090717299578059</v>
      </c>
      <c r="L433" s="154">
        <f>872160.5+3062686.25+2016658.5+1330226.25+943221.5+742732+516667.5+450351.5+331944.75+238834+191406+133484.5+252388.75+88483.5+54821.5+50455.5+10393.5+13219.5+4551+15537+5404+869+4082+1834+3805+1635+750+1385+2821+5898+4584.5+5853+2137+508+960+2260+10448+960+932+543+451+1939</f>
        <v>11380282</v>
      </c>
      <c r="M433" s="153">
        <f>115039+364710+241056+162109+115810+90639+66180+59650+44695+33272+25508+18324+32600+11489+6695+7353+1723+3013+920+3530+1123+138+968+454+919+396+210+249+551+1381+976+1328+506+127+240+565+2612+240+233+106+87+474</f>
        <v>1418198</v>
      </c>
      <c r="N433" s="133">
        <f t="shared" si="39"/>
        <v>8.024466259295247</v>
      </c>
      <c r="O433" s="147"/>
      <c r="P433" s="334"/>
      <c r="Q433" s="83"/>
      <c r="R433" s="83"/>
      <c r="S433" s="83"/>
      <c r="T433" s="83"/>
    </row>
    <row r="434" spans="1:20" ht="12" customHeight="1">
      <c r="A434" s="290">
        <v>430</v>
      </c>
      <c r="B434" s="123" t="s">
        <v>345</v>
      </c>
      <c r="C434" s="124">
        <v>39995</v>
      </c>
      <c r="D434" s="125" t="s">
        <v>326</v>
      </c>
      <c r="E434" s="126">
        <v>209</v>
      </c>
      <c r="F434" s="126">
        <v>1</v>
      </c>
      <c r="G434" s="126">
        <v>45</v>
      </c>
      <c r="H434" s="127">
        <v>1545.5</v>
      </c>
      <c r="I434" s="128">
        <v>381</v>
      </c>
      <c r="J434" s="129">
        <f t="shared" si="37"/>
        <v>381</v>
      </c>
      <c r="K434" s="130">
        <f t="shared" si="40"/>
        <v>4.056430446194225</v>
      </c>
      <c r="L434" s="131">
        <f>872160.5+3062686.25+2016658.5+1330226.25+943221.5+742732+516667.5+450351.5+331944.75+238834+191406+133484.5+252388.75+88483.5+54821.5+50455.5+10393.5+13219.5+4551+15537+5404+869+4082+1834+3805+1635+750+1385+2821+5898+4584.5+5853+2137+508+960+2260+10448+960+932+543+451+1939+592+592+592+1545.5</f>
        <v>11383603.5</v>
      </c>
      <c r="M434" s="132">
        <f>115039+364710+241056+162109+115810+90639+66180+59650+44695+33272+25508+18324+32600+11489+6695+7353+1723+3013+920+3530+1123+138+968+454+919+396+210+249+551+1381+976+1328+506+127+240+565+2612+240+233+106+87+474+148+148+148+381</f>
        <v>1419023</v>
      </c>
      <c r="N434" s="133">
        <f t="shared" si="39"/>
        <v>8.022141642524469</v>
      </c>
      <c r="O434" s="149"/>
      <c r="P434" s="334"/>
      <c r="Q434" s="83"/>
      <c r="R434" s="83"/>
      <c r="S434" s="83"/>
      <c r="T434" s="83"/>
    </row>
    <row r="435" spans="1:20" ht="12" customHeight="1">
      <c r="A435" s="290">
        <v>431</v>
      </c>
      <c r="B435" s="151" t="s">
        <v>345</v>
      </c>
      <c r="C435" s="171">
        <v>39995</v>
      </c>
      <c r="D435" s="145" t="s">
        <v>326</v>
      </c>
      <c r="E435" s="156">
        <v>209</v>
      </c>
      <c r="F435" s="156">
        <v>1</v>
      </c>
      <c r="G435" s="156">
        <v>34</v>
      </c>
      <c r="H435" s="157">
        <v>1440</v>
      </c>
      <c r="I435" s="158">
        <v>240</v>
      </c>
      <c r="J435" s="129">
        <f t="shared" si="37"/>
        <v>240</v>
      </c>
      <c r="K435" s="130">
        <f t="shared" si="40"/>
        <v>6</v>
      </c>
      <c r="L435" s="154">
        <f>872160.5+3062686.25+2016658.5+1330226.25+943221.5+742732+516667.5+450351.5+331944.75+238834+191406+133484.5+252388.75+88483.5+54821.5+50455.5+10393.5+13219.5+4551+15537+5404+869+4082+1834+3805+1635+750+1385+2821+5898+4584.5+5853+2137+508+1440</f>
        <v>11363229</v>
      </c>
      <c r="M435" s="153">
        <f>115039+364710+241056+162109+115810+90639+66180+59650+44695+33272+25508+18324+32600+11489+6695+7353+1723+3013+920+3530+1123+138+968+454+919+396+210+249+551+1381+976+1328+506+127+240</f>
        <v>1413881</v>
      </c>
      <c r="N435" s="133">
        <f t="shared" si="39"/>
        <v>8.036906217708562</v>
      </c>
      <c r="O435" s="110"/>
      <c r="P435" s="334"/>
      <c r="Q435" s="83"/>
      <c r="R435" s="83"/>
      <c r="S435" s="83"/>
      <c r="T435" s="83"/>
    </row>
    <row r="436" spans="1:20" ht="12" customHeight="1">
      <c r="A436" s="290">
        <v>432</v>
      </c>
      <c r="B436" s="593" t="s">
        <v>345</v>
      </c>
      <c r="C436" s="581">
        <v>39995</v>
      </c>
      <c r="D436" s="485" t="s">
        <v>326</v>
      </c>
      <c r="E436" s="582">
        <v>209</v>
      </c>
      <c r="F436" s="582">
        <v>1</v>
      </c>
      <c r="G436" s="582">
        <v>60</v>
      </c>
      <c r="H436" s="442">
        <v>1424</v>
      </c>
      <c r="I436" s="443">
        <v>356</v>
      </c>
      <c r="J436" s="444">
        <f>(I436/F436)</f>
        <v>356</v>
      </c>
      <c r="K436" s="445">
        <f t="shared" si="40"/>
        <v>4</v>
      </c>
      <c r="L436" s="446">
        <f>11405777.5+385+1188+6614+2968+1417+277+2612+1424</f>
        <v>11422662.5</v>
      </c>
      <c r="M436" s="447">
        <f>1424397+63+297+1638+742+364+66+653+356</f>
        <v>1428576</v>
      </c>
      <c r="N436" s="451">
        <f>L436/M436</f>
        <v>7.9958381633178774</v>
      </c>
      <c r="O436" s="108"/>
      <c r="P436" s="561"/>
      <c r="Q436" s="83"/>
      <c r="R436" s="83"/>
      <c r="S436" s="83"/>
      <c r="T436" s="83"/>
    </row>
    <row r="437" spans="1:20" ht="12" customHeight="1">
      <c r="A437" s="290">
        <v>433</v>
      </c>
      <c r="B437" s="123" t="s">
        <v>345</v>
      </c>
      <c r="C437" s="124">
        <v>39995</v>
      </c>
      <c r="D437" s="125" t="s">
        <v>326</v>
      </c>
      <c r="E437" s="126">
        <v>209</v>
      </c>
      <c r="F437" s="126">
        <v>2</v>
      </c>
      <c r="G437" s="126">
        <v>57</v>
      </c>
      <c r="H437" s="137">
        <v>1417</v>
      </c>
      <c r="I437" s="135">
        <v>364</v>
      </c>
      <c r="J437" s="129">
        <f aca="true" t="shared" si="41" ref="J437:J450">I437/F437</f>
        <v>182</v>
      </c>
      <c r="K437" s="130">
        <f t="shared" si="40"/>
        <v>3.892857142857143</v>
      </c>
      <c r="L437" s="138">
        <f>11405777.5+385+1188+6614+2968+1417</f>
        <v>11418349.5</v>
      </c>
      <c r="M437" s="136">
        <f>1424397+63+297+1638+742+364</f>
        <v>1427501</v>
      </c>
      <c r="N437" s="133">
        <f aca="true" t="shared" si="42" ref="N437:N450">+L437/M437</f>
        <v>7.99883817944786</v>
      </c>
      <c r="O437" s="147"/>
      <c r="P437" s="334"/>
      <c r="Q437" s="83"/>
      <c r="R437" s="83"/>
      <c r="S437" s="83"/>
      <c r="T437" s="83"/>
    </row>
    <row r="438" spans="1:20" ht="12" customHeight="1">
      <c r="A438" s="290">
        <v>434</v>
      </c>
      <c r="B438" s="151" t="s">
        <v>345</v>
      </c>
      <c r="C438" s="139">
        <v>39995</v>
      </c>
      <c r="D438" s="145" t="s">
        <v>326</v>
      </c>
      <c r="E438" s="146">
        <v>209</v>
      </c>
      <c r="F438" s="146">
        <v>2</v>
      </c>
      <c r="G438" s="146">
        <v>27</v>
      </c>
      <c r="H438" s="127">
        <v>1385</v>
      </c>
      <c r="I438" s="128">
        <v>249</v>
      </c>
      <c r="J438" s="129">
        <f t="shared" si="41"/>
        <v>124.5</v>
      </c>
      <c r="K438" s="130">
        <f t="shared" si="40"/>
        <v>5.562248995983936</v>
      </c>
      <c r="L438" s="131">
        <f>872160.5+3062686.25+2016658.5+1330226.25+943221.5+742732+516667.5+450351.5+331944.75+238834+191406+133484.5+252388.75+88483.5+54821.5+50455.5+10393.5+13219.5+4551+15537+5404+869+4082+1834+3805+1635+750+1385</f>
        <v>11339987.5</v>
      </c>
      <c r="M438" s="132">
        <f>115039+364710+241056+162109+115810+90639+66180+59650+44695+33272+25508+18324+32600+11489+6695+7353+1723+3013+920+3530+1123+138+968+454+919+396+210+249</f>
        <v>1408772</v>
      </c>
      <c r="N438" s="133">
        <f t="shared" si="42"/>
        <v>8.049554860545213</v>
      </c>
      <c r="O438" s="349"/>
      <c r="P438" s="334"/>
      <c r="Q438" s="83"/>
      <c r="R438" s="83"/>
      <c r="S438" s="83"/>
      <c r="T438" s="83"/>
    </row>
    <row r="439" spans="1:20" ht="12" customHeight="1">
      <c r="A439" s="290">
        <v>435</v>
      </c>
      <c r="B439" s="123" t="s">
        <v>345</v>
      </c>
      <c r="C439" s="139">
        <v>39995</v>
      </c>
      <c r="D439" s="125" t="s">
        <v>326</v>
      </c>
      <c r="E439" s="146">
        <v>209</v>
      </c>
      <c r="F439" s="146">
        <v>1</v>
      </c>
      <c r="G439" s="146">
        <v>54</v>
      </c>
      <c r="H439" s="141">
        <v>1188</v>
      </c>
      <c r="I439" s="142">
        <v>297</v>
      </c>
      <c r="J439" s="129">
        <f t="shared" si="41"/>
        <v>297</v>
      </c>
      <c r="K439" s="130">
        <f t="shared" si="40"/>
        <v>4</v>
      </c>
      <c r="L439" s="144">
        <f>11405777.5+385+1188</f>
        <v>11407350.5</v>
      </c>
      <c r="M439" s="143">
        <f>1424397+63+297</f>
        <v>1424757</v>
      </c>
      <c r="N439" s="133">
        <f t="shared" si="42"/>
        <v>8.006523568580466</v>
      </c>
      <c r="O439" s="149"/>
      <c r="P439" s="334"/>
      <c r="Q439" s="83"/>
      <c r="R439" s="83"/>
      <c r="S439" s="83"/>
      <c r="T439" s="83"/>
    </row>
    <row r="440" spans="1:20" ht="12" customHeight="1">
      <c r="A440" s="290">
        <v>436</v>
      </c>
      <c r="B440" s="123" t="s">
        <v>345</v>
      </c>
      <c r="C440" s="139">
        <v>39995</v>
      </c>
      <c r="D440" s="145" t="s">
        <v>326</v>
      </c>
      <c r="E440" s="146">
        <v>209</v>
      </c>
      <c r="F440" s="146">
        <v>2</v>
      </c>
      <c r="G440" s="146">
        <v>46</v>
      </c>
      <c r="H440" s="137">
        <v>974</v>
      </c>
      <c r="I440" s="135">
        <v>237</v>
      </c>
      <c r="J440" s="129">
        <f t="shared" si="41"/>
        <v>118.5</v>
      </c>
      <c r="K440" s="130">
        <f t="shared" si="40"/>
        <v>4.109704641350211</v>
      </c>
      <c r="L440" s="144">
        <f>872160.5+3062686.25+2016658.5+1330226.25+943221.5+742732+516667.5+450351.5+331944.75+238834+191406+133484.5+252388.75+88483.5+54821.5+50455.5+10393.5+13219.5+4551+15537+5404+869+4082+1834+3805+1635+750+1385+2821+5898+4584.5+5853+2137+508+960+2260+10448+960+932+543+451+1939+592+592+592+1545.5+974</f>
        <v>11384577.5</v>
      </c>
      <c r="M440" s="143">
        <f>115039+364710+241056+162109+115810+90639+66180+59650+44695+33272+25508+18324+32600+11489+6695+7353+1723+3013+920+3530+1123+138+968+454+919+396+210+249+551+1381+976+1328+506+127+240+565+2612+240+233+106+87+474+148+148+148+381+237</f>
        <v>1419260</v>
      </c>
      <c r="N440" s="133">
        <f t="shared" si="42"/>
        <v>8.02148831080986</v>
      </c>
      <c r="O440" s="108"/>
      <c r="P440" s="334"/>
      <c r="Q440" s="83"/>
      <c r="R440" s="83"/>
      <c r="S440" s="83"/>
      <c r="T440" s="83"/>
    </row>
    <row r="441" spans="1:20" ht="12" customHeight="1">
      <c r="A441" s="290">
        <v>437</v>
      </c>
      <c r="B441" s="182" t="s">
        <v>345</v>
      </c>
      <c r="C441" s="171">
        <v>39995</v>
      </c>
      <c r="D441" s="145" t="s">
        <v>326</v>
      </c>
      <c r="E441" s="156">
        <v>209</v>
      </c>
      <c r="F441" s="156">
        <v>1</v>
      </c>
      <c r="G441" s="156">
        <v>37</v>
      </c>
      <c r="H441" s="157">
        <v>960</v>
      </c>
      <c r="I441" s="158">
        <v>240</v>
      </c>
      <c r="J441" s="129">
        <f t="shared" si="41"/>
        <v>240</v>
      </c>
      <c r="K441" s="130">
        <f t="shared" si="40"/>
        <v>4</v>
      </c>
      <c r="L441" s="154">
        <f>872160.5+3062686.25+2016658.5+1330226.25+943221.5+742732+516667.5+450351.5+331944.75+238834+191406+133484.5+252388.75+88483.5+54821.5+50455.5+10393.5+13219.5+4551+15537+5404+869+4082+1834+3805+1635+750+1385+2821+5898+4584.5+5853+2137+508+960+2260+10448+960</f>
        <v>11376417</v>
      </c>
      <c r="M441" s="153">
        <f>115039+364710+241056+162109+115810+90639+66180+59650+44695+33272+25508+18324+32600+11489+6695+7353+1723+3013+920+3530+1123+138+968+454+919+396+210+249+551+1381+976+1328+506+127+240+565+2612+240</f>
        <v>1417298</v>
      </c>
      <c r="N441" s="133">
        <f t="shared" si="42"/>
        <v>8.026834864650906</v>
      </c>
      <c r="O441" s="108"/>
      <c r="P441" s="334"/>
      <c r="Q441" s="83"/>
      <c r="R441" s="83"/>
      <c r="S441" s="83"/>
      <c r="T441" s="83"/>
    </row>
    <row r="442" spans="1:20" ht="12" customHeight="1">
      <c r="A442" s="290">
        <v>438</v>
      </c>
      <c r="B442" s="123" t="s">
        <v>345</v>
      </c>
      <c r="C442" s="124">
        <v>39995</v>
      </c>
      <c r="D442" s="145" t="s">
        <v>326</v>
      </c>
      <c r="E442" s="126">
        <v>209</v>
      </c>
      <c r="F442" s="126">
        <v>1</v>
      </c>
      <c r="G442" s="126">
        <v>38</v>
      </c>
      <c r="H442" s="127">
        <v>932</v>
      </c>
      <c r="I442" s="135">
        <v>233</v>
      </c>
      <c r="J442" s="129">
        <f t="shared" si="41"/>
        <v>233</v>
      </c>
      <c r="K442" s="130">
        <f t="shared" si="40"/>
        <v>4</v>
      </c>
      <c r="L442" s="131">
        <f>872160.5+3062686.25+2016658.5+1330226.25+943221.5+742732+516667.5+450351.5+331944.75+238834+191406+133484.5+252388.75+88483.5+54821.5+50455.5+10393.5+13219.5+4551+15537+5404+869+4082+1834+3805+1635+750+1385+2821+5898+4584.5+5853+2137+508+960+2260+10448+960+932</f>
        <v>11377349</v>
      </c>
      <c r="M442" s="136">
        <f>115039+364710+241056+162109+115810+90639+66180+59650+44695+33272+25508+18324+32600+11489+6695+7353+1723+3013+920+3530+1123+138+968+454+919+396+210+249+551+1381+976+1328+506+127+240+565+2612+240+233</f>
        <v>1417531</v>
      </c>
      <c r="N442" s="133">
        <f t="shared" si="42"/>
        <v>8.026172972584021</v>
      </c>
      <c r="O442" s="149"/>
      <c r="P442" s="334"/>
      <c r="Q442" s="83"/>
      <c r="R442" s="83"/>
      <c r="S442" s="83"/>
      <c r="T442" s="83"/>
    </row>
    <row r="443" spans="1:20" ht="12" customHeight="1">
      <c r="A443" s="290">
        <v>439</v>
      </c>
      <c r="B443" s="123" t="s">
        <v>345</v>
      </c>
      <c r="C443" s="139">
        <v>39995</v>
      </c>
      <c r="D443" s="145" t="s">
        <v>326</v>
      </c>
      <c r="E443" s="156">
        <v>209</v>
      </c>
      <c r="F443" s="156">
        <v>1</v>
      </c>
      <c r="G443" s="156">
        <v>42</v>
      </c>
      <c r="H443" s="157">
        <v>592</v>
      </c>
      <c r="I443" s="158">
        <v>148</v>
      </c>
      <c r="J443" s="129">
        <f t="shared" si="41"/>
        <v>148</v>
      </c>
      <c r="K443" s="130">
        <f t="shared" si="40"/>
        <v>4</v>
      </c>
      <c r="L443" s="154">
        <f>872160.5+3062686.25+2016658.5+1330226.25+943221.5+742732+516667.5+450351.5+331944.75+238834+191406+133484.5+252388.75+88483.5+54821.5+50455.5+10393.5+13219.5+4551+15537+5404+869+4082+1834+3805+1635+750+1385+2821+5898+4584.5+5853+2137+508+960+2260+10448+960+932+543+451+1939+592</f>
        <v>11380874</v>
      </c>
      <c r="M443" s="153">
        <f>115039+364710+241056+162109+115810+90639+66180+59650+44695+33272+25508+18324+32600+11489+6695+7353+1723+3013+920+3530+1123+138+968+454+919+396+210+249+551+1381+976+1328+506+127+240+565+2612+240+233+106+87+474+148</f>
        <v>1418346</v>
      </c>
      <c r="N443" s="133">
        <f t="shared" si="42"/>
        <v>8.024046318740279</v>
      </c>
      <c r="O443" s="149"/>
      <c r="P443" s="334"/>
      <c r="Q443" s="83"/>
      <c r="R443" s="83"/>
      <c r="S443" s="83"/>
      <c r="T443" s="83"/>
    </row>
    <row r="444" spans="1:20" ht="12" customHeight="1">
      <c r="A444" s="290">
        <v>440</v>
      </c>
      <c r="B444" s="123" t="s">
        <v>345</v>
      </c>
      <c r="C444" s="139">
        <v>39995</v>
      </c>
      <c r="D444" s="145" t="s">
        <v>326</v>
      </c>
      <c r="E444" s="156">
        <v>209</v>
      </c>
      <c r="F444" s="156">
        <v>1</v>
      </c>
      <c r="G444" s="156">
        <v>43</v>
      </c>
      <c r="H444" s="157">
        <v>592</v>
      </c>
      <c r="I444" s="158">
        <v>148</v>
      </c>
      <c r="J444" s="129">
        <f t="shared" si="41"/>
        <v>148</v>
      </c>
      <c r="K444" s="130">
        <f t="shared" si="40"/>
        <v>4</v>
      </c>
      <c r="L444" s="154">
        <f>872160.5+3062686.25+2016658.5+1330226.25+943221.5+742732+516667.5+450351.5+331944.75+238834+191406+133484.5+252388.75+88483.5+54821.5+50455.5+10393.5+13219.5+4551+15537+5404+869+4082+1834+3805+1635+750+1385+2821+5898+4584.5+5853+2137+508+960+2260+10448+960+932+543+451+1939+592+592</f>
        <v>11381466</v>
      </c>
      <c r="M444" s="153">
        <f>115039+364710+241056+162109+115810+90639+66180+59650+44695+33272+25508+18324+32600+11489+6695+7353+1723+3013+920+3530+1123+138+968+454+919+396+210+249+551+1381+976+1328+506+127+240+565+2612+240+233+106+87+474+148+148</f>
        <v>1418494</v>
      </c>
      <c r="N444" s="133">
        <f t="shared" si="42"/>
        <v>8.023626465815154</v>
      </c>
      <c r="O444" s="108"/>
      <c r="P444" s="334"/>
      <c r="Q444" s="83"/>
      <c r="R444" s="83"/>
      <c r="S444" s="83"/>
      <c r="T444" s="83"/>
    </row>
    <row r="445" spans="1:20" ht="12" customHeight="1">
      <c r="A445" s="290">
        <v>441</v>
      </c>
      <c r="B445" s="123" t="s">
        <v>345</v>
      </c>
      <c r="C445" s="139">
        <v>39995</v>
      </c>
      <c r="D445" s="145" t="s">
        <v>326</v>
      </c>
      <c r="E445" s="156">
        <v>209</v>
      </c>
      <c r="F445" s="156">
        <v>1</v>
      </c>
      <c r="G445" s="156">
        <v>44</v>
      </c>
      <c r="H445" s="157">
        <v>592</v>
      </c>
      <c r="I445" s="184">
        <v>148</v>
      </c>
      <c r="J445" s="129">
        <f t="shared" si="41"/>
        <v>148</v>
      </c>
      <c r="K445" s="130">
        <f t="shared" si="40"/>
        <v>4</v>
      </c>
      <c r="L445" s="144">
        <f>872160.5+3062686.25+2016658.5+1330226.25+943221.5+742732+516667.5+450351.5+331944.75+238834+191406+133484.5+252388.75+88483.5+54821.5+50455.5+10393.5+13219.5+4551+15537+5404+869+4082+1834+3805+1635+750+1385+2821+5898+4584.5+5853+2137+508+960+2260+10448+960+932+543+451+1939+592+592+592</f>
        <v>11382058</v>
      </c>
      <c r="M445" s="143">
        <f>115039+364710+241056+162109+115810+90639+66180+59650+44695+33272+25508+18324+32600+11489+6695+7353+1723+3013+920+3530+1123+138+968+454+919+396+210+249+551+1381+976+1328+506+127+240+565+2612+240+233+106+87+474+148+148+148</f>
        <v>1418642</v>
      </c>
      <c r="N445" s="133">
        <f t="shared" si="42"/>
        <v>8.023206700492443</v>
      </c>
      <c r="O445" s="149"/>
      <c r="P445" s="334"/>
      <c r="Q445" s="83"/>
      <c r="R445" s="83"/>
      <c r="S445" s="83"/>
      <c r="T445" s="83"/>
    </row>
    <row r="446" spans="1:20" ht="12" customHeight="1">
      <c r="A446" s="290">
        <v>442</v>
      </c>
      <c r="B446" s="123" t="s">
        <v>345</v>
      </c>
      <c r="C446" s="124">
        <v>39995</v>
      </c>
      <c r="D446" s="145" t="s">
        <v>326</v>
      </c>
      <c r="E446" s="126">
        <v>209</v>
      </c>
      <c r="F446" s="126">
        <v>1</v>
      </c>
      <c r="G446" s="126">
        <v>39</v>
      </c>
      <c r="H446" s="127">
        <v>543</v>
      </c>
      <c r="I446" s="128">
        <v>106</v>
      </c>
      <c r="J446" s="129">
        <f t="shared" si="41"/>
        <v>106</v>
      </c>
      <c r="K446" s="130">
        <f t="shared" si="40"/>
        <v>5.122641509433962</v>
      </c>
      <c r="L446" s="131">
        <f>872160.5+3062686.25+2016658.5+1330226.25+943221.5+742732+516667.5+450351.5+331944.75+238834+191406+133484.5+252388.75+88483.5+54821.5+50455.5+10393.5+13219.5+4551+15537+5404+869+4082+1834+3805+1635+750+1385+2821+5898+4584.5+5853+2137+508+960+2260+10448+960+932+543</f>
        <v>11377892</v>
      </c>
      <c r="M446" s="132">
        <f>115039+364710+241056+162109+115810+90639+66180+59650+44695+33272+25508+18324+32600+11489+6695+7353+1723+3013+920+3530+1123+138+968+454+919+396+210+249+551+1381+976+1328+506+127+240+565+2612+240+233+106</f>
        <v>1417637</v>
      </c>
      <c r="N446" s="133">
        <f t="shared" si="42"/>
        <v>8.025955868815501</v>
      </c>
      <c r="O446" s="108"/>
      <c r="P446" s="334"/>
      <c r="Q446" s="83"/>
      <c r="R446" s="83"/>
      <c r="S446" s="83"/>
      <c r="T446" s="83"/>
    </row>
    <row r="447" spans="1:20" ht="12" customHeight="1">
      <c r="A447" s="290">
        <v>443</v>
      </c>
      <c r="B447" s="151" t="s">
        <v>345</v>
      </c>
      <c r="C447" s="139">
        <v>39995</v>
      </c>
      <c r="D447" s="145" t="s">
        <v>326</v>
      </c>
      <c r="E447" s="146">
        <v>209</v>
      </c>
      <c r="F447" s="146">
        <v>1</v>
      </c>
      <c r="G447" s="146">
        <v>33</v>
      </c>
      <c r="H447" s="150">
        <v>508</v>
      </c>
      <c r="I447" s="152">
        <v>127</v>
      </c>
      <c r="J447" s="129">
        <f t="shared" si="41"/>
        <v>127</v>
      </c>
      <c r="K447" s="130">
        <f t="shared" si="40"/>
        <v>4</v>
      </c>
      <c r="L447" s="154">
        <f>872160.5+3062686.25+2016658.5+1330226.25+943221.5+742732+516667.5+450351.5+331944.75+238834+191406+133484.5+252388.75+88483.5+54821.5+50455.5+10393.5+13219.5+4551+15537+5404+869+4082+1834+3805+1635+750+1385+2821+5898+4584.5+5853+2137+508</f>
        <v>11361789</v>
      </c>
      <c r="M447" s="153">
        <f>115039+364710+241056+162109+115810+90639+66180+59650+44695+33272+25508+18324+32600+11489+6695+7353+1723+3013+920+3530+1123+138+968+454+919+396+210+249+551+1381+976+1328+506+127</f>
        <v>1413641</v>
      </c>
      <c r="N447" s="133">
        <f t="shared" si="42"/>
        <v>8.037252032163753</v>
      </c>
      <c r="O447" s="185"/>
      <c r="P447" s="334"/>
      <c r="Q447" s="83"/>
      <c r="R447" s="83"/>
      <c r="S447" s="83"/>
      <c r="T447" s="83"/>
    </row>
    <row r="448" spans="1:20" ht="12" customHeight="1">
      <c r="A448" s="290">
        <v>444</v>
      </c>
      <c r="B448" s="182" t="s">
        <v>345</v>
      </c>
      <c r="C448" s="139">
        <v>39995</v>
      </c>
      <c r="D448" s="145" t="s">
        <v>326</v>
      </c>
      <c r="E448" s="156">
        <v>209</v>
      </c>
      <c r="F448" s="156">
        <v>1</v>
      </c>
      <c r="G448" s="156">
        <v>40</v>
      </c>
      <c r="H448" s="157">
        <v>451</v>
      </c>
      <c r="I448" s="158">
        <v>87</v>
      </c>
      <c r="J448" s="129">
        <f t="shared" si="41"/>
        <v>87</v>
      </c>
      <c r="K448" s="130">
        <f t="shared" si="40"/>
        <v>5.183908045977011</v>
      </c>
      <c r="L448" s="154">
        <f>872160.5+3062686.25+2016658.5+1330226.25+943221.5+742732+516667.5+450351.5+331944.75+238834+191406+133484.5+252388.75+88483.5+54821.5+50455.5+10393.5+13219.5+4551+15537+5404+869+4082+1834+3805+1635+750+1385+2821+5898+4584.5+5853+2137+508+960+2260+10448+960+932+543+451</f>
        <v>11378343</v>
      </c>
      <c r="M448" s="153">
        <f>115039+364710+241056+162109+115810+90639+66180+59650+44695+33272+25508+18324+32600+11489+6695+7353+1723+3013+920+3530+1123+138+968+454+919+396+210+249+551+1381+976+1328+506+127+240+565+2612+240+233+106+87</f>
        <v>1417724</v>
      </c>
      <c r="N448" s="133">
        <f t="shared" si="42"/>
        <v>8.02578146381101</v>
      </c>
      <c r="O448" s="149"/>
      <c r="P448" s="334"/>
      <c r="Q448" s="83"/>
      <c r="R448" s="83"/>
      <c r="S448" s="83"/>
      <c r="T448" s="83"/>
    </row>
    <row r="449" spans="1:20" ht="12" customHeight="1">
      <c r="A449" s="290">
        <v>445</v>
      </c>
      <c r="B449" s="123" t="s">
        <v>345</v>
      </c>
      <c r="C449" s="139">
        <v>39995</v>
      </c>
      <c r="D449" s="125" t="s">
        <v>326</v>
      </c>
      <c r="E449" s="146">
        <v>209</v>
      </c>
      <c r="F449" s="146">
        <v>1</v>
      </c>
      <c r="G449" s="146">
        <v>53</v>
      </c>
      <c r="H449" s="141">
        <v>385</v>
      </c>
      <c r="I449" s="142">
        <v>63</v>
      </c>
      <c r="J449" s="129">
        <f t="shared" si="41"/>
        <v>63</v>
      </c>
      <c r="K449" s="130">
        <f t="shared" si="40"/>
        <v>6.111111111111111</v>
      </c>
      <c r="L449" s="144">
        <f>11405777.5+385</f>
        <v>11406162.5</v>
      </c>
      <c r="M449" s="143">
        <f>1424397+63</f>
        <v>1424460</v>
      </c>
      <c r="N449" s="133">
        <f t="shared" si="42"/>
        <v>8.007358928997656</v>
      </c>
      <c r="O449" s="185"/>
      <c r="P449" s="334"/>
      <c r="Q449" s="83"/>
      <c r="R449" s="83"/>
      <c r="S449" s="83"/>
      <c r="T449" s="83"/>
    </row>
    <row r="450" spans="1:20" ht="12" customHeight="1">
      <c r="A450" s="290">
        <v>446</v>
      </c>
      <c r="B450" s="151" t="s">
        <v>345</v>
      </c>
      <c r="C450" s="139">
        <v>39995</v>
      </c>
      <c r="D450" s="145" t="s">
        <v>326</v>
      </c>
      <c r="E450" s="146">
        <v>209</v>
      </c>
      <c r="F450" s="146">
        <v>1</v>
      </c>
      <c r="G450" s="146">
        <v>58</v>
      </c>
      <c r="H450" s="141">
        <v>277</v>
      </c>
      <c r="I450" s="142">
        <v>66</v>
      </c>
      <c r="J450" s="129">
        <f t="shared" si="41"/>
        <v>66</v>
      </c>
      <c r="K450" s="130">
        <f t="shared" si="40"/>
        <v>4.196969696969697</v>
      </c>
      <c r="L450" s="144">
        <v>11418626.5</v>
      </c>
      <c r="M450" s="143">
        <v>1427567</v>
      </c>
      <c r="N450" s="133">
        <f t="shared" si="42"/>
        <v>7.998662409540148</v>
      </c>
      <c r="O450" s="149"/>
      <c r="P450" s="334"/>
      <c r="Q450" s="83"/>
      <c r="R450" s="83"/>
      <c r="S450" s="83"/>
      <c r="T450" s="83"/>
    </row>
    <row r="451" spans="1:20" ht="12" customHeight="1">
      <c r="A451" s="290">
        <v>447</v>
      </c>
      <c r="B451" s="449" t="s">
        <v>426</v>
      </c>
      <c r="C451" s="440">
        <v>39738</v>
      </c>
      <c r="D451" s="485" t="s">
        <v>326</v>
      </c>
      <c r="E451" s="486">
        <v>67</v>
      </c>
      <c r="F451" s="486">
        <v>2</v>
      </c>
      <c r="G451" s="486">
        <v>41</v>
      </c>
      <c r="H451" s="442">
        <v>4752</v>
      </c>
      <c r="I451" s="443">
        <v>1188</v>
      </c>
      <c r="J451" s="444">
        <f>(I451/F451)</f>
        <v>594</v>
      </c>
      <c r="K451" s="445">
        <f t="shared" si="40"/>
        <v>4</v>
      </c>
      <c r="L451" s="446">
        <f>575413.5+2968+2376+2737+2376+2376+4752</f>
        <v>592998.5</v>
      </c>
      <c r="M451" s="447">
        <f>83313+742+594+635+594+594+1188</f>
        <v>87660</v>
      </c>
      <c r="N451" s="451">
        <v>6.906647221922149</v>
      </c>
      <c r="O451" s="108"/>
      <c r="P451" s="561"/>
      <c r="Q451" s="83"/>
      <c r="R451" s="83"/>
      <c r="S451" s="83"/>
      <c r="T451" s="83"/>
    </row>
    <row r="452" spans="1:20" ht="12" customHeight="1">
      <c r="A452" s="290">
        <v>448</v>
      </c>
      <c r="B452" s="123" t="s">
        <v>426</v>
      </c>
      <c r="C452" s="139">
        <v>39738</v>
      </c>
      <c r="D452" s="145" t="s">
        <v>326</v>
      </c>
      <c r="E452" s="146">
        <v>67</v>
      </c>
      <c r="F452" s="146">
        <v>1</v>
      </c>
      <c r="G452" s="146">
        <v>36</v>
      </c>
      <c r="H452" s="137">
        <v>2968</v>
      </c>
      <c r="I452" s="135">
        <v>742</v>
      </c>
      <c r="J452" s="129">
        <f aca="true" t="shared" si="43" ref="J452:J462">I452/F452</f>
        <v>742</v>
      </c>
      <c r="K452" s="130">
        <f t="shared" si="40"/>
        <v>4</v>
      </c>
      <c r="L452" s="144">
        <f>575413.5+2968</f>
        <v>578381.5</v>
      </c>
      <c r="M452" s="143">
        <f>83313+742</f>
        <v>84055</v>
      </c>
      <c r="N452" s="133">
        <f aca="true" t="shared" si="44" ref="N452:N462">+L452/M452</f>
        <v>6.880988638391529</v>
      </c>
      <c r="O452" s="147"/>
      <c r="P452" s="334"/>
      <c r="Q452" s="83"/>
      <c r="R452" s="83"/>
      <c r="S452" s="83"/>
      <c r="T452" s="83"/>
    </row>
    <row r="453" spans="1:20" ht="12" customHeight="1">
      <c r="A453" s="290">
        <v>449</v>
      </c>
      <c r="B453" s="123" t="s">
        <v>426</v>
      </c>
      <c r="C453" s="139">
        <v>39738</v>
      </c>
      <c r="D453" s="125" t="s">
        <v>326</v>
      </c>
      <c r="E453" s="146">
        <v>67</v>
      </c>
      <c r="F453" s="146">
        <v>2</v>
      </c>
      <c r="G453" s="146">
        <v>38</v>
      </c>
      <c r="H453" s="141">
        <v>2737</v>
      </c>
      <c r="I453" s="142">
        <v>635</v>
      </c>
      <c r="J453" s="129">
        <f t="shared" si="43"/>
        <v>317.5</v>
      </c>
      <c r="K453" s="130">
        <f t="shared" si="40"/>
        <v>4.310236220472441</v>
      </c>
      <c r="L453" s="144">
        <f>575413.5+2968+2376+2737</f>
        <v>583494.5</v>
      </c>
      <c r="M453" s="143">
        <f>83313+742+594+635</f>
        <v>85284</v>
      </c>
      <c r="N453" s="133">
        <f t="shared" si="44"/>
        <v>6.841781576849116</v>
      </c>
      <c r="O453" s="109"/>
      <c r="P453" s="334"/>
      <c r="Q453" s="83"/>
      <c r="R453" s="83"/>
      <c r="S453" s="83"/>
      <c r="T453" s="83"/>
    </row>
    <row r="454" spans="1:20" ht="12" customHeight="1">
      <c r="A454" s="290">
        <v>450</v>
      </c>
      <c r="B454" s="123" t="s">
        <v>426</v>
      </c>
      <c r="C454" s="124">
        <v>39738</v>
      </c>
      <c r="D454" s="125" t="s">
        <v>326</v>
      </c>
      <c r="E454" s="126">
        <v>67</v>
      </c>
      <c r="F454" s="126">
        <v>1</v>
      </c>
      <c r="G454" s="126">
        <v>40</v>
      </c>
      <c r="H454" s="137">
        <v>2376</v>
      </c>
      <c r="I454" s="135">
        <v>594</v>
      </c>
      <c r="J454" s="129">
        <f t="shared" si="43"/>
        <v>594</v>
      </c>
      <c r="K454" s="130">
        <f t="shared" si="40"/>
        <v>4</v>
      </c>
      <c r="L454" s="138">
        <f>575413.5+2968+2376+2737+2376+2376</f>
        <v>588246.5</v>
      </c>
      <c r="M454" s="136">
        <f>83313+742+594+635+594+594</f>
        <v>86472</v>
      </c>
      <c r="N454" s="133">
        <f t="shared" si="44"/>
        <v>6.802739615135535</v>
      </c>
      <c r="O454" s="159"/>
      <c r="P454" s="334"/>
      <c r="Q454" s="83"/>
      <c r="R454" s="83"/>
      <c r="S454" s="83"/>
      <c r="T454" s="83"/>
    </row>
    <row r="455" spans="1:20" ht="12" customHeight="1">
      <c r="A455" s="290">
        <v>451</v>
      </c>
      <c r="B455" s="123" t="s">
        <v>426</v>
      </c>
      <c r="C455" s="139">
        <v>39738</v>
      </c>
      <c r="D455" s="125" t="s">
        <v>326</v>
      </c>
      <c r="E455" s="146">
        <v>67</v>
      </c>
      <c r="F455" s="146">
        <v>1</v>
      </c>
      <c r="G455" s="146">
        <v>39</v>
      </c>
      <c r="H455" s="141">
        <v>2376</v>
      </c>
      <c r="I455" s="142">
        <v>594</v>
      </c>
      <c r="J455" s="129">
        <f t="shared" si="43"/>
        <v>594</v>
      </c>
      <c r="K455" s="130">
        <f t="shared" si="40"/>
        <v>4</v>
      </c>
      <c r="L455" s="144">
        <f>575413.5+2968+2376+2737+2376</f>
        <v>585870.5</v>
      </c>
      <c r="M455" s="143">
        <f>83313+742+594+635+594</f>
        <v>85878</v>
      </c>
      <c r="N455" s="133">
        <f t="shared" si="44"/>
        <v>6.8221255734879716</v>
      </c>
      <c r="O455" s="149"/>
      <c r="P455" s="334"/>
      <c r="Q455" s="83"/>
      <c r="R455" s="83"/>
      <c r="S455" s="83"/>
      <c r="T455" s="83"/>
    </row>
    <row r="456" spans="1:20" ht="12" customHeight="1">
      <c r="A456" s="290">
        <v>452</v>
      </c>
      <c r="B456" s="123" t="s">
        <v>426</v>
      </c>
      <c r="C456" s="139">
        <v>39738</v>
      </c>
      <c r="D456" s="145" t="s">
        <v>326</v>
      </c>
      <c r="E456" s="146">
        <v>67</v>
      </c>
      <c r="F456" s="146">
        <v>1</v>
      </c>
      <c r="G456" s="146">
        <v>37</v>
      </c>
      <c r="H456" s="137">
        <v>2376</v>
      </c>
      <c r="I456" s="135">
        <v>594</v>
      </c>
      <c r="J456" s="129">
        <f t="shared" si="43"/>
        <v>594</v>
      </c>
      <c r="K456" s="130">
        <f t="shared" si="40"/>
        <v>4</v>
      </c>
      <c r="L456" s="144">
        <f>575413.5+2968+2376</f>
        <v>580757.5</v>
      </c>
      <c r="M456" s="143">
        <f>83313+742+594</f>
        <v>84649</v>
      </c>
      <c r="N456" s="133">
        <f t="shared" si="44"/>
        <v>6.860772129617597</v>
      </c>
      <c r="O456" s="149"/>
      <c r="P456" s="334"/>
      <c r="Q456" s="83"/>
      <c r="R456" s="83"/>
      <c r="S456" s="83"/>
      <c r="T456" s="83"/>
    </row>
    <row r="457" spans="1:20" ht="12" customHeight="1">
      <c r="A457" s="290">
        <v>453</v>
      </c>
      <c r="B457" s="151" t="s">
        <v>426</v>
      </c>
      <c r="C457" s="139">
        <v>39738</v>
      </c>
      <c r="D457" s="145" t="s">
        <v>326</v>
      </c>
      <c r="E457" s="146">
        <v>67</v>
      </c>
      <c r="F457" s="146">
        <v>1</v>
      </c>
      <c r="G457" s="146">
        <v>31</v>
      </c>
      <c r="H457" s="141">
        <v>1780</v>
      </c>
      <c r="I457" s="142">
        <v>445</v>
      </c>
      <c r="J457" s="129">
        <f t="shared" si="43"/>
        <v>445</v>
      </c>
      <c r="K457" s="130">
        <f t="shared" si="40"/>
        <v>4</v>
      </c>
      <c r="L457" s="144">
        <f>167196+176809+54428+37340+38330.5+23467+11581+5867+4382+2577+3552+2137+545+4006+9422+7992+4936+1547+1147+288+371+2842+1282+168+610+1948+150+3292+132+65+1780</f>
        <v>570189.5</v>
      </c>
      <c r="M457" s="143">
        <f>19168+21164+7719+6215+6404+4964+2339+1306+907+580+859+440+127+905+2170+1822+1050+392+333+56+73+734+411+21+61+466+30+807+26+13+445</f>
        <v>82007</v>
      </c>
      <c r="N457" s="133">
        <f t="shared" si="44"/>
        <v>6.952936944407185</v>
      </c>
      <c r="O457" s="185"/>
      <c r="P457" s="334"/>
      <c r="Q457" s="83"/>
      <c r="R457" s="83"/>
      <c r="S457" s="83"/>
      <c r="T457" s="83"/>
    </row>
    <row r="458" spans="1:20" ht="12" customHeight="1">
      <c r="A458" s="290">
        <v>454</v>
      </c>
      <c r="B458" s="151" t="s">
        <v>426</v>
      </c>
      <c r="C458" s="139">
        <v>39738</v>
      </c>
      <c r="D458" s="145" t="s">
        <v>326</v>
      </c>
      <c r="E458" s="146">
        <v>67</v>
      </c>
      <c r="F458" s="146">
        <v>1</v>
      </c>
      <c r="G458" s="146">
        <v>32</v>
      </c>
      <c r="H458" s="150">
        <v>1780</v>
      </c>
      <c r="I458" s="152">
        <v>445</v>
      </c>
      <c r="J458" s="129">
        <f t="shared" si="43"/>
        <v>445</v>
      </c>
      <c r="K458" s="130">
        <f t="shared" si="40"/>
        <v>4</v>
      </c>
      <c r="L458" s="154">
        <f>167196+176809+54428+37340+38330.5+23467+11581+5867+4382+2577+3552+2137+545+4006+9422+7992+4936+1547+1147+288+371+2842+1282+168+610+1948+150+3292+132+65+1780+1780</f>
        <v>571969.5</v>
      </c>
      <c r="M458" s="153">
        <f>19168+21164+7719+6215+6404+4964+2339+1306+907+580+859+440+127+905+2170+1822+1050+392+333+56+73+734+411+21+61+466+30+807+26+13+445+445</f>
        <v>82452</v>
      </c>
      <c r="N458" s="133">
        <f t="shared" si="44"/>
        <v>6.9369997089215545</v>
      </c>
      <c r="O458" s="149"/>
      <c r="P458" s="334"/>
      <c r="Q458" s="83"/>
      <c r="R458" s="83"/>
      <c r="S458" s="83"/>
      <c r="T458" s="83"/>
    </row>
    <row r="459" spans="1:20" ht="12" customHeight="1">
      <c r="A459" s="290">
        <v>455</v>
      </c>
      <c r="B459" s="182" t="s">
        <v>426</v>
      </c>
      <c r="C459" s="139">
        <v>39738</v>
      </c>
      <c r="D459" s="145" t="s">
        <v>326</v>
      </c>
      <c r="E459" s="156">
        <v>67</v>
      </c>
      <c r="F459" s="156">
        <v>1</v>
      </c>
      <c r="G459" s="156">
        <v>33</v>
      </c>
      <c r="H459" s="157">
        <v>1780</v>
      </c>
      <c r="I459" s="158">
        <v>445</v>
      </c>
      <c r="J459" s="129">
        <f t="shared" si="43"/>
        <v>445</v>
      </c>
      <c r="K459" s="130">
        <f t="shared" si="40"/>
        <v>4</v>
      </c>
      <c r="L459" s="154">
        <f>167196+176809+54428+37340+38330.5+23467+11581+5867+4382+2577+3552+2137+545+4006+9422+7992+4936+1547+1147+288+371+2842+1282+168+610+1948+150+3292+132+65+1780+1780+1780</f>
        <v>573749.5</v>
      </c>
      <c r="M459" s="153">
        <f>19168+21164+7719+6215+6404+4964+2339+1306+907+580+859+440+127+905+2170+1822+1050+392+333+56+73+734+411+21+61+466+30+807+26+13+445+445+445</f>
        <v>82897</v>
      </c>
      <c r="N459" s="133">
        <f t="shared" si="44"/>
        <v>6.921233579019748</v>
      </c>
      <c r="O459" s="149"/>
      <c r="P459" s="334"/>
      <c r="Q459" s="83"/>
      <c r="R459" s="83"/>
      <c r="S459" s="83"/>
      <c r="T459" s="83"/>
    </row>
    <row r="460" spans="1:20" ht="12" customHeight="1">
      <c r="A460" s="290">
        <v>456</v>
      </c>
      <c r="B460" s="123" t="s">
        <v>426</v>
      </c>
      <c r="C460" s="139">
        <v>39738</v>
      </c>
      <c r="D460" s="145" t="s">
        <v>326</v>
      </c>
      <c r="E460" s="156">
        <v>67</v>
      </c>
      <c r="F460" s="156">
        <v>1</v>
      </c>
      <c r="G460" s="156">
        <v>34</v>
      </c>
      <c r="H460" s="157">
        <v>952</v>
      </c>
      <c r="I460" s="158">
        <v>238</v>
      </c>
      <c r="J460" s="129">
        <f t="shared" si="43"/>
        <v>238</v>
      </c>
      <c r="K460" s="130">
        <f t="shared" si="40"/>
        <v>4</v>
      </c>
      <c r="L460" s="154">
        <f>167196+176809+54428+37340+38330.5+23467+11581+5867+4382+2577+3552+2137+545+4006+9422+7992+4936+1547+1147+288+371+2842+1282+168+610+1948+150+3292+132+65+1780+1780+1780+952</f>
        <v>574701.5</v>
      </c>
      <c r="M460" s="153">
        <f>19168+21164+7719+6215+6404+4964+2339+1306+907+580+859+440+127+905+2170+1822+1050+392+333+56+73+734+411+21+61+466+30+807+26+13+445+445+445+238</f>
        <v>83135</v>
      </c>
      <c r="N460" s="133">
        <f t="shared" si="44"/>
        <v>6.912870632104409</v>
      </c>
      <c r="O460" s="149"/>
      <c r="P460" s="334"/>
      <c r="Q460" s="83"/>
      <c r="R460" s="83"/>
      <c r="S460" s="83"/>
      <c r="T460" s="83"/>
    </row>
    <row r="461" spans="1:20" ht="12" customHeight="1">
      <c r="A461" s="290">
        <v>457</v>
      </c>
      <c r="B461" s="151" t="s">
        <v>426</v>
      </c>
      <c r="C461" s="139">
        <v>39738</v>
      </c>
      <c r="D461" s="125" t="s">
        <v>326</v>
      </c>
      <c r="E461" s="146">
        <v>67</v>
      </c>
      <c r="F461" s="146">
        <v>1</v>
      </c>
      <c r="G461" s="146">
        <v>35</v>
      </c>
      <c r="H461" s="150">
        <v>712</v>
      </c>
      <c r="I461" s="152">
        <v>178</v>
      </c>
      <c r="J461" s="129">
        <f t="shared" si="43"/>
        <v>178</v>
      </c>
      <c r="K461" s="130">
        <f t="shared" si="40"/>
        <v>4</v>
      </c>
      <c r="L461" s="154">
        <v>575413.5</v>
      </c>
      <c r="M461" s="153">
        <v>83313</v>
      </c>
      <c r="N461" s="133">
        <f t="shared" si="44"/>
        <v>6.906647221922149</v>
      </c>
      <c r="O461" s="149"/>
      <c r="P461" s="334"/>
      <c r="Q461" s="83"/>
      <c r="R461" s="83"/>
      <c r="S461" s="83"/>
      <c r="T461" s="83"/>
    </row>
    <row r="462" spans="1:20" ht="12" customHeight="1">
      <c r="A462" s="290">
        <v>458</v>
      </c>
      <c r="B462" s="151" t="s">
        <v>370</v>
      </c>
      <c r="C462" s="139">
        <v>40046</v>
      </c>
      <c r="D462" s="194" t="s">
        <v>324</v>
      </c>
      <c r="E462" s="146">
        <v>55</v>
      </c>
      <c r="F462" s="146">
        <v>1</v>
      </c>
      <c r="G462" s="146">
        <v>20</v>
      </c>
      <c r="H462" s="141">
        <v>609</v>
      </c>
      <c r="I462" s="142">
        <v>280</v>
      </c>
      <c r="J462" s="129">
        <f t="shared" si="43"/>
        <v>280</v>
      </c>
      <c r="K462" s="130">
        <f t="shared" si="40"/>
        <v>2.175</v>
      </c>
      <c r="L462" s="144">
        <v>2895934</v>
      </c>
      <c r="M462" s="143">
        <v>289454</v>
      </c>
      <c r="N462" s="133">
        <f t="shared" si="44"/>
        <v>10.004815963849179</v>
      </c>
      <c r="O462" s="108"/>
      <c r="P462" s="334"/>
      <c r="Q462" s="83"/>
      <c r="R462" s="83"/>
      <c r="S462" s="83"/>
      <c r="T462" s="83"/>
    </row>
    <row r="463" spans="1:20" ht="12" customHeight="1">
      <c r="A463" s="290">
        <v>459</v>
      </c>
      <c r="B463" s="448" t="s">
        <v>369</v>
      </c>
      <c r="C463" s="431">
        <v>39836</v>
      </c>
      <c r="D463" s="579" t="s">
        <v>449</v>
      </c>
      <c r="E463" s="580">
        <v>86</v>
      </c>
      <c r="F463" s="580">
        <v>1</v>
      </c>
      <c r="G463" s="580">
        <v>22</v>
      </c>
      <c r="H463" s="433">
        <v>4752</v>
      </c>
      <c r="I463" s="434">
        <v>950</v>
      </c>
      <c r="J463" s="435">
        <f>IF(H463&lt;&gt;0,I463/F463,"")</f>
        <v>950</v>
      </c>
      <c r="K463" s="436">
        <f>IF(H463&lt;&gt;0,H463/I463,"")</f>
        <v>5.002105263157895</v>
      </c>
      <c r="L463" s="437">
        <f>1451306.5+4752</f>
        <v>1456058.5</v>
      </c>
      <c r="M463" s="438">
        <f>167737+950</f>
        <v>168687</v>
      </c>
      <c r="N463" s="450">
        <f>IF(L463&lt;&gt;0,L463/M463,"")</f>
        <v>8.631717322615257</v>
      </c>
      <c r="O463" s="108"/>
      <c r="P463" s="561"/>
      <c r="Q463" s="83"/>
      <c r="R463" s="83"/>
      <c r="S463" s="83"/>
      <c r="T463" s="83"/>
    </row>
    <row r="464" spans="1:20" ht="12" customHeight="1">
      <c r="A464" s="290">
        <v>460</v>
      </c>
      <c r="B464" s="151" t="s">
        <v>369</v>
      </c>
      <c r="C464" s="139">
        <v>39836</v>
      </c>
      <c r="D464" s="140" t="s">
        <v>423</v>
      </c>
      <c r="E464" s="146">
        <v>86</v>
      </c>
      <c r="F464" s="146">
        <v>1</v>
      </c>
      <c r="G464" s="146">
        <v>20</v>
      </c>
      <c r="H464" s="137">
        <v>2941</v>
      </c>
      <c r="I464" s="135">
        <v>588</v>
      </c>
      <c r="J464" s="129">
        <f aca="true" t="shared" si="45" ref="J464:J475">I464/F464</f>
        <v>588</v>
      </c>
      <c r="K464" s="130">
        <f aca="true" t="shared" si="46" ref="K464:K475">H464/I464</f>
        <v>5.0017006802721085</v>
      </c>
      <c r="L464" s="138">
        <v>1450591.5</v>
      </c>
      <c r="M464" s="136">
        <v>167594</v>
      </c>
      <c r="N464" s="133">
        <f aca="true" t="shared" si="47" ref="N464:N475">+L464/M464</f>
        <v>8.655390407771161</v>
      </c>
      <c r="O464" s="108">
        <v>1</v>
      </c>
      <c r="P464" s="334"/>
      <c r="Q464" s="83"/>
      <c r="R464" s="83"/>
      <c r="S464" s="83"/>
      <c r="T464" s="83"/>
    </row>
    <row r="465" spans="1:20" ht="12" customHeight="1">
      <c r="A465" s="290">
        <v>461</v>
      </c>
      <c r="B465" s="123" t="s">
        <v>369</v>
      </c>
      <c r="C465" s="124">
        <v>39836</v>
      </c>
      <c r="D465" s="191" t="s">
        <v>423</v>
      </c>
      <c r="E465" s="126">
        <v>86</v>
      </c>
      <c r="F465" s="126">
        <v>1</v>
      </c>
      <c r="G465" s="126">
        <v>21</v>
      </c>
      <c r="H465" s="127">
        <v>715</v>
      </c>
      <c r="I465" s="135">
        <v>143</v>
      </c>
      <c r="J465" s="129">
        <f t="shared" si="45"/>
        <v>143</v>
      </c>
      <c r="K465" s="130">
        <f t="shared" si="46"/>
        <v>5</v>
      </c>
      <c r="L465" s="131">
        <v>1451306.5</v>
      </c>
      <c r="M465" s="136">
        <v>167737</v>
      </c>
      <c r="N465" s="133">
        <f t="shared" si="47"/>
        <v>8.652274095757049</v>
      </c>
      <c r="O465" s="110">
        <v>1</v>
      </c>
      <c r="P465" s="334"/>
      <c r="Q465" s="83"/>
      <c r="R465" s="83"/>
      <c r="S465" s="83"/>
      <c r="T465" s="83"/>
    </row>
    <row r="466" spans="1:20" ht="12" customHeight="1">
      <c r="A466" s="290">
        <v>462</v>
      </c>
      <c r="B466" s="123" t="s">
        <v>47</v>
      </c>
      <c r="C466" s="139">
        <v>39871</v>
      </c>
      <c r="D466" s="145" t="s">
        <v>326</v>
      </c>
      <c r="E466" s="156">
        <v>6</v>
      </c>
      <c r="F466" s="156">
        <v>1</v>
      </c>
      <c r="G466" s="156">
        <v>13</v>
      </c>
      <c r="H466" s="157">
        <v>396.58</v>
      </c>
      <c r="I466" s="158">
        <v>88</v>
      </c>
      <c r="J466" s="129">
        <f t="shared" si="45"/>
        <v>88</v>
      </c>
      <c r="K466" s="130">
        <f t="shared" si="46"/>
        <v>4.506590909090909</v>
      </c>
      <c r="L466" s="154">
        <f>10784+5573+660+1421+910+383+1328+245+1176.5+396+237+184+396.58</f>
        <v>23694.08</v>
      </c>
      <c r="M466" s="153">
        <f>1170+612+72+185+145+72+129+49+165+72+54+44+88</f>
        <v>2857</v>
      </c>
      <c r="N466" s="133">
        <f t="shared" si="47"/>
        <v>8.293342667133357</v>
      </c>
      <c r="O466" s="108"/>
      <c r="P466" s="334"/>
      <c r="Q466" s="83"/>
      <c r="R466" s="83"/>
      <c r="S466" s="83"/>
      <c r="T466" s="83"/>
    </row>
    <row r="467" spans="1:20" ht="12" customHeight="1">
      <c r="A467" s="290">
        <v>463</v>
      </c>
      <c r="B467" s="123" t="s">
        <v>47</v>
      </c>
      <c r="C467" s="139">
        <v>39871</v>
      </c>
      <c r="D467" s="145" t="s">
        <v>326</v>
      </c>
      <c r="E467" s="156">
        <v>6</v>
      </c>
      <c r="F467" s="156">
        <v>1</v>
      </c>
      <c r="G467" s="156">
        <v>14</v>
      </c>
      <c r="H467" s="157">
        <v>72</v>
      </c>
      <c r="I467" s="158">
        <v>15</v>
      </c>
      <c r="J467" s="129">
        <f t="shared" si="45"/>
        <v>15</v>
      </c>
      <c r="K467" s="130">
        <f t="shared" si="46"/>
        <v>4.8</v>
      </c>
      <c r="L467" s="154">
        <f>10784+5573+660+1421+910+383+1328+245+1176.5+396+237+184+396.58+72</f>
        <v>23766.08</v>
      </c>
      <c r="M467" s="153">
        <f>1170+612+72+185+145+72+129+49+165+72+54+44+88+15</f>
        <v>2872</v>
      </c>
      <c r="N467" s="133">
        <f t="shared" si="47"/>
        <v>8.275097493036212</v>
      </c>
      <c r="O467" s="149">
        <v>1</v>
      </c>
      <c r="P467" s="334"/>
      <c r="Q467" s="83"/>
      <c r="R467" s="83"/>
      <c r="S467" s="83"/>
      <c r="T467" s="83"/>
    </row>
    <row r="468" spans="1:20" ht="12" customHeight="1">
      <c r="A468" s="290">
        <v>464</v>
      </c>
      <c r="B468" s="123" t="s">
        <v>47</v>
      </c>
      <c r="C468" s="139">
        <v>39871</v>
      </c>
      <c r="D468" s="145" t="s">
        <v>326</v>
      </c>
      <c r="E468" s="156">
        <v>6</v>
      </c>
      <c r="F468" s="156">
        <v>1</v>
      </c>
      <c r="G468" s="156">
        <v>15</v>
      </c>
      <c r="H468" s="157">
        <v>25.76</v>
      </c>
      <c r="I468" s="184">
        <v>7</v>
      </c>
      <c r="J468" s="129">
        <f t="shared" si="45"/>
        <v>7</v>
      </c>
      <c r="K468" s="130">
        <f t="shared" si="46"/>
        <v>3.68</v>
      </c>
      <c r="L468" s="144">
        <f>10784+5573+660+1421+910+383+1328+245+1176.5+396+237+184+396.58+72+25.76</f>
        <v>23791.84</v>
      </c>
      <c r="M468" s="143">
        <f>1170+612+72+185+145+72+129+49+165+72+54+44+88+15+7</f>
        <v>2879</v>
      </c>
      <c r="N468" s="133">
        <f t="shared" si="47"/>
        <v>8.263924973949289</v>
      </c>
      <c r="O468" s="149">
        <v>1</v>
      </c>
      <c r="P468" s="334"/>
      <c r="Q468" s="83"/>
      <c r="R468" s="83"/>
      <c r="S468" s="83"/>
      <c r="T468" s="83"/>
    </row>
    <row r="469" spans="1:20" ht="12" customHeight="1">
      <c r="A469" s="290">
        <v>465</v>
      </c>
      <c r="B469" s="123" t="s">
        <v>300</v>
      </c>
      <c r="C469" s="124">
        <v>40109</v>
      </c>
      <c r="D469" s="125" t="s">
        <v>326</v>
      </c>
      <c r="E469" s="126">
        <v>25</v>
      </c>
      <c r="F469" s="126">
        <v>1</v>
      </c>
      <c r="G469" s="126">
        <v>23</v>
      </c>
      <c r="H469" s="137">
        <v>1780</v>
      </c>
      <c r="I469" s="135">
        <v>445</v>
      </c>
      <c r="J469" s="129">
        <f t="shared" si="45"/>
        <v>445</v>
      </c>
      <c r="K469" s="130">
        <f t="shared" si="46"/>
        <v>4</v>
      </c>
      <c r="L469" s="138">
        <f>198009+121514.5+95148.5+66495+23091+12092+17648.5+7279+6352.5+7838.5+3895+13931+9479.5+3364+826.5+1019+54+36+440+715.04+552.7+2964+1780</f>
        <v>594525.24</v>
      </c>
      <c r="M469" s="136">
        <f>27092+16078+14204+10980+3903+1664+3329+1236+1212+1399+730+2457+1696+753+144+178+18+12+96+166+108+741+445</f>
        <v>88641</v>
      </c>
      <c r="N469" s="133">
        <f t="shared" si="47"/>
        <v>6.707113412529191</v>
      </c>
      <c r="O469" s="147">
        <v>1</v>
      </c>
      <c r="P469" s="334"/>
      <c r="Q469" s="83"/>
      <c r="R469" s="83"/>
      <c r="S469" s="83"/>
      <c r="T469" s="83"/>
    </row>
    <row r="470" spans="1:20" ht="12" customHeight="1">
      <c r="A470" s="290">
        <v>466</v>
      </c>
      <c r="B470" s="123" t="s">
        <v>8</v>
      </c>
      <c r="C470" s="139">
        <v>40109</v>
      </c>
      <c r="D470" s="145" t="s">
        <v>326</v>
      </c>
      <c r="E470" s="146">
        <v>25</v>
      </c>
      <c r="F470" s="146">
        <v>8</v>
      </c>
      <c r="G470" s="146">
        <v>12</v>
      </c>
      <c r="H470" s="127">
        <v>13931</v>
      </c>
      <c r="I470" s="128">
        <v>2457</v>
      </c>
      <c r="J470" s="129">
        <f t="shared" si="45"/>
        <v>307.125</v>
      </c>
      <c r="K470" s="130">
        <f t="shared" si="46"/>
        <v>5.66992266992267</v>
      </c>
      <c r="L470" s="131">
        <f>198009+121514.5+95148.5+66495+23091+12092+17648.5+7279+6352.5+7838.5+3895+13931</f>
        <v>573294.5</v>
      </c>
      <c r="M470" s="132">
        <f>27092+16078+14204+10980+3903+1664+3329+1236+1212+1399+730+2457</f>
        <v>84284</v>
      </c>
      <c r="N470" s="133">
        <f t="shared" si="47"/>
        <v>6.801937497033838</v>
      </c>
      <c r="O470" s="148"/>
      <c r="P470" s="334"/>
      <c r="Q470" s="83"/>
      <c r="R470" s="83"/>
      <c r="S470" s="83"/>
      <c r="T470" s="83"/>
    </row>
    <row r="471" spans="1:20" ht="12" customHeight="1">
      <c r="A471" s="290">
        <v>467</v>
      </c>
      <c r="B471" s="123" t="s">
        <v>8</v>
      </c>
      <c r="C471" s="168">
        <v>40109</v>
      </c>
      <c r="D471" s="145" t="s">
        <v>326</v>
      </c>
      <c r="E471" s="169">
        <v>25</v>
      </c>
      <c r="F471" s="169">
        <v>7</v>
      </c>
      <c r="G471" s="169">
        <v>13</v>
      </c>
      <c r="H471" s="127">
        <v>9467.5</v>
      </c>
      <c r="I471" s="135">
        <v>1694</v>
      </c>
      <c r="J471" s="129">
        <f t="shared" si="45"/>
        <v>242</v>
      </c>
      <c r="K471" s="130">
        <f t="shared" si="46"/>
        <v>5.588842975206612</v>
      </c>
      <c r="L471" s="131">
        <f>198009+121514.5+95148.5+66495+23091+12092+17648.5+7279+6352.5+7838.5+3895+13931+9467.5</f>
        <v>582762</v>
      </c>
      <c r="M471" s="136">
        <f>27092+16078+14204+10980+3903+1664+3329+1236+1212+1399+730+2457+1694</f>
        <v>85978</v>
      </c>
      <c r="N471" s="133">
        <f t="shared" si="47"/>
        <v>6.778036241829305</v>
      </c>
      <c r="O471" s="148"/>
      <c r="P471" s="334"/>
      <c r="Q471" s="83"/>
      <c r="R471" s="83"/>
      <c r="S471" s="83"/>
      <c r="T471" s="83"/>
    </row>
    <row r="472" spans="1:20" ht="12" customHeight="1">
      <c r="A472" s="290">
        <v>468</v>
      </c>
      <c r="B472" s="123" t="s">
        <v>8</v>
      </c>
      <c r="C472" s="139">
        <v>40109</v>
      </c>
      <c r="D472" s="125" t="s">
        <v>326</v>
      </c>
      <c r="E472" s="146">
        <v>25</v>
      </c>
      <c r="F472" s="146">
        <v>1</v>
      </c>
      <c r="G472" s="146">
        <v>25</v>
      </c>
      <c r="H472" s="150">
        <v>4160</v>
      </c>
      <c r="I472" s="152">
        <v>1040</v>
      </c>
      <c r="J472" s="129">
        <f t="shared" si="45"/>
        <v>1040</v>
      </c>
      <c r="K472" s="130">
        <f t="shared" si="46"/>
        <v>4</v>
      </c>
      <c r="L472" s="154">
        <v>601657.24</v>
      </c>
      <c r="M472" s="153">
        <v>90424</v>
      </c>
      <c r="N472" s="133">
        <f t="shared" si="47"/>
        <v>6.653733964434221</v>
      </c>
      <c r="O472" s="147"/>
      <c r="P472" s="334"/>
      <c r="Q472" s="83"/>
      <c r="R472" s="83"/>
      <c r="S472" s="83"/>
      <c r="T472" s="83"/>
    </row>
    <row r="473" spans="1:20" ht="12" customHeight="1">
      <c r="A473" s="290">
        <v>469</v>
      </c>
      <c r="B473" s="123" t="s">
        <v>8</v>
      </c>
      <c r="C473" s="139">
        <v>40109</v>
      </c>
      <c r="D473" s="145" t="s">
        <v>326</v>
      </c>
      <c r="E473" s="146">
        <v>25</v>
      </c>
      <c r="F473" s="146">
        <v>5</v>
      </c>
      <c r="G473" s="146">
        <v>11</v>
      </c>
      <c r="H473" s="127">
        <v>3895</v>
      </c>
      <c r="I473" s="128">
        <v>730</v>
      </c>
      <c r="J473" s="129">
        <f t="shared" si="45"/>
        <v>146</v>
      </c>
      <c r="K473" s="130">
        <f t="shared" si="46"/>
        <v>5.335616438356165</v>
      </c>
      <c r="L473" s="131">
        <f>198009+121514.5+95148.5+66495+23091+12092+17648.5+7279+6352.5+7838.5+3895</f>
        <v>559363.5</v>
      </c>
      <c r="M473" s="132">
        <f>27092+16078+14204+10980+3903+1664+3329+1236+1212+1399+730</f>
        <v>81827</v>
      </c>
      <c r="N473" s="133">
        <f t="shared" si="47"/>
        <v>6.835928238845369</v>
      </c>
      <c r="O473" s="108"/>
      <c r="P473" s="334"/>
      <c r="Q473" s="83"/>
      <c r="R473" s="83"/>
      <c r="S473" s="83"/>
      <c r="T473" s="83"/>
    </row>
    <row r="474" spans="1:20" ht="12" customHeight="1">
      <c r="A474" s="290">
        <v>470</v>
      </c>
      <c r="B474" s="123" t="s">
        <v>8</v>
      </c>
      <c r="C474" s="139">
        <v>40109</v>
      </c>
      <c r="D474" s="145" t="s">
        <v>326</v>
      </c>
      <c r="E474" s="146">
        <v>25</v>
      </c>
      <c r="F474" s="146">
        <v>3</v>
      </c>
      <c r="G474" s="146">
        <v>14</v>
      </c>
      <c r="H474" s="137">
        <v>3364</v>
      </c>
      <c r="I474" s="135">
        <v>753</v>
      </c>
      <c r="J474" s="129">
        <f t="shared" si="45"/>
        <v>251</v>
      </c>
      <c r="K474" s="130">
        <f t="shared" si="46"/>
        <v>4.46746347941567</v>
      </c>
      <c r="L474" s="138">
        <f>198009+121514.5+95148.5+66495+23091+12092+17648.5+7279+6352.5+7838.5+3895+13931+9479.5+3364</f>
        <v>586138</v>
      </c>
      <c r="M474" s="136">
        <f>27092+16078+14204+10980+3903+1664+3329+1236+1212+1399+730+2457+1696+753</f>
        <v>86733</v>
      </c>
      <c r="N474" s="133">
        <f t="shared" si="47"/>
        <v>6.757958331892128</v>
      </c>
      <c r="O474" s="147"/>
      <c r="P474" s="334"/>
      <c r="Q474" s="83"/>
      <c r="R474" s="83"/>
      <c r="S474" s="83"/>
      <c r="T474" s="83"/>
    </row>
    <row r="475" spans="1:20" ht="12" customHeight="1">
      <c r="A475" s="290">
        <v>471</v>
      </c>
      <c r="B475" s="123" t="s">
        <v>8</v>
      </c>
      <c r="C475" s="139">
        <v>40109</v>
      </c>
      <c r="D475" s="125" t="s">
        <v>326</v>
      </c>
      <c r="E475" s="146">
        <v>25</v>
      </c>
      <c r="F475" s="146">
        <v>1</v>
      </c>
      <c r="G475" s="146">
        <v>24</v>
      </c>
      <c r="H475" s="141">
        <v>2972</v>
      </c>
      <c r="I475" s="142">
        <v>743</v>
      </c>
      <c r="J475" s="129">
        <f t="shared" si="45"/>
        <v>743</v>
      </c>
      <c r="K475" s="130">
        <f t="shared" si="46"/>
        <v>4</v>
      </c>
      <c r="L475" s="144">
        <f>198009+121514.5+95148.5+66495+23091+12092+17648.5+7279+6352.5+7838.5+3895+13931+9479.5+3364+826.5+1019+54+36+440+715.04+552.7+2964+1780+2972</f>
        <v>597497.24</v>
      </c>
      <c r="M475" s="143">
        <f>27092+16078+14204+10980+3903+1664+3329+1236+1212+1399+730+2457+1696+753+144+178+18+12+96+166+108+741+445+743</f>
        <v>89384</v>
      </c>
      <c r="N475" s="133">
        <f t="shared" si="47"/>
        <v>6.684610668576031</v>
      </c>
      <c r="O475" s="149"/>
      <c r="P475" s="334"/>
      <c r="Q475" s="83"/>
      <c r="R475" s="83"/>
      <c r="S475" s="83"/>
      <c r="T475" s="83"/>
    </row>
    <row r="476" spans="1:20" ht="12" customHeight="1">
      <c r="A476" s="290">
        <v>472</v>
      </c>
      <c r="B476" s="449" t="s">
        <v>482</v>
      </c>
      <c r="C476" s="440">
        <v>40109</v>
      </c>
      <c r="D476" s="485" t="s">
        <v>326</v>
      </c>
      <c r="E476" s="486">
        <v>25</v>
      </c>
      <c r="F476" s="486">
        <v>1</v>
      </c>
      <c r="G476" s="486">
        <v>26</v>
      </c>
      <c r="H476" s="442">
        <v>2020</v>
      </c>
      <c r="I476" s="443">
        <v>505</v>
      </c>
      <c r="J476" s="444">
        <v>1040</v>
      </c>
      <c r="K476" s="445">
        <v>4</v>
      </c>
      <c r="L476" s="446">
        <f>601657.24+2020</f>
        <v>603677.24</v>
      </c>
      <c r="M476" s="447">
        <f>90424+505</f>
        <v>90929</v>
      </c>
      <c r="N476" s="451">
        <v>6.653733964434221</v>
      </c>
      <c r="O476" s="108">
        <v>1</v>
      </c>
      <c r="P476" s="561"/>
      <c r="Q476" s="83"/>
      <c r="R476" s="83"/>
      <c r="S476" s="83"/>
      <c r="T476" s="83"/>
    </row>
    <row r="477" spans="1:20" ht="12" customHeight="1">
      <c r="A477" s="290">
        <v>473</v>
      </c>
      <c r="B477" s="123" t="s">
        <v>8</v>
      </c>
      <c r="C477" s="139">
        <v>40109</v>
      </c>
      <c r="D477" s="145" t="s">
        <v>326</v>
      </c>
      <c r="E477" s="146">
        <v>25</v>
      </c>
      <c r="F477" s="146">
        <v>1</v>
      </c>
      <c r="G477" s="146">
        <v>16</v>
      </c>
      <c r="H477" s="141">
        <v>1019</v>
      </c>
      <c r="I477" s="142">
        <v>178</v>
      </c>
      <c r="J477" s="129">
        <f aca="true" t="shared" si="48" ref="J477:J490">I477/F477</f>
        <v>178</v>
      </c>
      <c r="K477" s="130">
        <f aca="true" t="shared" si="49" ref="K477:K490">H477/I477</f>
        <v>5.724719101123595</v>
      </c>
      <c r="L477" s="144">
        <f>198009+121514.5+95148.5+66495+23091+12092+17648.5+7279+6352.5+7838.5+3895+13931+9479.5+3364+826.5+1019</f>
        <v>587983.5</v>
      </c>
      <c r="M477" s="143">
        <f>27092+16078+14204+10980+3903+1664+3329+1236+1212+1399+730+2457+1696+753+144+178</f>
        <v>87055</v>
      </c>
      <c r="N477" s="133">
        <f aca="true" t="shared" si="50" ref="N477:N490">+L477/M477</f>
        <v>6.754161162483488</v>
      </c>
      <c r="O477" s="149"/>
      <c r="P477" s="334"/>
      <c r="Q477" s="83"/>
      <c r="R477" s="83"/>
      <c r="S477" s="83"/>
      <c r="T477" s="83"/>
    </row>
    <row r="478" spans="1:20" ht="12" customHeight="1">
      <c r="A478" s="290">
        <v>474</v>
      </c>
      <c r="B478" s="123" t="s">
        <v>8</v>
      </c>
      <c r="C478" s="168">
        <v>40109</v>
      </c>
      <c r="D478" s="145" t="s">
        <v>326</v>
      </c>
      <c r="E478" s="169">
        <v>25</v>
      </c>
      <c r="F478" s="169">
        <v>1</v>
      </c>
      <c r="G478" s="169">
        <v>15</v>
      </c>
      <c r="H478" s="137">
        <v>826.5</v>
      </c>
      <c r="I478" s="135">
        <v>144</v>
      </c>
      <c r="J478" s="129">
        <f t="shared" si="48"/>
        <v>144</v>
      </c>
      <c r="K478" s="130">
        <f t="shared" si="49"/>
        <v>5.739583333333333</v>
      </c>
      <c r="L478" s="138">
        <f>198009+121514.5+95148.5+66495+23091+12092+17648.5+7279+6352.5+7838.5+3895+13931+9479.5+3364+826.5</f>
        <v>586964.5</v>
      </c>
      <c r="M478" s="136">
        <f>27092+16078+14204+10980+3903+1664+3329+1236+1212+1399+730+2457+1696+753+144</f>
        <v>86877</v>
      </c>
      <c r="N478" s="133">
        <f t="shared" si="50"/>
        <v>6.756270359243528</v>
      </c>
      <c r="O478" s="149"/>
      <c r="P478" s="334"/>
      <c r="Q478" s="83"/>
      <c r="R478" s="83"/>
      <c r="S478" s="83"/>
      <c r="T478" s="83"/>
    </row>
    <row r="479" spans="1:20" ht="12" customHeight="1">
      <c r="A479" s="290">
        <v>475</v>
      </c>
      <c r="B479" s="123" t="s">
        <v>8</v>
      </c>
      <c r="C479" s="139">
        <v>40109</v>
      </c>
      <c r="D479" s="145" t="s">
        <v>326</v>
      </c>
      <c r="E479" s="156">
        <v>25</v>
      </c>
      <c r="F479" s="156">
        <v>1</v>
      </c>
      <c r="G479" s="156">
        <v>20</v>
      </c>
      <c r="H479" s="157">
        <v>715.04</v>
      </c>
      <c r="I479" s="158">
        <v>166</v>
      </c>
      <c r="J479" s="129">
        <f t="shared" si="48"/>
        <v>166</v>
      </c>
      <c r="K479" s="130">
        <f t="shared" si="49"/>
        <v>4.307469879518072</v>
      </c>
      <c r="L479" s="154">
        <f>198009+121514.5+95148.5+66495+23091+12092+17648.5+7279+6352.5+7838.5+3895+13931+9479.5+3364+826.5+1019+54+36+440+715.04</f>
        <v>589228.54</v>
      </c>
      <c r="M479" s="153">
        <f>27092+16078+14204+10980+3903+1664+3329+1236+1212+1399+730+2457+1696+753+144+178+18+12+96+166</f>
        <v>87347</v>
      </c>
      <c r="N479" s="133">
        <f t="shared" si="50"/>
        <v>6.7458360332925</v>
      </c>
      <c r="O479" s="149"/>
      <c r="P479" s="334"/>
      <c r="Q479" s="83"/>
      <c r="R479" s="83"/>
      <c r="S479" s="83"/>
      <c r="T479" s="83"/>
    </row>
    <row r="480" spans="1:20" ht="12" customHeight="1">
      <c r="A480" s="290">
        <v>476</v>
      </c>
      <c r="B480" s="123" t="s">
        <v>8</v>
      </c>
      <c r="C480" s="139">
        <v>40109</v>
      </c>
      <c r="D480" s="145" t="s">
        <v>326</v>
      </c>
      <c r="E480" s="156">
        <v>25</v>
      </c>
      <c r="F480" s="156">
        <v>2</v>
      </c>
      <c r="G480" s="156">
        <v>21</v>
      </c>
      <c r="H480" s="157">
        <v>552.7</v>
      </c>
      <c r="I480" s="184">
        <v>108</v>
      </c>
      <c r="J480" s="129">
        <f t="shared" si="48"/>
        <v>54</v>
      </c>
      <c r="K480" s="130">
        <f t="shared" si="49"/>
        <v>5.117592592592593</v>
      </c>
      <c r="L480" s="144">
        <f>198009+121514.5+95148.5+66495+23091+12092+17648.5+7279+6352.5+7838.5+3895+13931+9479.5+3364+826.5+1019+54+36+440+715.04+552.7</f>
        <v>589781.24</v>
      </c>
      <c r="M480" s="143">
        <f>27092+16078+14204+10980+3903+1664+3329+1236+1212+1399+730+2457+1696+753+144+178+18+12+96+166+108</f>
        <v>87455</v>
      </c>
      <c r="N480" s="133">
        <f t="shared" si="50"/>
        <v>6.743825281573381</v>
      </c>
      <c r="O480" s="149"/>
      <c r="P480" s="334"/>
      <c r="Q480" s="83"/>
      <c r="R480" s="83"/>
      <c r="S480" s="83"/>
      <c r="T480" s="83"/>
    </row>
    <row r="481" spans="1:20" ht="12" customHeight="1">
      <c r="A481" s="290">
        <v>477</v>
      </c>
      <c r="B481" s="123" t="s">
        <v>8</v>
      </c>
      <c r="C481" s="139">
        <v>40109</v>
      </c>
      <c r="D481" s="145" t="s">
        <v>326</v>
      </c>
      <c r="E481" s="156">
        <v>25</v>
      </c>
      <c r="F481" s="156">
        <v>1</v>
      </c>
      <c r="G481" s="156">
        <v>19</v>
      </c>
      <c r="H481" s="157">
        <v>440</v>
      </c>
      <c r="I481" s="158">
        <v>96</v>
      </c>
      <c r="J481" s="129">
        <f t="shared" si="48"/>
        <v>96</v>
      </c>
      <c r="K481" s="130">
        <f t="shared" si="49"/>
        <v>4.583333333333333</v>
      </c>
      <c r="L481" s="154">
        <f>198009+121514.5+95148.5+66495+23091+12092+17648.5+7279+6352.5+7838.5+3895+13931+9479.5+3364+826.5+1019+54+36+440</f>
        <v>588513.5</v>
      </c>
      <c r="M481" s="153">
        <f>27092+16078+14204+10980+3903+1664+3329+1236+1212+1399+730+2457+1696+753+144+178+18+12+96</f>
        <v>87181</v>
      </c>
      <c r="N481" s="133">
        <f t="shared" si="50"/>
        <v>6.750478888748695</v>
      </c>
      <c r="O481" s="149">
        <v>1</v>
      </c>
      <c r="P481" s="334"/>
      <c r="Q481" s="83"/>
      <c r="R481" s="83"/>
      <c r="S481" s="83"/>
      <c r="T481" s="83"/>
    </row>
    <row r="482" spans="1:20" ht="12" customHeight="1">
      <c r="A482" s="290">
        <v>478</v>
      </c>
      <c r="B482" s="123" t="s">
        <v>8</v>
      </c>
      <c r="C482" s="124">
        <v>40109</v>
      </c>
      <c r="D482" s="145" t="s">
        <v>326</v>
      </c>
      <c r="E482" s="126">
        <v>25</v>
      </c>
      <c r="F482" s="126">
        <v>1</v>
      </c>
      <c r="G482" s="126">
        <v>17</v>
      </c>
      <c r="H482" s="127">
        <v>54</v>
      </c>
      <c r="I482" s="128">
        <v>18</v>
      </c>
      <c r="J482" s="129">
        <f t="shared" si="48"/>
        <v>18</v>
      </c>
      <c r="K482" s="130">
        <f t="shared" si="49"/>
        <v>3</v>
      </c>
      <c r="L482" s="131">
        <f>198009+121514.5+95148.5+66495+23091+12092+17648.5+7279+6352.5+7838.5+3895+13931+9479.5+3364+826.5+1019+54</f>
        <v>588037.5</v>
      </c>
      <c r="M482" s="132">
        <f>27092+16078+14204+10980+3903+1664+3329+1236+1212+1399+730+2457+1696+753+144+178+18</f>
        <v>87073</v>
      </c>
      <c r="N482" s="133">
        <f t="shared" si="50"/>
        <v>6.753385090671046</v>
      </c>
      <c r="O482" s="149">
        <v>1</v>
      </c>
      <c r="P482" s="334"/>
      <c r="Q482" s="83"/>
      <c r="R482" s="83"/>
      <c r="S482" s="83"/>
      <c r="T482" s="83"/>
    </row>
    <row r="483" spans="1:20" ht="12" customHeight="1">
      <c r="A483" s="290">
        <v>479</v>
      </c>
      <c r="B483" s="123" t="s">
        <v>8</v>
      </c>
      <c r="C483" s="139">
        <v>40109</v>
      </c>
      <c r="D483" s="145" t="s">
        <v>326</v>
      </c>
      <c r="E483" s="156">
        <v>25</v>
      </c>
      <c r="F483" s="156">
        <v>1</v>
      </c>
      <c r="G483" s="156">
        <v>18</v>
      </c>
      <c r="H483" s="157">
        <v>36</v>
      </c>
      <c r="I483" s="158">
        <v>12</v>
      </c>
      <c r="J483" s="129">
        <f t="shared" si="48"/>
        <v>12</v>
      </c>
      <c r="K483" s="130">
        <f t="shared" si="49"/>
        <v>3</v>
      </c>
      <c r="L483" s="154">
        <f>198009+121514.5+95148.5+66495+23091+12092+17648.5+7279+6352.5+7838.5+3895+13931+9479.5+3364+826.5+1019+54+36</f>
        <v>588073.5</v>
      </c>
      <c r="M483" s="153">
        <f>27092+16078+14204+10980+3903+1664+3329+1236+1212+1399+730+2457+1696+753+144+178+18+12</f>
        <v>87085</v>
      </c>
      <c r="N483" s="133">
        <f t="shared" si="50"/>
        <v>6.752867887695929</v>
      </c>
      <c r="O483" s="149"/>
      <c r="P483" s="334"/>
      <c r="Q483" s="83"/>
      <c r="R483" s="83"/>
      <c r="S483" s="83"/>
      <c r="T483" s="83"/>
    </row>
    <row r="484" spans="1:20" ht="12" customHeight="1">
      <c r="A484" s="290">
        <v>480</v>
      </c>
      <c r="B484" s="151" t="s">
        <v>48</v>
      </c>
      <c r="C484" s="139">
        <v>40074</v>
      </c>
      <c r="D484" s="145" t="s">
        <v>353</v>
      </c>
      <c r="E484" s="146">
        <v>20</v>
      </c>
      <c r="F484" s="146">
        <v>1</v>
      </c>
      <c r="G484" s="146">
        <v>8</v>
      </c>
      <c r="H484" s="150">
        <v>622</v>
      </c>
      <c r="I484" s="152">
        <v>104</v>
      </c>
      <c r="J484" s="129">
        <f t="shared" si="48"/>
        <v>104</v>
      </c>
      <c r="K484" s="130">
        <f t="shared" si="49"/>
        <v>5.980769230769231</v>
      </c>
      <c r="L484" s="154">
        <f>29605.75+13687.5+1715.5+10167+0.5+1482+874+865+622</f>
        <v>59019.25</v>
      </c>
      <c r="M484" s="153">
        <f>2984+1583+274+1724+229+164+167+104</f>
        <v>7229</v>
      </c>
      <c r="N484" s="133">
        <f t="shared" si="50"/>
        <v>8.164234333932772</v>
      </c>
      <c r="O484" s="110">
        <v>1</v>
      </c>
      <c r="P484" s="334"/>
      <c r="Q484" s="83"/>
      <c r="R484" s="83"/>
      <c r="S484" s="83"/>
      <c r="T484" s="83"/>
    </row>
    <row r="485" spans="1:20" ht="12" customHeight="1">
      <c r="A485" s="290">
        <v>481</v>
      </c>
      <c r="B485" s="151" t="s">
        <v>49</v>
      </c>
      <c r="C485" s="139">
        <v>40074</v>
      </c>
      <c r="D485" s="145" t="s">
        <v>353</v>
      </c>
      <c r="E485" s="146">
        <v>20</v>
      </c>
      <c r="F485" s="146">
        <v>1</v>
      </c>
      <c r="G485" s="146">
        <v>9</v>
      </c>
      <c r="H485" s="150">
        <v>52</v>
      </c>
      <c r="I485" s="142">
        <v>12</v>
      </c>
      <c r="J485" s="129">
        <f t="shared" si="48"/>
        <v>12</v>
      </c>
      <c r="K485" s="130">
        <f t="shared" si="49"/>
        <v>4.333333333333333</v>
      </c>
      <c r="L485" s="154">
        <f>29605.75+13687.5+1715.5+10167+0.5+1482+874+865+622+52</f>
        <v>59071.25</v>
      </c>
      <c r="M485" s="143">
        <f>2984+1583+274+1724+229+164+167+104+12</f>
        <v>7241</v>
      </c>
      <c r="N485" s="133">
        <f t="shared" si="50"/>
        <v>8.157885651153155</v>
      </c>
      <c r="O485" s="110"/>
      <c r="P485" s="334"/>
      <c r="Q485" s="83"/>
      <c r="R485" s="83"/>
      <c r="S485" s="83"/>
      <c r="T485" s="83"/>
    </row>
    <row r="486" spans="1:20" ht="12" customHeight="1">
      <c r="A486" s="290">
        <v>482</v>
      </c>
      <c r="B486" s="151" t="s">
        <v>351</v>
      </c>
      <c r="C486" s="139">
        <v>40109</v>
      </c>
      <c r="D486" s="145" t="s">
        <v>326</v>
      </c>
      <c r="E486" s="146">
        <v>35</v>
      </c>
      <c r="F486" s="146">
        <v>4</v>
      </c>
      <c r="G486" s="146">
        <v>10</v>
      </c>
      <c r="H486" s="127">
        <v>2698</v>
      </c>
      <c r="I486" s="128">
        <v>403</v>
      </c>
      <c r="J486" s="129">
        <f t="shared" si="48"/>
        <v>100.75</v>
      </c>
      <c r="K486" s="130">
        <f t="shared" si="49"/>
        <v>6.694789081885856</v>
      </c>
      <c r="L486" s="131">
        <f>138311.75+79345.25+13093+10041+3739+971+1340+254+1082+2698</f>
        <v>250875</v>
      </c>
      <c r="M486" s="132">
        <f>12918+7558+2061+1540+644+195+252+48+177+403</f>
        <v>25796</v>
      </c>
      <c r="N486" s="133">
        <f t="shared" si="50"/>
        <v>9.725345014730966</v>
      </c>
      <c r="O486" s="149">
        <v>1</v>
      </c>
      <c r="P486" s="334"/>
      <c r="Q486" s="83"/>
      <c r="R486" s="83"/>
      <c r="S486" s="83"/>
      <c r="T486" s="83"/>
    </row>
    <row r="487" spans="1:20" ht="12" customHeight="1">
      <c r="A487" s="290">
        <v>483</v>
      </c>
      <c r="B487" s="167" t="s">
        <v>351</v>
      </c>
      <c r="C487" s="168">
        <v>40109</v>
      </c>
      <c r="D487" s="145" t="s">
        <v>326</v>
      </c>
      <c r="E487" s="169">
        <v>35</v>
      </c>
      <c r="F487" s="169">
        <v>2</v>
      </c>
      <c r="G487" s="169">
        <v>11</v>
      </c>
      <c r="H487" s="127">
        <v>1314</v>
      </c>
      <c r="I487" s="135">
        <v>212</v>
      </c>
      <c r="J487" s="129">
        <f t="shared" si="48"/>
        <v>106</v>
      </c>
      <c r="K487" s="130">
        <f t="shared" si="49"/>
        <v>6.19811320754717</v>
      </c>
      <c r="L487" s="131">
        <f>138311.75+79345.25+13093+10041+3739+971+1340+254+1082+2698+1314</f>
        <v>252189</v>
      </c>
      <c r="M487" s="136">
        <f>12918+7558+2061+1540+644+195+252+48+177+403+212</f>
        <v>26008</v>
      </c>
      <c r="N487" s="133">
        <f t="shared" si="50"/>
        <v>9.696593355890496</v>
      </c>
      <c r="O487" s="109">
        <v>1</v>
      </c>
      <c r="P487" s="334"/>
      <c r="Q487" s="83"/>
      <c r="R487" s="83"/>
      <c r="S487" s="83"/>
      <c r="T487" s="83"/>
    </row>
    <row r="488" spans="1:20" ht="12" customHeight="1">
      <c r="A488" s="290">
        <v>484</v>
      </c>
      <c r="B488" s="151" t="s">
        <v>351</v>
      </c>
      <c r="C488" s="139">
        <v>40109</v>
      </c>
      <c r="D488" s="145" t="s">
        <v>326</v>
      </c>
      <c r="E488" s="146">
        <v>35</v>
      </c>
      <c r="F488" s="146">
        <v>1</v>
      </c>
      <c r="G488" s="146">
        <v>9</v>
      </c>
      <c r="H488" s="127">
        <v>1082</v>
      </c>
      <c r="I488" s="128">
        <v>177</v>
      </c>
      <c r="J488" s="129">
        <f t="shared" si="48"/>
        <v>177</v>
      </c>
      <c r="K488" s="130">
        <f t="shared" si="49"/>
        <v>6.112994350282486</v>
      </c>
      <c r="L488" s="131">
        <f>138311.75+79345.25+13093+10041+3739+971+1340+254+1082</f>
        <v>248177</v>
      </c>
      <c r="M488" s="132">
        <f>12918+7558+2061+1540+644+195+252+48+177</f>
        <v>25393</v>
      </c>
      <c r="N488" s="133">
        <f t="shared" si="50"/>
        <v>9.77344149962588</v>
      </c>
      <c r="O488" s="149">
        <v>1</v>
      </c>
      <c r="P488" s="334"/>
      <c r="Q488" s="83"/>
      <c r="R488" s="83"/>
      <c r="S488" s="83"/>
      <c r="T488" s="83"/>
    </row>
    <row r="489" spans="1:20" ht="12" customHeight="1">
      <c r="A489" s="290">
        <v>485</v>
      </c>
      <c r="B489" s="151" t="s">
        <v>351</v>
      </c>
      <c r="C489" s="139">
        <v>40109</v>
      </c>
      <c r="D489" s="145" t="s">
        <v>326</v>
      </c>
      <c r="E489" s="146">
        <v>35</v>
      </c>
      <c r="F489" s="146">
        <v>1</v>
      </c>
      <c r="G489" s="146">
        <v>13</v>
      </c>
      <c r="H489" s="141">
        <v>952</v>
      </c>
      <c r="I489" s="142">
        <v>238</v>
      </c>
      <c r="J489" s="129">
        <f t="shared" si="48"/>
        <v>238</v>
      </c>
      <c r="K489" s="130">
        <f t="shared" si="49"/>
        <v>4</v>
      </c>
      <c r="L489" s="144">
        <f>138311.75+79345.25+13093+10041+3739+971+1340+254+1082+2698+1314+676+952</f>
        <v>253817</v>
      </c>
      <c r="M489" s="143">
        <f>12918+7558+2061+1540+644+195+252+48+177+403+212+110+238</f>
        <v>26356</v>
      </c>
      <c r="N489" s="133">
        <f t="shared" si="50"/>
        <v>9.630330854454394</v>
      </c>
      <c r="O489" s="149">
        <v>1</v>
      </c>
      <c r="P489" s="334"/>
      <c r="Q489" s="83"/>
      <c r="R489" s="83"/>
      <c r="S489" s="83"/>
      <c r="T489" s="83"/>
    </row>
    <row r="490" spans="1:20" ht="12" customHeight="1">
      <c r="A490" s="290">
        <v>486</v>
      </c>
      <c r="B490" s="151" t="s">
        <v>351</v>
      </c>
      <c r="C490" s="139">
        <v>40109</v>
      </c>
      <c r="D490" s="145" t="s">
        <v>326</v>
      </c>
      <c r="E490" s="146">
        <v>35</v>
      </c>
      <c r="F490" s="146">
        <v>2</v>
      </c>
      <c r="G490" s="146">
        <v>12</v>
      </c>
      <c r="H490" s="137">
        <v>676</v>
      </c>
      <c r="I490" s="135">
        <v>110</v>
      </c>
      <c r="J490" s="129">
        <f t="shared" si="48"/>
        <v>55</v>
      </c>
      <c r="K490" s="130">
        <f t="shared" si="49"/>
        <v>6.1454545454545455</v>
      </c>
      <c r="L490" s="138">
        <f>138311.75+79345.25+13093+10041+3739+971+1340+254+1082+2698+1314+676</f>
        <v>252865</v>
      </c>
      <c r="M490" s="136">
        <f>12918+7558+2061+1540+644+195+252+48+177+403+212+110</f>
        <v>26118</v>
      </c>
      <c r="N490" s="133">
        <f t="shared" si="50"/>
        <v>9.681637185083085</v>
      </c>
      <c r="O490" s="149">
        <v>1</v>
      </c>
      <c r="P490" s="334"/>
      <c r="Q490" s="83"/>
      <c r="R490" s="83"/>
      <c r="S490" s="83"/>
      <c r="T490" s="83"/>
    </row>
    <row r="491" spans="1:20" ht="12" customHeight="1">
      <c r="A491" s="290">
        <v>487</v>
      </c>
      <c r="B491" s="448" t="s">
        <v>476</v>
      </c>
      <c r="C491" s="431">
        <v>39647</v>
      </c>
      <c r="D491" s="579" t="s">
        <v>449</v>
      </c>
      <c r="E491" s="580">
        <v>108</v>
      </c>
      <c r="F491" s="580">
        <v>1</v>
      </c>
      <c r="G491" s="580">
        <v>19</v>
      </c>
      <c r="H491" s="433">
        <v>4752</v>
      </c>
      <c r="I491" s="434">
        <v>950</v>
      </c>
      <c r="J491" s="435">
        <f>IF(H491&lt;&gt;0,I491/F491,"")</f>
        <v>950</v>
      </c>
      <c r="K491" s="436">
        <f>IF(H491&lt;&gt;0,H491/I491,"")</f>
        <v>5.002105263157895</v>
      </c>
      <c r="L491" s="437">
        <f>1222515+828853.5+616915.5+465273+341230+269480+214782+33294.5+48263+68276.5+92787.5+52179+2714+1180+1782+3501+6654+713+4752</f>
        <v>4275145.5</v>
      </c>
      <c r="M491" s="438">
        <f>124195+81105+60538+46526+36523+29809+22690+5484+5511+6560+7453+4453+870+236+594+1144+2218+143+950</f>
        <v>437002</v>
      </c>
      <c r="N491" s="450">
        <f>IF(L491&lt;&gt;0,L491/M491,"")</f>
        <v>9.782896874613845</v>
      </c>
      <c r="O491" s="108"/>
      <c r="P491" s="561"/>
      <c r="Q491" s="83"/>
      <c r="R491" s="83"/>
      <c r="S491" s="83"/>
      <c r="T491" s="83"/>
    </row>
    <row r="492" spans="1:20" ht="12" customHeight="1">
      <c r="A492" s="290">
        <v>488</v>
      </c>
      <c r="B492" s="123" t="s">
        <v>50</v>
      </c>
      <c r="C492" s="124">
        <v>40088</v>
      </c>
      <c r="D492" s="155" t="s">
        <v>423</v>
      </c>
      <c r="E492" s="126">
        <v>55</v>
      </c>
      <c r="F492" s="126">
        <v>1</v>
      </c>
      <c r="G492" s="126">
        <v>11</v>
      </c>
      <c r="H492" s="162">
        <v>653</v>
      </c>
      <c r="I492" s="163">
        <v>131</v>
      </c>
      <c r="J492" s="129">
        <f aca="true" t="shared" si="51" ref="J492:J536">I492/F492</f>
        <v>131</v>
      </c>
      <c r="K492" s="130">
        <f aca="true" t="shared" si="52" ref="K492:K536">H492/I492</f>
        <v>4.984732824427481</v>
      </c>
      <c r="L492" s="164">
        <v>148114</v>
      </c>
      <c r="M492" s="143">
        <v>18332</v>
      </c>
      <c r="N492" s="133">
        <f aca="true" t="shared" si="53" ref="N492:N536">+L492/M492</f>
        <v>8.079533056949597</v>
      </c>
      <c r="O492" s="147">
        <v>1</v>
      </c>
      <c r="P492" s="334"/>
      <c r="Q492" s="83"/>
      <c r="R492" s="83"/>
      <c r="S492" s="83"/>
      <c r="T492" s="83"/>
    </row>
    <row r="493" spans="1:20" ht="12" customHeight="1">
      <c r="A493" s="290">
        <v>489</v>
      </c>
      <c r="B493" s="151" t="s">
        <v>51</v>
      </c>
      <c r="C493" s="139">
        <v>40088</v>
      </c>
      <c r="D493" s="155" t="s">
        <v>423</v>
      </c>
      <c r="E493" s="146">
        <v>55</v>
      </c>
      <c r="F493" s="146">
        <v>1</v>
      </c>
      <c r="G493" s="146">
        <v>13</v>
      </c>
      <c r="H493" s="150">
        <v>518</v>
      </c>
      <c r="I493" s="152">
        <v>90</v>
      </c>
      <c r="J493" s="129">
        <f t="shared" si="51"/>
        <v>90</v>
      </c>
      <c r="K493" s="130">
        <f t="shared" si="52"/>
        <v>5.7555555555555555</v>
      </c>
      <c r="L493" s="154">
        <v>148902</v>
      </c>
      <c r="M493" s="153">
        <v>18460</v>
      </c>
      <c r="N493" s="133">
        <f t="shared" si="53"/>
        <v>8.066197183098591</v>
      </c>
      <c r="O493" s="149">
        <v>1</v>
      </c>
      <c r="P493" s="334"/>
      <c r="Q493" s="83"/>
      <c r="R493" s="83"/>
      <c r="S493" s="83"/>
      <c r="T493" s="83"/>
    </row>
    <row r="494" spans="1:20" ht="12" customHeight="1">
      <c r="A494" s="290">
        <v>490</v>
      </c>
      <c r="B494" s="151" t="s">
        <v>50</v>
      </c>
      <c r="C494" s="139">
        <v>40088</v>
      </c>
      <c r="D494" s="140" t="s">
        <v>423</v>
      </c>
      <c r="E494" s="146">
        <v>55</v>
      </c>
      <c r="F494" s="146">
        <v>1</v>
      </c>
      <c r="G494" s="146">
        <v>12</v>
      </c>
      <c r="H494" s="137">
        <v>270</v>
      </c>
      <c r="I494" s="135">
        <v>38</v>
      </c>
      <c r="J494" s="129">
        <f t="shared" si="51"/>
        <v>38</v>
      </c>
      <c r="K494" s="130">
        <f t="shared" si="52"/>
        <v>7.105263157894737</v>
      </c>
      <c r="L494" s="138">
        <v>148384</v>
      </c>
      <c r="M494" s="136">
        <v>18370</v>
      </c>
      <c r="N494" s="133">
        <f t="shared" si="53"/>
        <v>8.07751769188895</v>
      </c>
      <c r="O494" s="109">
        <v>1</v>
      </c>
      <c r="P494" s="334"/>
      <c r="Q494" s="83"/>
      <c r="R494" s="83"/>
      <c r="S494" s="83"/>
      <c r="T494" s="83"/>
    </row>
    <row r="495" spans="1:20" ht="12" customHeight="1">
      <c r="A495" s="290">
        <v>491</v>
      </c>
      <c r="B495" s="123" t="s">
        <v>51</v>
      </c>
      <c r="C495" s="124">
        <v>40088</v>
      </c>
      <c r="D495" s="155" t="s">
        <v>449</v>
      </c>
      <c r="E495" s="126">
        <v>55</v>
      </c>
      <c r="F495" s="126">
        <v>1</v>
      </c>
      <c r="G495" s="126">
        <v>10</v>
      </c>
      <c r="H495" s="162">
        <v>210</v>
      </c>
      <c r="I495" s="165">
        <v>42</v>
      </c>
      <c r="J495" s="129">
        <f t="shared" si="51"/>
        <v>42</v>
      </c>
      <c r="K495" s="130">
        <f t="shared" si="52"/>
        <v>5</v>
      </c>
      <c r="L495" s="164">
        <v>147461</v>
      </c>
      <c r="M495" s="153">
        <v>18201</v>
      </c>
      <c r="N495" s="133">
        <f t="shared" si="53"/>
        <v>8.101807592989395</v>
      </c>
      <c r="O495" s="149">
        <v>1</v>
      </c>
      <c r="P495" s="334"/>
      <c r="Q495" s="83"/>
      <c r="R495" s="83"/>
      <c r="S495" s="83"/>
      <c r="T495" s="83"/>
    </row>
    <row r="496" spans="1:20" ht="12" customHeight="1">
      <c r="A496" s="290">
        <v>492</v>
      </c>
      <c r="B496" s="182" t="s">
        <v>52</v>
      </c>
      <c r="C496" s="139">
        <v>40109</v>
      </c>
      <c r="D496" s="145" t="s">
        <v>326</v>
      </c>
      <c r="E496" s="156">
        <v>179</v>
      </c>
      <c r="F496" s="156">
        <v>1</v>
      </c>
      <c r="G496" s="156">
        <v>13</v>
      </c>
      <c r="H496" s="157">
        <v>2012</v>
      </c>
      <c r="I496" s="158">
        <v>503</v>
      </c>
      <c r="J496" s="129">
        <f t="shared" si="51"/>
        <v>503</v>
      </c>
      <c r="K496" s="130">
        <f t="shared" si="52"/>
        <v>4</v>
      </c>
      <c r="L496" s="154">
        <f>1128559+561773+266735+93447+7005+1818+273+24520+599+3199+564+1563+2012</f>
        <v>2092067</v>
      </c>
      <c r="M496" s="153">
        <f>129422+68620+41591+19064+1291+300+35+6130+81+717+91+274+503</f>
        <v>268119</v>
      </c>
      <c r="N496" s="133">
        <f t="shared" si="53"/>
        <v>7.802755492896811</v>
      </c>
      <c r="O496" s="149">
        <v>1</v>
      </c>
      <c r="P496" s="334"/>
      <c r="Q496" s="83"/>
      <c r="R496" s="83"/>
      <c r="S496" s="83"/>
      <c r="T496" s="83"/>
    </row>
    <row r="497" spans="1:20" ht="12" customHeight="1">
      <c r="A497" s="290">
        <v>493</v>
      </c>
      <c r="B497" s="167" t="s">
        <v>52</v>
      </c>
      <c r="C497" s="168">
        <v>40109</v>
      </c>
      <c r="D497" s="145" t="s">
        <v>326</v>
      </c>
      <c r="E497" s="169">
        <v>179</v>
      </c>
      <c r="F497" s="169">
        <v>1</v>
      </c>
      <c r="G497" s="169">
        <v>12</v>
      </c>
      <c r="H497" s="127">
        <v>1563</v>
      </c>
      <c r="I497" s="135">
        <v>274</v>
      </c>
      <c r="J497" s="129">
        <f t="shared" si="51"/>
        <v>274</v>
      </c>
      <c r="K497" s="130">
        <f t="shared" si="52"/>
        <v>5.704379562043796</v>
      </c>
      <c r="L497" s="131">
        <f>1128559+561773+266735+93447+7005+1818+273+24520+599+3199+564+1563</f>
        <v>2090055</v>
      </c>
      <c r="M497" s="136">
        <f>129422+68620+41591+19064+1291+300+35+6130+81+717+91+274</f>
        <v>267616</v>
      </c>
      <c r="N497" s="133">
        <f t="shared" si="53"/>
        <v>7.809902995336602</v>
      </c>
      <c r="O497" s="108">
        <v>1</v>
      </c>
      <c r="P497" s="334"/>
      <c r="Q497" s="83"/>
      <c r="R497" s="83"/>
      <c r="S497" s="83"/>
      <c r="T497" s="83"/>
    </row>
    <row r="498" spans="1:20" ht="12" customHeight="1">
      <c r="A498" s="290">
        <v>494</v>
      </c>
      <c r="B498" s="151" t="s">
        <v>52</v>
      </c>
      <c r="C498" s="139">
        <v>40109</v>
      </c>
      <c r="D498" s="145" t="s">
        <v>326</v>
      </c>
      <c r="E498" s="146">
        <v>179</v>
      </c>
      <c r="F498" s="146">
        <v>2</v>
      </c>
      <c r="G498" s="146">
        <v>11</v>
      </c>
      <c r="H498" s="127">
        <v>564</v>
      </c>
      <c r="I498" s="128">
        <v>91</v>
      </c>
      <c r="J498" s="129">
        <f t="shared" si="51"/>
        <v>45.5</v>
      </c>
      <c r="K498" s="130">
        <f t="shared" si="52"/>
        <v>6.197802197802198</v>
      </c>
      <c r="L498" s="131">
        <f>1128559+561773+266735+93447+7005+1818+273+24520+599+3199+564</f>
        <v>2088492</v>
      </c>
      <c r="M498" s="132">
        <f>129422+68620+41591+19064+1291+300+35+6130+81+717+91</f>
        <v>267342</v>
      </c>
      <c r="N498" s="133">
        <f t="shared" si="53"/>
        <v>7.8120609556298675</v>
      </c>
      <c r="O498" s="109"/>
      <c r="P498" s="334"/>
      <c r="Q498" s="83"/>
      <c r="R498" s="83"/>
      <c r="S498" s="83"/>
      <c r="T498" s="83"/>
    </row>
    <row r="499" spans="1:20" ht="12" customHeight="1">
      <c r="A499" s="290">
        <v>495</v>
      </c>
      <c r="B499" s="123" t="s">
        <v>143</v>
      </c>
      <c r="C499" s="139">
        <v>37981</v>
      </c>
      <c r="D499" s="145" t="s">
        <v>336</v>
      </c>
      <c r="E499" s="146">
        <v>1</v>
      </c>
      <c r="F499" s="146">
        <v>1</v>
      </c>
      <c r="G499" s="146">
        <v>20</v>
      </c>
      <c r="H499" s="137">
        <v>1264</v>
      </c>
      <c r="I499" s="135">
        <v>316</v>
      </c>
      <c r="J499" s="129">
        <f t="shared" si="51"/>
        <v>316</v>
      </c>
      <c r="K499" s="130">
        <f t="shared" si="52"/>
        <v>4</v>
      </c>
      <c r="L499" s="144">
        <v>1264</v>
      </c>
      <c r="M499" s="143">
        <v>6891</v>
      </c>
      <c r="N499" s="133">
        <f t="shared" si="53"/>
        <v>0.1834276592657089</v>
      </c>
      <c r="O499" s="149"/>
      <c r="P499" s="334"/>
      <c r="Q499" s="83"/>
      <c r="R499" s="83"/>
      <c r="S499" s="83"/>
      <c r="T499" s="83"/>
    </row>
    <row r="500" spans="1:20" ht="12" customHeight="1">
      <c r="A500" s="290">
        <v>496</v>
      </c>
      <c r="B500" s="151" t="s">
        <v>144</v>
      </c>
      <c r="C500" s="139">
        <v>39934</v>
      </c>
      <c r="D500" s="145" t="s">
        <v>353</v>
      </c>
      <c r="E500" s="146">
        <v>125</v>
      </c>
      <c r="F500" s="146">
        <v>1</v>
      </c>
      <c r="G500" s="146">
        <v>11</v>
      </c>
      <c r="H500" s="150">
        <v>1085</v>
      </c>
      <c r="I500" s="152">
        <v>217</v>
      </c>
      <c r="J500" s="129">
        <f t="shared" si="51"/>
        <v>217</v>
      </c>
      <c r="K500" s="130">
        <f t="shared" si="52"/>
        <v>5</v>
      </c>
      <c r="L500" s="154">
        <f>114460.75+42138+22420+8194+3259+329+823+25444.5+546+3853+1085</f>
        <v>222552.25</v>
      </c>
      <c r="M500" s="153">
        <f>15343+6534+4108+1491+680+62+130+4241+100+770+217</f>
        <v>33676</v>
      </c>
      <c r="N500" s="133">
        <f t="shared" si="53"/>
        <v>6.608630775626559</v>
      </c>
      <c r="O500" s="108"/>
      <c r="P500" s="334"/>
      <c r="Q500" s="83"/>
      <c r="R500" s="83"/>
      <c r="S500" s="83"/>
      <c r="T500" s="83"/>
    </row>
    <row r="501" spans="1:20" ht="12" customHeight="1">
      <c r="A501" s="290">
        <v>497</v>
      </c>
      <c r="B501" s="151" t="s">
        <v>145</v>
      </c>
      <c r="C501" s="139">
        <v>39934</v>
      </c>
      <c r="D501" s="145" t="s">
        <v>353</v>
      </c>
      <c r="E501" s="146">
        <v>125</v>
      </c>
      <c r="F501" s="146">
        <v>1</v>
      </c>
      <c r="G501" s="146">
        <v>12</v>
      </c>
      <c r="H501" s="150">
        <v>700</v>
      </c>
      <c r="I501" s="142">
        <v>140</v>
      </c>
      <c r="J501" s="129">
        <f t="shared" si="51"/>
        <v>140</v>
      </c>
      <c r="K501" s="130">
        <f t="shared" si="52"/>
        <v>5</v>
      </c>
      <c r="L501" s="154">
        <f>114460.75+42138+22420+8194+3259+329+823+25444.5+546+3853+1085+700</f>
        <v>223252.25</v>
      </c>
      <c r="M501" s="143">
        <f>15343+6534+4108+1491+680+62+130+4241+100+770+217+140</f>
        <v>33816</v>
      </c>
      <c r="N501" s="133">
        <f t="shared" si="53"/>
        <v>6.601970960492075</v>
      </c>
      <c r="O501" s="108"/>
      <c r="P501" s="334"/>
      <c r="Q501" s="83"/>
      <c r="R501" s="83"/>
      <c r="S501" s="83"/>
      <c r="T501" s="83"/>
    </row>
    <row r="502" spans="1:20" ht="12" customHeight="1">
      <c r="A502" s="290">
        <v>498</v>
      </c>
      <c r="B502" s="123" t="s">
        <v>146</v>
      </c>
      <c r="C502" s="124">
        <v>40123</v>
      </c>
      <c r="D502" s="134" t="s">
        <v>423</v>
      </c>
      <c r="E502" s="126">
        <v>40</v>
      </c>
      <c r="F502" s="126">
        <v>3</v>
      </c>
      <c r="G502" s="126">
        <v>8</v>
      </c>
      <c r="H502" s="162">
        <v>2876</v>
      </c>
      <c r="I502" s="165">
        <v>477</v>
      </c>
      <c r="J502" s="129">
        <f t="shared" si="51"/>
        <v>159</v>
      </c>
      <c r="K502" s="130">
        <f t="shared" si="52"/>
        <v>6.029350104821803</v>
      </c>
      <c r="L502" s="164">
        <v>260364.25</v>
      </c>
      <c r="M502" s="153">
        <v>26330</v>
      </c>
      <c r="N502" s="133">
        <f t="shared" si="53"/>
        <v>9.888501709077099</v>
      </c>
      <c r="O502" s="149"/>
      <c r="P502" s="334"/>
      <c r="Q502" s="83"/>
      <c r="R502" s="83"/>
      <c r="S502" s="83"/>
      <c r="T502" s="83"/>
    </row>
    <row r="503" spans="1:20" ht="12" customHeight="1">
      <c r="A503" s="290">
        <v>499</v>
      </c>
      <c r="B503" s="123" t="s">
        <v>146</v>
      </c>
      <c r="C503" s="139">
        <v>40123</v>
      </c>
      <c r="D503" s="155" t="s">
        <v>423</v>
      </c>
      <c r="E503" s="146">
        <v>40</v>
      </c>
      <c r="F503" s="146">
        <v>2</v>
      </c>
      <c r="G503" s="146">
        <v>14</v>
      </c>
      <c r="H503" s="150">
        <v>2069</v>
      </c>
      <c r="I503" s="152">
        <v>334</v>
      </c>
      <c r="J503" s="129">
        <f t="shared" si="51"/>
        <v>167</v>
      </c>
      <c r="K503" s="130">
        <f t="shared" si="52"/>
        <v>6.1946107784431135</v>
      </c>
      <c r="L503" s="154">
        <v>268817.25</v>
      </c>
      <c r="M503" s="153">
        <v>27789</v>
      </c>
      <c r="N503" s="133">
        <f t="shared" si="53"/>
        <v>9.673512900788081</v>
      </c>
      <c r="O503" s="109">
        <v>1</v>
      </c>
      <c r="P503" s="334"/>
      <c r="Q503" s="83"/>
      <c r="R503" s="83"/>
      <c r="S503" s="83"/>
      <c r="T503" s="83"/>
    </row>
    <row r="504" spans="1:20" ht="12" customHeight="1">
      <c r="A504" s="290">
        <v>500</v>
      </c>
      <c r="B504" s="123" t="s">
        <v>146</v>
      </c>
      <c r="C504" s="139">
        <v>40123</v>
      </c>
      <c r="D504" s="190" t="s">
        <v>423</v>
      </c>
      <c r="E504" s="156">
        <v>40</v>
      </c>
      <c r="F504" s="156">
        <v>2</v>
      </c>
      <c r="G504" s="156">
        <v>19</v>
      </c>
      <c r="H504" s="157">
        <v>1987</v>
      </c>
      <c r="I504" s="184">
        <v>384</v>
      </c>
      <c r="J504" s="129">
        <f t="shared" si="51"/>
        <v>192</v>
      </c>
      <c r="K504" s="130">
        <f t="shared" si="52"/>
        <v>5.174479166666667</v>
      </c>
      <c r="L504" s="144">
        <v>273247.25</v>
      </c>
      <c r="M504" s="143">
        <v>28706</v>
      </c>
      <c r="N504" s="133">
        <f t="shared" si="53"/>
        <v>9.518820107294642</v>
      </c>
      <c r="O504" s="149">
        <v>1</v>
      </c>
      <c r="P504" s="334"/>
      <c r="Q504" s="83"/>
      <c r="R504" s="83"/>
      <c r="S504" s="83"/>
      <c r="T504" s="83"/>
    </row>
    <row r="505" spans="1:20" ht="12" customHeight="1">
      <c r="A505" s="290">
        <v>501</v>
      </c>
      <c r="B505" s="123" t="s">
        <v>146</v>
      </c>
      <c r="C505" s="124">
        <v>40123</v>
      </c>
      <c r="D505" s="155" t="s">
        <v>423</v>
      </c>
      <c r="E505" s="126">
        <v>40</v>
      </c>
      <c r="F505" s="126">
        <v>5</v>
      </c>
      <c r="G505" s="126">
        <v>10</v>
      </c>
      <c r="H505" s="162">
        <v>1905</v>
      </c>
      <c r="I505" s="163">
        <v>315</v>
      </c>
      <c r="J505" s="129">
        <f t="shared" si="51"/>
        <v>63</v>
      </c>
      <c r="K505" s="130">
        <f t="shared" si="52"/>
        <v>6.0476190476190474</v>
      </c>
      <c r="L505" s="164">
        <v>263941.25</v>
      </c>
      <c r="M505" s="143">
        <v>26959</v>
      </c>
      <c r="N505" s="133">
        <f t="shared" si="53"/>
        <v>9.790468860120924</v>
      </c>
      <c r="O505" s="109">
        <v>1</v>
      </c>
      <c r="P505" s="334"/>
      <c r="Q505" s="83"/>
      <c r="R505" s="83"/>
      <c r="S505" s="83"/>
      <c r="T505" s="83"/>
    </row>
    <row r="506" spans="1:20" ht="12" customHeight="1">
      <c r="A506" s="290">
        <v>502</v>
      </c>
      <c r="B506" s="123" t="s">
        <v>146</v>
      </c>
      <c r="C506" s="124">
        <v>40123</v>
      </c>
      <c r="D506" s="155" t="s">
        <v>423</v>
      </c>
      <c r="E506" s="126">
        <v>40</v>
      </c>
      <c r="F506" s="126">
        <v>4</v>
      </c>
      <c r="G506" s="126">
        <v>9</v>
      </c>
      <c r="H506" s="162">
        <v>1672</v>
      </c>
      <c r="I506" s="165">
        <v>314</v>
      </c>
      <c r="J506" s="129">
        <f t="shared" si="51"/>
        <v>78.5</v>
      </c>
      <c r="K506" s="130">
        <f t="shared" si="52"/>
        <v>5.32484076433121</v>
      </c>
      <c r="L506" s="164">
        <v>262036.25</v>
      </c>
      <c r="M506" s="153">
        <v>26644</v>
      </c>
      <c r="N506" s="133">
        <f t="shared" si="53"/>
        <v>9.834718886053146</v>
      </c>
      <c r="O506" s="149">
        <v>1</v>
      </c>
      <c r="P506" s="334"/>
      <c r="Q506" s="83"/>
      <c r="R506" s="83"/>
      <c r="S506" s="83"/>
      <c r="T506" s="83"/>
    </row>
    <row r="507" spans="1:20" ht="12" customHeight="1">
      <c r="A507" s="290">
        <v>503</v>
      </c>
      <c r="B507" s="123" t="s">
        <v>146</v>
      </c>
      <c r="C507" s="139">
        <v>40123</v>
      </c>
      <c r="D507" s="155" t="s">
        <v>423</v>
      </c>
      <c r="E507" s="146">
        <v>40</v>
      </c>
      <c r="F507" s="146">
        <v>2</v>
      </c>
      <c r="G507" s="146">
        <v>13</v>
      </c>
      <c r="H507" s="141">
        <v>1270.5</v>
      </c>
      <c r="I507" s="142">
        <v>209</v>
      </c>
      <c r="J507" s="129">
        <f t="shared" si="51"/>
        <v>104.5</v>
      </c>
      <c r="K507" s="130">
        <f t="shared" si="52"/>
        <v>6.078947368421052</v>
      </c>
      <c r="L507" s="144">
        <v>266748.25</v>
      </c>
      <c r="M507" s="143">
        <v>27455</v>
      </c>
      <c r="N507" s="133">
        <f t="shared" si="53"/>
        <v>9.715835002731742</v>
      </c>
      <c r="O507" s="185">
        <v>1</v>
      </c>
      <c r="P507" s="334"/>
      <c r="Q507" s="83"/>
      <c r="R507" s="83"/>
      <c r="S507" s="83"/>
      <c r="T507" s="83"/>
    </row>
    <row r="508" spans="1:20" ht="12" customHeight="1">
      <c r="A508" s="290">
        <v>504</v>
      </c>
      <c r="B508" s="123" t="s">
        <v>146</v>
      </c>
      <c r="C508" s="139">
        <v>40123</v>
      </c>
      <c r="D508" s="155" t="s">
        <v>423</v>
      </c>
      <c r="E508" s="146">
        <v>40</v>
      </c>
      <c r="F508" s="146">
        <v>1</v>
      </c>
      <c r="G508" s="146">
        <v>15</v>
      </c>
      <c r="H508" s="150">
        <v>1075</v>
      </c>
      <c r="I508" s="152">
        <v>120</v>
      </c>
      <c r="J508" s="129">
        <f t="shared" si="51"/>
        <v>120</v>
      </c>
      <c r="K508" s="130">
        <f t="shared" si="52"/>
        <v>8.958333333333334</v>
      </c>
      <c r="L508" s="154">
        <v>269892.25</v>
      </c>
      <c r="M508" s="153">
        <v>27909</v>
      </c>
      <c r="N508" s="133">
        <f t="shared" si="53"/>
        <v>9.670437851589092</v>
      </c>
      <c r="O508" s="149">
        <v>1</v>
      </c>
      <c r="P508" s="334"/>
      <c r="Q508" s="83"/>
      <c r="R508" s="83"/>
      <c r="S508" s="83"/>
      <c r="T508" s="83"/>
    </row>
    <row r="509" spans="1:20" ht="12" customHeight="1">
      <c r="A509" s="290">
        <v>505</v>
      </c>
      <c r="B509" s="123" t="s">
        <v>146</v>
      </c>
      <c r="C509" s="139">
        <v>40123</v>
      </c>
      <c r="D509" s="140" t="s">
        <v>423</v>
      </c>
      <c r="E509" s="146">
        <v>40</v>
      </c>
      <c r="F509" s="146">
        <v>4</v>
      </c>
      <c r="G509" s="146">
        <v>11</v>
      </c>
      <c r="H509" s="137">
        <v>1018</v>
      </c>
      <c r="I509" s="135">
        <v>176</v>
      </c>
      <c r="J509" s="129">
        <f t="shared" si="51"/>
        <v>44</v>
      </c>
      <c r="K509" s="130">
        <f t="shared" si="52"/>
        <v>5.784090909090909</v>
      </c>
      <c r="L509" s="138">
        <v>264959.25</v>
      </c>
      <c r="M509" s="136">
        <v>27135</v>
      </c>
      <c r="N509" s="133">
        <f t="shared" si="53"/>
        <v>9.764483139856274</v>
      </c>
      <c r="O509" s="181">
        <v>1</v>
      </c>
      <c r="P509" s="334"/>
      <c r="Q509" s="83"/>
      <c r="R509" s="83"/>
      <c r="S509" s="83"/>
      <c r="T509" s="83"/>
    </row>
    <row r="510" spans="1:20" ht="12" customHeight="1">
      <c r="A510" s="290">
        <v>506</v>
      </c>
      <c r="B510" s="123" t="s">
        <v>146</v>
      </c>
      <c r="C510" s="171">
        <v>40123</v>
      </c>
      <c r="D510" s="190" t="s">
        <v>423</v>
      </c>
      <c r="E510" s="156">
        <v>40</v>
      </c>
      <c r="F510" s="156">
        <v>1</v>
      </c>
      <c r="G510" s="156">
        <v>17</v>
      </c>
      <c r="H510" s="157">
        <v>680</v>
      </c>
      <c r="I510" s="158">
        <v>170</v>
      </c>
      <c r="J510" s="129">
        <f t="shared" si="51"/>
        <v>170</v>
      </c>
      <c r="K510" s="130">
        <f t="shared" si="52"/>
        <v>4</v>
      </c>
      <c r="L510" s="154">
        <v>271092.25</v>
      </c>
      <c r="M510" s="153">
        <v>28298</v>
      </c>
      <c r="N510" s="133">
        <f t="shared" si="53"/>
        <v>9.57990847409711</v>
      </c>
      <c r="O510" s="149">
        <v>1</v>
      </c>
      <c r="P510" s="334"/>
      <c r="Q510" s="83"/>
      <c r="R510" s="83"/>
      <c r="S510" s="83"/>
      <c r="T510" s="83"/>
    </row>
    <row r="511" spans="1:20" ht="12" customHeight="1">
      <c r="A511" s="290">
        <v>507</v>
      </c>
      <c r="B511" s="123" t="s">
        <v>146</v>
      </c>
      <c r="C511" s="171">
        <v>40123</v>
      </c>
      <c r="D511" s="155" t="s">
        <v>423</v>
      </c>
      <c r="E511" s="156">
        <v>40</v>
      </c>
      <c r="F511" s="156">
        <v>1</v>
      </c>
      <c r="G511" s="156">
        <v>16</v>
      </c>
      <c r="H511" s="157">
        <v>520</v>
      </c>
      <c r="I511" s="158">
        <v>219</v>
      </c>
      <c r="J511" s="129">
        <f t="shared" si="51"/>
        <v>219</v>
      </c>
      <c r="K511" s="130">
        <f t="shared" si="52"/>
        <v>2.374429223744292</v>
      </c>
      <c r="L511" s="154">
        <v>270412.25</v>
      </c>
      <c r="M511" s="153">
        <v>28128</v>
      </c>
      <c r="N511" s="133">
        <f t="shared" si="53"/>
        <v>9.613632323663253</v>
      </c>
      <c r="O511" s="159">
        <v>1</v>
      </c>
      <c r="P511" s="334"/>
      <c r="Q511" s="83"/>
      <c r="R511" s="83"/>
      <c r="S511" s="83"/>
      <c r="T511" s="83"/>
    </row>
    <row r="512" spans="1:20" ht="12" customHeight="1">
      <c r="A512" s="290">
        <v>508</v>
      </c>
      <c r="B512" s="123" t="s">
        <v>146</v>
      </c>
      <c r="C512" s="139">
        <v>40123</v>
      </c>
      <c r="D512" s="155" t="s">
        <v>423</v>
      </c>
      <c r="E512" s="146">
        <v>40</v>
      </c>
      <c r="F512" s="146">
        <v>3</v>
      </c>
      <c r="G512" s="146">
        <v>12</v>
      </c>
      <c r="H512" s="141">
        <v>518.5</v>
      </c>
      <c r="I512" s="142">
        <v>111</v>
      </c>
      <c r="J512" s="129">
        <f t="shared" si="51"/>
        <v>37</v>
      </c>
      <c r="K512" s="130">
        <f t="shared" si="52"/>
        <v>4.671171171171171</v>
      </c>
      <c r="L512" s="144">
        <v>265477.75</v>
      </c>
      <c r="M512" s="143">
        <v>27246</v>
      </c>
      <c r="N512" s="133">
        <f t="shared" si="53"/>
        <v>9.743733025031197</v>
      </c>
      <c r="O512" s="108">
        <v>1</v>
      </c>
      <c r="P512" s="334"/>
      <c r="Q512" s="83"/>
      <c r="R512" s="83"/>
      <c r="S512" s="83"/>
      <c r="T512" s="83"/>
    </row>
    <row r="513" spans="1:20" ht="12" customHeight="1">
      <c r="A513" s="290">
        <v>509</v>
      </c>
      <c r="B513" s="123" t="s">
        <v>146</v>
      </c>
      <c r="C513" s="139">
        <v>40123</v>
      </c>
      <c r="D513" s="125" t="s">
        <v>449</v>
      </c>
      <c r="E513" s="146">
        <v>40</v>
      </c>
      <c r="F513" s="146">
        <v>1</v>
      </c>
      <c r="G513" s="146">
        <v>20</v>
      </c>
      <c r="H513" s="141">
        <v>186</v>
      </c>
      <c r="I513" s="142">
        <v>31</v>
      </c>
      <c r="J513" s="129">
        <f t="shared" si="51"/>
        <v>31</v>
      </c>
      <c r="K513" s="130">
        <f t="shared" si="52"/>
        <v>6</v>
      </c>
      <c r="L513" s="144">
        <f>273247.25+H513</f>
        <v>273433.25</v>
      </c>
      <c r="M513" s="143">
        <f>28706+I513</f>
        <v>28737</v>
      </c>
      <c r="N513" s="133">
        <f t="shared" si="53"/>
        <v>9.515024184848802</v>
      </c>
      <c r="O513" s="148">
        <v>1</v>
      </c>
      <c r="P513" s="334"/>
      <c r="Q513" s="83"/>
      <c r="R513" s="83"/>
      <c r="S513" s="83"/>
      <c r="T513" s="83"/>
    </row>
    <row r="514" spans="1:20" ht="12" customHeight="1">
      <c r="A514" s="290">
        <v>510</v>
      </c>
      <c r="B514" s="123" t="s">
        <v>146</v>
      </c>
      <c r="C514" s="139">
        <v>40123</v>
      </c>
      <c r="D514" s="190" t="s">
        <v>423</v>
      </c>
      <c r="E514" s="156">
        <v>40</v>
      </c>
      <c r="F514" s="156">
        <v>1</v>
      </c>
      <c r="G514" s="156">
        <v>18</v>
      </c>
      <c r="H514" s="157">
        <v>168</v>
      </c>
      <c r="I514" s="158">
        <v>24</v>
      </c>
      <c r="J514" s="129">
        <f t="shared" si="51"/>
        <v>24</v>
      </c>
      <c r="K514" s="130">
        <f t="shared" si="52"/>
        <v>7</v>
      </c>
      <c r="L514" s="154">
        <v>271260.25</v>
      </c>
      <c r="M514" s="153">
        <v>28322</v>
      </c>
      <c r="N514" s="133">
        <f t="shared" si="53"/>
        <v>9.577722265376739</v>
      </c>
      <c r="O514" s="149">
        <v>1</v>
      </c>
      <c r="P514" s="334"/>
      <c r="Q514" s="83"/>
      <c r="R514" s="83"/>
      <c r="S514" s="83"/>
      <c r="T514" s="83"/>
    </row>
    <row r="515" spans="1:20" ht="12" customHeight="1">
      <c r="A515" s="290">
        <v>511</v>
      </c>
      <c r="B515" s="123" t="s">
        <v>136</v>
      </c>
      <c r="C515" s="139">
        <v>40116</v>
      </c>
      <c r="D515" s="125" t="s">
        <v>337</v>
      </c>
      <c r="E515" s="146">
        <v>252</v>
      </c>
      <c r="F515" s="146">
        <v>1</v>
      </c>
      <c r="G515" s="146">
        <v>14</v>
      </c>
      <c r="H515" s="141">
        <v>313</v>
      </c>
      <c r="I515" s="142">
        <v>34</v>
      </c>
      <c r="J515" s="129">
        <f t="shared" si="51"/>
        <v>34</v>
      </c>
      <c r="K515" s="130">
        <f t="shared" si="52"/>
        <v>9.205882352941176</v>
      </c>
      <c r="L515" s="144">
        <f>1669127.75+948082.25+584112.75-1430.5+253635+167357+9936+0.5+7987+1963+4065+3546+1275+1470+1922+313</f>
        <v>3653361.75</v>
      </c>
      <c r="M515" s="143">
        <f>200044+117374+72700-112+36636+25117+1706+1163+472+1036+675+224+234+384+34</f>
        <v>457687</v>
      </c>
      <c r="N515" s="133">
        <f t="shared" si="53"/>
        <v>7.982227482974173</v>
      </c>
      <c r="O515" s="109">
        <v>1</v>
      </c>
      <c r="P515" s="334"/>
      <c r="Q515" s="83"/>
      <c r="R515" s="83"/>
      <c r="S515" s="83"/>
      <c r="T515" s="83"/>
    </row>
    <row r="516" spans="1:20" ht="12" customHeight="1">
      <c r="A516" s="290">
        <v>512</v>
      </c>
      <c r="B516" s="123" t="s">
        <v>9</v>
      </c>
      <c r="C516" s="139">
        <v>40116</v>
      </c>
      <c r="D516" s="140" t="s">
        <v>353</v>
      </c>
      <c r="E516" s="146">
        <v>252</v>
      </c>
      <c r="F516" s="146">
        <v>3</v>
      </c>
      <c r="G516" s="146">
        <v>10</v>
      </c>
      <c r="H516" s="150">
        <v>3546</v>
      </c>
      <c r="I516" s="152">
        <v>675</v>
      </c>
      <c r="J516" s="129">
        <f t="shared" si="51"/>
        <v>225</v>
      </c>
      <c r="K516" s="130">
        <f t="shared" si="52"/>
        <v>5.253333333333333</v>
      </c>
      <c r="L516" s="154">
        <f>1669127.75+948082.25+584112.75-1430.5+253635+167357+9936+0.5+7987+1963+4065+3546</f>
        <v>3648381.75</v>
      </c>
      <c r="M516" s="153">
        <f>200044+117374+72700-112+36636+25117+1706+1163+472+1036+675</f>
        <v>456811</v>
      </c>
      <c r="N516" s="133">
        <f t="shared" si="53"/>
        <v>7.986632874427279</v>
      </c>
      <c r="O516" s="147">
        <v>1</v>
      </c>
      <c r="P516" s="334"/>
      <c r="Q516" s="83"/>
      <c r="R516" s="83"/>
      <c r="S516" s="83"/>
      <c r="T516" s="83"/>
    </row>
    <row r="517" spans="1:20" ht="12" customHeight="1">
      <c r="A517" s="290">
        <v>513</v>
      </c>
      <c r="B517" s="123" t="s">
        <v>9</v>
      </c>
      <c r="C517" s="124">
        <v>40116</v>
      </c>
      <c r="D517" s="125" t="s">
        <v>337</v>
      </c>
      <c r="E517" s="126">
        <v>252</v>
      </c>
      <c r="F517" s="126">
        <v>1</v>
      </c>
      <c r="G517" s="126">
        <v>13</v>
      </c>
      <c r="H517" s="137">
        <v>1922</v>
      </c>
      <c r="I517" s="135">
        <v>384</v>
      </c>
      <c r="J517" s="129">
        <f t="shared" si="51"/>
        <v>384</v>
      </c>
      <c r="K517" s="130">
        <f t="shared" si="52"/>
        <v>5.005208333333333</v>
      </c>
      <c r="L517" s="138">
        <f>1669127.75+948082.25+584112.75-1430.5+253635+167357+9936+0.5+7987+1963+4065+3546+1275+1470+1922</f>
        <v>3653048.75</v>
      </c>
      <c r="M517" s="136">
        <f>200044+117374+72700-112+36636+25117+1706+1163+472+1036+675+224+234+384</f>
        <v>457653</v>
      </c>
      <c r="N517" s="133">
        <f t="shared" si="53"/>
        <v>7.982136575090735</v>
      </c>
      <c r="O517" s="109">
        <v>1</v>
      </c>
      <c r="P517" s="334"/>
      <c r="Q517" s="83"/>
      <c r="R517" s="83"/>
      <c r="S517" s="83"/>
      <c r="T517" s="83"/>
    </row>
    <row r="518" spans="1:20" ht="12" customHeight="1">
      <c r="A518" s="290">
        <v>514</v>
      </c>
      <c r="B518" s="123" t="s">
        <v>9</v>
      </c>
      <c r="C518" s="139">
        <v>40116</v>
      </c>
      <c r="D518" s="145" t="s">
        <v>353</v>
      </c>
      <c r="E518" s="146">
        <v>252</v>
      </c>
      <c r="F518" s="146">
        <v>3</v>
      </c>
      <c r="G518" s="146">
        <v>12</v>
      </c>
      <c r="H518" s="150">
        <v>1470</v>
      </c>
      <c r="I518" s="142">
        <v>234</v>
      </c>
      <c r="J518" s="129">
        <f t="shared" si="51"/>
        <v>78</v>
      </c>
      <c r="K518" s="130">
        <f t="shared" si="52"/>
        <v>6.282051282051282</v>
      </c>
      <c r="L518" s="154">
        <f>1669127.75+948082.25+584112.75-1430.5+253635+167357+9936+0.5+7987+1963+4065+3546+1275+1470</f>
        <v>3651126.75</v>
      </c>
      <c r="M518" s="143">
        <f>200044+117374+72700-112+36636+25117+1706+1163+472+1036+675+224+234</f>
        <v>457269</v>
      </c>
      <c r="N518" s="133">
        <f t="shared" si="53"/>
        <v>7.984636504989404</v>
      </c>
      <c r="O518" s="149">
        <v>1</v>
      </c>
      <c r="P518" s="334"/>
      <c r="Q518" s="83"/>
      <c r="R518" s="83"/>
      <c r="S518" s="83"/>
      <c r="T518" s="83"/>
    </row>
    <row r="519" spans="1:20" ht="12" customHeight="1">
      <c r="A519" s="290">
        <v>515</v>
      </c>
      <c r="B519" s="123" t="s">
        <v>9</v>
      </c>
      <c r="C519" s="139">
        <v>40116</v>
      </c>
      <c r="D519" s="145" t="s">
        <v>353</v>
      </c>
      <c r="E519" s="146">
        <v>252</v>
      </c>
      <c r="F519" s="146">
        <v>2</v>
      </c>
      <c r="G519" s="146">
        <v>11</v>
      </c>
      <c r="H519" s="150">
        <v>1275</v>
      </c>
      <c r="I519" s="152">
        <v>224</v>
      </c>
      <c r="J519" s="129">
        <f t="shared" si="51"/>
        <v>112</v>
      </c>
      <c r="K519" s="130">
        <f t="shared" si="52"/>
        <v>5.691964285714286</v>
      </c>
      <c r="L519" s="154">
        <f>1669127.75+948082.25+584112.75-1430.5+253635+167357+9936+0.5+7987+1963+4065+3546+1275</f>
        <v>3649656.75</v>
      </c>
      <c r="M519" s="153">
        <f>200044+117374+72700-112+36636+25117+1706+1163+472+1036+675+224</f>
        <v>457035</v>
      </c>
      <c r="N519" s="133">
        <f t="shared" si="53"/>
        <v>7.985508221471004</v>
      </c>
      <c r="O519" s="149">
        <v>1</v>
      </c>
      <c r="P519" s="334"/>
      <c r="Q519" s="83"/>
      <c r="R519" s="83"/>
      <c r="S519" s="83"/>
      <c r="T519" s="83"/>
    </row>
    <row r="520" spans="1:20" ht="12" customHeight="1">
      <c r="A520" s="290">
        <v>516</v>
      </c>
      <c r="B520" s="123" t="s">
        <v>211</v>
      </c>
      <c r="C520" s="139">
        <v>40116</v>
      </c>
      <c r="D520" s="145" t="s">
        <v>449</v>
      </c>
      <c r="E520" s="146">
        <v>88</v>
      </c>
      <c r="F520" s="146">
        <v>1</v>
      </c>
      <c r="G520" s="146">
        <v>16</v>
      </c>
      <c r="H520" s="137">
        <v>2644</v>
      </c>
      <c r="I520" s="135">
        <v>513</v>
      </c>
      <c r="J520" s="129">
        <f t="shared" si="51"/>
        <v>513</v>
      </c>
      <c r="K520" s="130">
        <f t="shared" si="52"/>
        <v>5.153996101364522</v>
      </c>
      <c r="L520" s="144">
        <f>280880+H520</f>
        <v>283524</v>
      </c>
      <c r="M520" s="143">
        <f>37804+I520</f>
        <v>38317</v>
      </c>
      <c r="N520" s="133">
        <f t="shared" si="53"/>
        <v>7.399431061930736</v>
      </c>
      <c r="O520" s="147">
        <v>1</v>
      </c>
      <c r="P520" s="334"/>
      <c r="Q520" s="83"/>
      <c r="R520" s="83"/>
      <c r="S520" s="83"/>
      <c r="T520" s="83"/>
    </row>
    <row r="521" spans="1:20" ht="12" customHeight="1">
      <c r="A521" s="290">
        <v>517</v>
      </c>
      <c r="B521" s="123" t="s">
        <v>211</v>
      </c>
      <c r="C521" s="139">
        <v>40116</v>
      </c>
      <c r="D521" s="140" t="s">
        <v>423</v>
      </c>
      <c r="E521" s="146">
        <v>88</v>
      </c>
      <c r="F521" s="146">
        <v>2</v>
      </c>
      <c r="G521" s="146">
        <v>12</v>
      </c>
      <c r="H521" s="137">
        <v>1492</v>
      </c>
      <c r="I521" s="135">
        <v>303</v>
      </c>
      <c r="J521" s="129">
        <f t="shared" si="51"/>
        <v>151.5</v>
      </c>
      <c r="K521" s="130">
        <f t="shared" si="52"/>
        <v>4.924092409240924</v>
      </c>
      <c r="L521" s="138">
        <v>279977</v>
      </c>
      <c r="M521" s="136">
        <v>37673</v>
      </c>
      <c r="N521" s="133">
        <f t="shared" si="53"/>
        <v>7.43176810978685</v>
      </c>
      <c r="O521" s="159">
        <v>1</v>
      </c>
      <c r="P521" s="334"/>
      <c r="Q521" s="83"/>
      <c r="R521" s="83"/>
      <c r="S521" s="83"/>
      <c r="T521" s="83"/>
    </row>
    <row r="522" spans="1:20" ht="12" customHeight="1">
      <c r="A522" s="290">
        <v>518</v>
      </c>
      <c r="B522" s="123" t="s">
        <v>211</v>
      </c>
      <c r="C522" s="124">
        <v>40116</v>
      </c>
      <c r="D522" s="155" t="s">
        <v>423</v>
      </c>
      <c r="E522" s="126">
        <v>88</v>
      </c>
      <c r="F522" s="126">
        <v>3</v>
      </c>
      <c r="G522" s="126">
        <v>10</v>
      </c>
      <c r="H522" s="162">
        <v>720</v>
      </c>
      <c r="I522" s="165">
        <v>126</v>
      </c>
      <c r="J522" s="129">
        <f t="shared" si="51"/>
        <v>42</v>
      </c>
      <c r="K522" s="130">
        <f t="shared" si="52"/>
        <v>5.714285714285714</v>
      </c>
      <c r="L522" s="164">
        <v>277792</v>
      </c>
      <c r="M522" s="153">
        <v>37243</v>
      </c>
      <c r="N522" s="133">
        <f t="shared" si="53"/>
        <v>7.458905029132992</v>
      </c>
      <c r="O522" s="354">
        <v>1</v>
      </c>
      <c r="P522" s="334"/>
      <c r="Q522" s="83"/>
      <c r="R522" s="83"/>
      <c r="S522" s="83"/>
      <c r="T522" s="83"/>
    </row>
    <row r="523" spans="1:20" ht="12" customHeight="1">
      <c r="A523" s="290">
        <v>519</v>
      </c>
      <c r="B523" s="123" t="s">
        <v>211</v>
      </c>
      <c r="C523" s="124">
        <v>40116</v>
      </c>
      <c r="D523" s="155" t="s">
        <v>423</v>
      </c>
      <c r="E523" s="126">
        <v>88</v>
      </c>
      <c r="F523" s="126">
        <v>1</v>
      </c>
      <c r="G523" s="126">
        <v>11</v>
      </c>
      <c r="H523" s="162">
        <v>693</v>
      </c>
      <c r="I523" s="163">
        <v>127</v>
      </c>
      <c r="J523" s="129">
        <f t="shared" si="51"/>
        <v>127</v>
      </c>
      <c r="K523" s="130">
        <f t="shared" si="52"/>
        <v>5.456692913385827</v>
      </c>
      <c r="L523" s="164">
        <v>278485</v>
      </c>
      <c r="M523" s="143">
        <v>37370</v>
      </c>
      <c r="N523" s="133">
        <f t="shared" si="53"/>
        <v>7.452100615466952</v>
      </c>
      <c r="O523" s="148">
        <v>1</v>
      </c>
      <c r="P523" s="334"/>
      <c r="Q523" s="83"/>
      <c r="R523" s="83"/>
      <c r="S523" s="83"/>
      <c r="T523" s="83"/>
    </row>
    <row r="524" spans="1:20" ht="12" customHeight="1">
      <c r="A524" s="290">
        <v>520</v>
      </c>
      <c r="B524" s="123" t="s">
        <v>211</v>
      </c>
      <c r="C524" s="139">
        <v>40116</v>
      </c>
      <c r="D524" s="155" t="s">
        <v>423</v>
      </c>
      <c r="E524" s="146">
        <v>88</v>
      </c>
      <c r="F524" s="146">
        <v>1</v>
      </c>
      <c r="G524" s="146">
        <v>13</v>
      </c>
      <c r="H524" s="141">
        <v>370</v>
      </c>
      <c r="I524" s="142">
        <v>56</v>
      </c>
      <c r="J524" s="129">
        <f t="shared" si="51"/>
        <v>56</v>
      </c>
      <c r="K524" s="130">
        <f t="shared" si="52"/>
        <v>6.607142857142857</v>
      </c>
      <c r="L524" s="144">
        <v>280347</v>
      </c>
      <c r="M524" s="143">
        <v>37729</v>
      </c>
      <c r="N524" s="133">
        <f t="shared" si="53"/>
        <v>7.430544143762093</v>
      </c>
      <c r="O524" s="110">
        <v>1</v>
      </c>
      <c r="P524" s="334"/>
      <c r="Q524" s="83"/>
      <c r="R524" s="83"/>
      <c r="S524" s="83"/>
      <c r="T524" s="83"/>
    </row>
    <row r="525" spans="1:20" ht="12" customHeight="1">
      <c r="A525" s="290">
        <v>521</v>
      </c>
      <c r="B525" s="123" t="s">
        <v>211</v>
      </c>
      <c r="C525" s="139">
        <v>40116</v>
      </c>
      <c r="D525" s="145" t="s">
        <v>449</v>
      </c>
      <c r="E525" s="146">
        <v>88</v>
      </c>
      <c r="F525" s="146">
        <v>1</v>
      </c>
      <c r="G525" s="146">
        <v>15</v>
      </c>
      <c r="H525" s="137">
        <v>305</v>
      </c>
      <c r="I525" s="135">
        <v>43</v>
      </c>
      <c r="J525" s="129">
        <f t="shared" si="51"/>
        <v>43</v>
      </c>
      <c r="K525" s="130">
        <f t="shared" si="52"/>
        <v>7.093023255813954</v>
      </c>
      <c r="L525" s="144">
        <f>280575+H525</f>
        <v>280880</v>
      </c>
      <c r="M525" s="143">
        <f>37761+I525</f>
        <v>37804</v>
      </c>
      <c r="N525" s="133">
        <f t="shared" si="53"/>
        <v>7.429901597714528</v>
      </c>
      <c r="O525" s="148">
        <v>1</v>
      </c>
      <c r="P525" s="334"/>
      <c r="Q525" s="83"/>
      <c r="R525" s="83"/>
      <c r="S525" s="83"/>
      <c r="T525" s="83"/>
    </row>
    <row r="526" spans="1:20" ht="12" customHeight="1">
      <c r="A526" s="290">
        <v>522</v>
      </c>
      <c r="B526" s="123" t="s">
        <v>211</v>
      </c>
      <c r="C526" s="139">
        <v>40116</v>
      </c>
      <c r="D526" s="125" t="s">
        <v>449</v>
      </c>
      <c r="E526" s="146">
        <v>88</v>
      </c>
      <c r="F526" s="146">
        <v>1</v>
      </c>
      <c r="G526" s="146">
        <v>14</v>
      </c>
      <c r="H526" s="141">
        <v>228</v>
      </c>
      <c r="I526" s="142">
        <v>32</v>
      </c>
      <c r="J526" s="129">
        <f t="shared" si="51"/>
        <v>32</v>
      </c>
      <c r="K526" s="130">
        <f t="shared" si="52"/>
        <v>7.125</v>
      </c>
      <c r="L526" s="144">
        <f>280347+H526</f>
        <v>280575</v>
      </c>
      <c r="M526" s="143">
        <f>37729+I526</f>
        <v>37761</v>
      </c>
      <c r="N526" s="133">
        <f t="shared" si="53"/>
        <v>7.430285214904266</v>
      </c>
      <c r="O526" s="147">
        <v>1</v>
      </c>
      <c r="P526" s="334"/>
      <c r="Q526" s="83"/>
      <c r="R526" s="83"/>
      <c r="S526" s="83"/>
      <c r="T526" s="83"/>
    </row>
    <row r="527" spans="1:20" ht="12" customHeight="1">
      <c r="A527" s="290">
        <v>523</v>
      </c>
      <c r="B527" s="151" t="s">
        <v>432</v>
      </c>
      <c r="C527" s="139">
        <v>39633</v>
      </c>
      <c r="D527" s="194" t="s">
        <v>324</v>
      </c>
      <c r="E527" s="146">
        <v>123</v>
      </c>
      <c r="F527" s="146">
        <v>1</v>
      </c>
      <c r="G527" s="146">
        <v>86</v>
      </c>
      <c r="H527" s="150">
        <v>609</v>
      </c>
      <c r="I527" s="152">
        <v>280</v>
      </c>
      <c r="J527" s="129">
        <f t="shared" si="51"/>
        <v>280</v>
      </c>
      <c r="K527" s="130">
        <f t="shared" si="52"/>
        <v>2.175</v>
      </c>
      <c r="L527" s="154">
        <v>1546352</v>
      </c>
      <c r="M527" s="153">
        <v>214872</v>
      </c>
      <c r="N527" s="133">
        <f t="shared" si="53"/>
        <v>7.19661938270226</v>
      </c>
      <c r="O527" s="108">
        <v>1</v>
      </c>
      <c r="P527" s="334"/>
      <c r="Q527" s="83"/>
      <c r="R527" s="83"/>
      <c r="S527" s="83"/>
      <c r="T527" s="83"/>
    </row>
    <row r="528" spans="1:20" ht="12" customHeight="1">
      <c r="A528" s="290">
        <v>524</v>
      </c>
      <c r="B528" s="151" t="s">
        <v>212</v>
      </c>
      <c r="C528" s="139">
        <v>40137</v>
      </c>
      <c r="D528" s="140" t="s">
        <v>353</v>
      </c>
      <c r="E528" s="146">
        <v>311</v>
      </c>
      <c r="F528" s="146">
        <v>3</v>
      </c>
      <c r="G528" s="146">
        <v>7</v>
      </c>
      <c r="H528" s="150">
        <v>39718</v>
      </c>
      <c r="I528" s="152">
        <v>6551</v>
      </c>
      <c r="J528" s="129">
        <f t="shared" si="51"/>
        <v>2183.6666666666665</v>
      </c>
      <c r="K528" s="130">
        <f t="shared" si="52"/>
        <v>6.06289116165471</v>
      </c>
      <c r="L528" s="154">
        <f>3304754.25+2499078+631694+23+231806.5+262+75092+83827.5+39718+180</f>
        <v>6866435.25</v>
      </c>
      <c r="M528" s="153">
        <f>413699+312050+80320+31253+42+12537-15+13061+6551+45</f>
        <v>869543</v>
      </c>
      <c r="N528" s="133">
        <f t="shared" si="53"/>
        <v>7.896602295688655</v>
      </c>
      <c r="O528" s="109">
        <v>1</v>
      </c>
      <c r="P528" s="334"/>
      <c r="Q528" s="83"/>
      <c r="R528" s="83"/>
      <c r="S528" s="83"/>
      <c r="T528" s="83"/>
    </row>
    <row r="529" spans="1:20" ht="12" customHeight="1">
      <c r="A529" s="290">
        <v>525</v>
      </c>
      <c r="B529" s="151" t="s">
        <v>212</v>
      </c>
      <c r="C529" s="171">
        <v>40137</v>
      </c>
      <c r="D529" s="190" t="s">
        <v>353</v>
      </c>
      <c r="E529" s="156">
        <v>311</v>
      </c>
      <c r="F529" s="156">
        <v>1</v>
      </c>
      <c r="G529" s="156">
        <v>10</v>
      </c>
      <c r="H529" s="157">
        <v>18992</v>
      </c>
      <c r="I529" s="158">
        <v>2713</v>
      </c>
      <c r="J529" s="129">
        <f t="shared" si="51"/>
        <v>2713</v>
      </c>
      <c r="K529" s="130">
        <f t="shared" si="52"/>
        <v>7.0003685956505715</v>
      </c>
      <c r="L529" s="154">
        <f>3304754.25+2499078+631694+23+231806.5+262+75092+83827.5+39718+180+150+8500+0.5+18992</f>
        <v>6894077.75</v>
      </c>
      <c r="M529" s="153">
        <f>413699+312050+80320+31253+42+12537-15+13061+6551+45+15+1409+2713</f>
        <v>873680</v>
      </c>
      <c r="N529" s="133">
        <f t="shared" si="53"/>
        <v>7.890849910722461</v>
      </c>
      <c r="O529" s="159">
        <v>1</v>
      </c>
      <c r="P529" s="334"/>
      <c r="Q529" s="83"/>
      <c r="R529" s="83"/>
      <c r="S529" s="83"/>
      <c r="T529" s="83"/>
    </row>
    <row r="530" spans="1:20" ht="12" customHeight="1">
      <c r="A530" s="290">
        <v>526</v>
      </c>
      <c r="B530" s="151" t="s">
        <v>212</v>
      </c>
      <c r="C530" s="139">
        <v>40137</v>
      </c>
      <c r="D530" s="145" t="s">
        <v>337</v>
      </c>
      <c r="E530" s="146">
        <v>311</v>
      </c>
      <c r="F530" s="146">
        <v>1</v>
      </c>
      <c r="G530" s="146">
        <v>12</v>
      </c>
      <c r="H530" s="137">
        <v>16473</v>
      </c>
      <c r="I530" s="135">
        <v>2791</v>
      </c>
      <c r="J530" s="129">
        <f t="shared" si="51"/>
        <v>2791</v>
      </c>
      <c r="K530" s="130">
        <f t="shared" si="52"/>
        <v>5.902185596560373</v>
      </c>
      <c r="L530" s="144">
        <f>3304754.25+2499078+631694+23+231806.5+262+75092+83827.5+39718+180+150+8500+0.5+18992+2032+16743</f>
        <v>6912852.75</v>
      </c>
      <c r="M530" s="143">
        <f>413699+312050+80320+31253+42+12537-15+13061+6551+45+15+1409+2713+339+2791</f>
        <v>876810</v>
      </c>
      <c r="N530" s="133">
        <f t="shared" si="53"/>
        <v>7.884094330584733</v>
      </c>
      <c r="O530" s="147">
        <v>1</v>
      </c>
      <c r="P530" s="334"/>
      <c r="Q530" s="83"/>
      <c r="R530" s="83"/>
      <c r="S530" s="83"/>
      <c r="T530" s="83"/>
    </row>
    <row r="531" spans="1:20" ht="12" customHeight="1">
      <c r="A531" s="290">
        <v>527</v>
      </c>
      <c r="B531" s="151" t="s">
        <v>212</v>
      </c>
      <c r="C531" s="139">
        <v>40137</v>
      </c>
      <c r="D531" s="145" t="s">
        <v>353</v>
      </c>
      <c r="E531" s="146">
        <v>311</v>
      </c>
      <c r="F531" s="146">
        <v>2</v>
      </c>
      <c r="G531" s="146">
        <v>9</v>
      </c>
      <c r="H531" s="150">
        <v>8500.5</v>
      </c>
      <c r="I531" s="142">
        <v>1409</v>
      </c>
      <c r="J531" s="129">
        <f t="shared" si="51"/>
        <v>704.5</v>
      </c>
      <c r="K531" s="130">
        <f t="shared" si="52"/>
        <v>6.033002129169624</v>
      </c>
      <c r="L531" s="154">
        <f>3304754.25+2499078+631694+23+231806.5+262+75092+83827.5+39718+180+150+8500+0.5</f>
        <v>6875085.75</v>
      </c>
      <c r="M531" s="143">
        <f>413699+312050+80320+31253+42+12537-15+13061+6551+45+15+1409</f>
        <v>870967</v>
      </c>
      <c r="N531" s="133">
        <f t="shared" si="53"/>
        <v>7.893623696420186</v>
      </c>
      <c r="O531" s="149">
        <v>1</v>
      </c>
      <c r="P531" s="334"/>
      <c r="Q531" s="83"/>
      <c r="R531" s="83"/>
      <c r="S531" s="83"/>
      <c r="T531" s="83"/>
    </row>
    <row r="532" spans="1:20" ht="12" customHeight="1">
      <c r="A532" s="290">
        <v>528</v>
      </c>
      <c r="B532" s="151" t="s">
        <v>212</v>
      </c>
      <c r="C532" s="139">
        <v>40137</v>
      </c>
      <c r="D532" s="125" t="s">
        <v>337</v>
      </c>
      <c r="E532" s="146">
        <v>311</v>
      </c>
      <c r="F532" s="146">
        <v>1</v>
      </c>
      <c r="G532" s="146">
        <v>11</v>
      </c>
      <c r="H532" s="150">
        <v>2032</v>
      </c>
      <c r="I532" s="152">
        <v>339</v>
      </c>
      <c r="J532" s="129">
        <f t="shared" si="51"/>
        <v>339</v>
      </c>
      <c r="K532" s="130">
        <f t="shared" si="52"/>
        <v>5.994100294985251</v>
      </c>
      <c r="L532" s="154">
        <f>3304754.25+2499078+631694+23+231806.5+262+75092+83827.5+39718+180+150+8500+0.5+18992+2032</f>
        <v>6896109.75</v>
      </c>
      <c r="M532" s="153">
        <f>413699+312050+80320+31253+42+12537-15+13061+6551+45+15+1409+2713+339</f>
        <v>874019</v>
      </c>
      <c r="N532" s="133">
        <f t="shared" si="53"/>
        <v>7.89011423092633</v>
      </c>
      <c r="O532" s="149">
        <v>1</v>
      </c>
      <c r="P532" s="334"/>
      <c r="Q532" s="83"/>
      <c r="R532" s="83"/>
      <c r="S532" s="83"/>
      <c r="T532" s="83"/>
    </row>
    <row r="533" spans="1:20" ht="12" customHeight="1">
      <c r="A533" s="290">
        <v>529</v>
      </c>
      <c r="B533" s="151" t="s">
        <v>212</v>
      </c>
      <c r="C533" s="139">
        <v>40137</v>
      </c>
      <c r="D533" s="145" t="s">
        <v>353</v>
      </c>
      <c r="E533" s="146">
        <v>311</v>
      </c>
      <c r="F533" s="146">
        <v>1</v>
      </c>
      <c r="G533" s="146">
        <v>8</v>
      </c>
      <c r="H533" s="150">
        <v>150</v>
      </c>
      <c r="I533" s="152">
        <v>15</v>
      </c>
      <c r="J533" s="129">
        <f t="shared" si="51"/>
        <v>15</v>
      </c>
      <c r="K533" s="130">
        <f t="shared" si="52"/>
        <v>10</v>
      </c>
      <c r="L533" s="154">
        <f>3304754.25+2499078+631694+23+231806.5+262+75092+83827.5+39718+180+150</f>
        <v>6866585.25</v>
      </c>
      <c r="M533" s="153">
        <f>413699+312050+80320+31253+42+12537-15+13061+6551+45+15</f>
        <v>869558</v>
      </c>
      <c r="N533" s="133">
        <f t="shared" si="53"/>
        <v>7.896638579600211</v>
      </c>
      <c r="O533" s="109">
        <v>1</v>
      </c>
      <c r="P533" s="334"/>
      <c r="Q533" s="83"/>
      <c r="R533" s="83"/>
      <c r="S533" s="83"/>
      <c r="T533" s="83"/>
    </row>
    <row r="534" spans="1:20" ht="12" customHeight="1">
      <c r="A534" s="290">
        <v>530</v>
      </c>
      <c r="B534" s="123" t="s">
        <v>346</v>
      </c>
      <c r="C534" s="124">
        <v>40067</v>
      </c>
      <c r="D534" s="155" t="s">
        <v>423</v>
      </c>
      <c r="E534" s="126">
        <v>105</v>
      </c>
      <c r="F534" s="126">
        <v>10</v>
      </c>
      <c r="G534" s="126">
        <v>19</v>
      </c>
      <c r="H534" s="162">
        <v>7181.5</v>
      </c>
      <c r="I534" s="163">
        <v>1825</v>
      </c>
      <c r="J534" s="129">
        <f t="shared" si="51"/>
        <v>182.5</v>
      </c>
      <c r="K534" s="130">
        <f t="shared" si="52"/>
        <v>3.935068493150685</v>
      </c>
      <c r="L534" s="164">
        <v>621501</v>
      </c>
      <c r="M534" s="143">
        <v>73921</v>
      </c>
      <c r="N534" s="133">
        <f t="shared" si="53"/>
        <v>8.407637883686638</v>
      </c>
      <c r="O534" s="149">
        <v>1</v>
      </c>
      <c r="P534" s="334"/>
      <c r="Q534" s="83"/>
      <c r="R534" s="83"/>
      <c r="S534" s="83"/>
      <c r="T534" s="83"/>
    </row>
    <row r="535" spans="1:20" ht="12" customHeight="1">
      <c r="A535" s="290">
        <v>531</v>
      </c>
      <c r="B535" s="123" t="s">
        <v>346</v>
      </c>
      <c r="C535" s="124">
        <v>40067</v>
      </c>
      <c r="D535" s="155" t="s">
        <v>423</v>
      </c>
      <c r="E535" s="126">
        <v>105</v>
      </c>
      <c r="F535" s="126">
        <v>9</v>
      </c>
      <c r="G535" s="126">
        <v>18</v>
      </c>
      <c r="H535" s="162">
        <v>4342.75</v>
      </c>
      <c r="I535" s="165">
        <v>845</v>
      </c>
      <c r="J535" s="129">
        <f t="shared" si="51"/>
        <v>93.88888888888889</v>
      </c>
      <c r="K535" s="130">
        <f t="shared" si="52"/>
        <v>5.139349112426036</v>
      </c>
      <c r="L535" s="164">
        <v>614319.5</v>
      </c>
      <c r="M535" s="153">
        <v>72096</v>
      </c>
      <c r="N535" s="133">
        <f t="shared" si="53"/>
        <v>8.520854138925877</v>
      </c>
      <c r="O535" s="149">
        <v>1</v>
      </c>
      <c r="P535" s="334"/>
      <c r="Q535" s="83"/>
      <c r="R535" s="83"/>
      <c r="S535" s="83"/>
      <c r="T535" s="83"/>
    </row>
    <row r="536" spans="1:20" ht="12" customHeight="1">
      <c r="A536" s="290">
        <v>532</v>
      </c>
      <c r="B536" s="182" t="s">
        <v>346</v>
      </c>
      <c r="C536" s="171">
        <v>40067</v>
      </c>
      <c r="D536" s="190" t="s">
        <v>423</v>
      </c>
      <c r="E536" s="156">
        <v>105</v>
      </c>
      <c r="F536" s="156">
        <v>1</v>
      </c>
      <c r="G536" s="156">
        <v>25</v>
      </c>
      <c r="H536" s="157">
        <v>3920</v>
      </c>
      <c r="I536" s="158">
        <v>784</v>
      </c>
      <c r="J536" s="129">
        <f t="shared" si="51"/>
        <v>784</v>
      </c>
      <c r="K536" s="130">
        <f t="shared" si="52"/>
        <v>5</v>
      </c>
      <c r="L536" s="154">
        <v>633839.5</v>
      </c>
      <c r="M536" s="153">
        <v>76456</v>
      </c>
      <c r="N536" s="133">
        <f t="shared" si="53"/>
        <v>8.290251909595062</v>
      </c>
      <c r="O536" s="149"/>
      <c r="P536" s="334"/>
      <c r="Q536" s="83"/>
      <c r="R536" s="83"/>
      <c r="S536" s="83"/>
      <c r="T536" s="83"/>
    </row>
    <row r="537" spans="1:20" ht="12" customHeight="1">
      <c r="A537" s="290">
        <v>533</v>
      </c>
      <c r="B537" s="448" t="s">
        <v>346</v>
      </c>
      <c r="C537" s="431">
        <v>40067</v>
      </c>
      <c r="D537" s="579" t="s">
        <v>449</v>
      </c>
      <c r="E537" s="580">
        <v>105</v>
      </c>
      <c r="F537" s="580">
        <v>1</v>
      </c>
      <c r="G537" s="580">
        <v>47</v>
      </c>
      <c r="H537" s="433">
        <v>3564</v>
      </c>
      <c r="I537" s="434">
        <v>713</v>
      </c>
      <c r="J537" s="435">
        <f>IF(H537&lt;&gt;0,I537/F537,"")</f>
        <v>713</v>
      </c>
      <c r="K537" s="436">
        <f>IF(H537&lt;&gt;0,H537/I537,"")</f>
        <v>4.998597475455821</v>
      </c>
      <c r="L537" s="437">
        <f>649040.5+391+1223+705+141+3564</f>
        <v>655064.5</v>
      </c>
      <c r="M537" s="438">
        <f>79080+64+202+109+20+713</f>
        <v>80188</v>
      </c>
      <c r="N537" s="450">
        <f>IF(L537&lt;&gt;0,L537/M537,"")</f>
        <v>8.169108844216092</v>
      </c>
      <c r="O537" s="108"/>
      <c r="P537" s="561"/>
      <c r="Q537" s="83"/>
      <c r="R537" s="83"/>
      <c r="S537" s="83"/>
      <c r="T537" s="83"/>
    </row>
    <row r="538" spans="1:20" ht="12" customHeight="1">
      <c r="A538" s="290">
        <v>534</v>
      </c>
      <c r="B538" s="151" t="s">
        <v>346</v>
      </c>
      <c r="C538" s="139">
        <v>40067</v>
      </c>
      <c r="D538" s="155" t="s">
        <v>423</v>
      </c>
      <c r="E538" s="146">
        <v>105</v>
      </c>
      <c r="F538" s="146">
        <v>8</v>
      </c>
      <c r="G538" s="146">
        <v>21</v>
      </c>
      <c r="H538" s="141">
        <v>2959.5</v>
      </c>
      <c r="I538" s="142">
        <v>645</v>
      </c>
      <c r="J538" s="129">
        <f aca="true" t="shared" si="54" ref="J538:J569">I538/F538</f>
        <v>80.625</v>
      </c>
      <c r="K538" s="130">
        <f aca="true" t="shared" si="55" ref="K538:K601">H538/I538</f>
        <v>4.588372093023255</v>
      </c>
      <c r="L538" s="144">
        <v>626489.5</v>
      </c>
      <c r="M538" s="143">
        <v>74984</v>
      </c>
      <c r="N538" s="133">
        <f aca="true" t="shared" si="56" ref="N538:N569">+L538/M538</f>
        <v>8.35497572815534</v>
      </c>
      <c r="O538" s="148"/>
      <c r="P538" s="334"/>
      <c r="Q538" s="83"/>
      <c r="R538" s="83"/>
      <c r="S538" s="83"/>
      <c r="T538" s="83"/>
    </row>
    <row r="539" spans="1:20" ht="12" customHeight="1">
      <c r="A539" s="290">
        <v>535</v>
      </c>
      <c r="B539" s="123" t="s">
        <v>346</v>
      </c>
      <c r="C539" s="139">
        <v>40067</v>
      </c>
      <c r="D539" s="145" t="s">
        <v>423</v>
      </c>
      <c r="E539" s="146">
        <v>105</v>
      </c>
      <c r="F539" s="146">
        <v>3</v>
      </c>
      <c r="G539" s="146">
        <v>31</v>
      </c>
      <c r="H539" s="150">
        <v>2819</v>
      </c>
      <c r="I539" s="142">
        <v>459</v>
      </c>
      <c r="J539" s="129">
        <f t="shared" si="54"/>
        <v>153</v>
      </c>
      <c r="K539" s="130">
        <f t="shared" si="55"/>
        <v>6.14161220043573</v>
      </c>
      <c r="L539" s="144">
        <v>640522.5</v>
      </c>
      <c r="M539" s="143">
        <v>77763</v>
      </c>
      <c r="N539" s="133">
        <f t="shared" si="56"/>
        <v>8.236854288029011</v>
      </c>
      <c r="O539" s="148"/>
      <c r="P539" s="334"/>
      <c r="Q539" s="83"/>
      <c r="R539" s="83"/>
      <c r="S539" s="83"/>
      <c r="T539" s="83"/>
    </row>
    <row r="540" spans="1:20" ht="12" customHeight="1">
      <c r="A540" s="290">
        <v>536</v>
      </c>
      <c r="B540" s="123" t="s">
        <v>346</v>
      </c>
      <c r="C540" s="124">
        <v>40067</v>
      </c>
      <c r="D540" s="155" t="s">
        <v>449</v>
      </c>
      <c r="E540" s="126">
        <v>105</v>
      </c>
      <c r="F540" s="126">
        <v>1</v>
      </c>
      <c r="G540" s="126">
        <v>34</v>
      </c>
      <c r="H540" s="192">
        <v>2140</v>
      </c>
      <c r="I540" s="163">
        <v>428</v>
      </c>
      <c r="J540" s="129">
        <f t="shared" si="54"/>
        <v>428</v>
      </c>
      <c r="K540" s="130">
        <f t="shared" si="55"/>
        <v>5</v>
      </c>
      <c r="L540" s="193">
        <v>646348.5</v>
      </c>
      <c r="M540" s="143">
        <v>78607</v>
      </c>
      <c r="N540" s="133">
        <f t="shared" si="56"/>
        <v>8.222531072296361</v>
      </c>
      <c r="O540" s="148"/>
      <c r="P540" s="334"/>
      <c r="Q540" s="83"/>
      <c r="R540" s="83"/>
      <c r="S540" s="83"/>
      <c r="T540" s="83"/>
    </row>
    <row r="541" spans="1:20" ht="12" customHeight="1">
      <c r="A541" s="290">
        <v>537</v>
      </c>
      <c r="B541" s="151" t="s">
        <v>346</v>
      </c>
      <c r="C541" s="139">
        <v>40067</v>
      </c>
      <c r="D541" s="140" t="s">
        <v>423</v>
      </c>
      <c r="E541" s="146">
        <v>105</v>
      </c>
      <c r="F541" s="146">
        <v>8</v>
      </c>
      <c r="G541" s="146">
        <v>20</v>
      </c>
      <c r="H541" s="137">
        <v>2029</v>
      </c>
      <c r="I541" s="135">
        <v>418</v>
      </c>
      <c r="J541" s="129">
        <f t="shared" si="54"/>
        <v>52.25</v>
      </c>
      <c r="K541" s="130">
        <f t="shared" si="55"/>
        <v>4.854066985645933</v>
      </c>
      <c r="L541" s="138">
        <v>623530</v>
      </c>
      <c r="M541" s="136">
        <v>74339</v>
      </c>
      <c r="N541" s="133">
        <f t="shared" si="56"/>
        <v>8.387656546361937</v>
      </c>
      <c r="O541" s="149">
        <v>1</v>
      </c>
      <c r="P541" s="334"/>
      <c r="Q541" s="83"/>
      <c r="R541" s="83"/>
      <c r="S541" s="83"/>
      <c r="T541" s="83"/>
    </row>
    <row r="542" spans="1:20" ht="12" customHeight="1">
      <c r="A542" s="290">
        <v>538</v>
      </c>
      <c r="B542" s="123" t="s">
        <v>346</v>
      </c>
      <c r="C542" s="139">
        <v>40067</v>
      </c>
      <c r="D542" s="145" t="s">
        <v>423</v>
      </c>
      <c r="E542" s="146">
        <v>105</v>
      </c>
      <c r="F542" s="146">
        <v>3</v>
      </c>
      <c r="G542" s="146">
        <v>32</v>
      </c>
      <c r="H542" s="137">
        <v>1904</v>
      </c>
      <c r="I542" s="135">
        <v>238</v>
      </c>
      <c r="J542" s="129">
        <f t="shared" si="54"/>
        <v>79.33333333333333</v>
      </c>
      <c r="K542" s="130">
        <f t="shared" si="55"/>
        <v>8</v>
      </c>
      <c r="L542" s="144">
        <f>640522.5+1904</f>
        <v>642426.5</v>
      </c>
      <c r="M542" s="143">
        <f>77763+238</f>
        <v>78001</v>
      </c>
      <c r="N542" s="133">
        <f t="shared" si="56"/>
        <v>8.236131588056564</v>
      </c>
      <c r="O542" s="149">
        <v>1</v>
      </c>
      <c r="P542" s="334"/>
      <c r="Q542" s="83"/>
      <c r="R542" s="83"/>
      <c r="S542" s="83"/>
      <c r="T542" s="83"/>
    </row>
    <row r="543" spans="1:20" ht="12" customHeight="1">
      <c r="A543" s="290">
        <v>539</v>
      </c>
      <c r="B543" s="123" t="s">
        <v>346</v>
      </c>
      <c r="C543" s="139">
        <v>40067</v>
      </c>
      <c r="D543" s="145" t="s">
        <v>423</v>
      </c>
      <c r="E543" s="146">
        <v>105</v>
      </c>
      <c r="F543" s="146">
        <v>1</v>
      </c>
      <c r="G543" s="146">
        <v>33</v>
      </c>
      <c r="H543" s="137">
        <v>1782</v>
      </c>
      <c r="I543" s="135">
        <v>178</v>
      </c>
      <c r="J543" s="129">
        <f t="shared" si="54"/>
        <v>178</v>
      </c>
      <c r="K543" s="130">
        <f t="shared" si="55"/>
        <v>10.01123595505618</v>
      </c>
      <c r="L543" s="144">
        <v>644208.5</v>
      </c>
      <c r="M543" s="143">
        <v>78179</v>
      </c>
      <c r="N543" s="133">
        <f t="shared" si="56"/>
        <v>8.24017319228949</v>
      </c>
      <c r="O543" s="149">
        <v>1</v>
      </c>
      <c r="P543" s="334"/>
      <c r="Q543" s="83"/>
      <c r="R543" s="83"/>
      <c r="S543" s="83"/>
      <c r="T543" s="83"/>
    </row>
    <row r="544" spans="1:20" ht="12" customHeight="1">
      <c r="A544" s="290">
        <v>540</v>
      </c>
      <c r="B544" s="151" t="s">
        <v>346</v>
      </c>
      <c r="C544" s="139">
        <v>40067</v>
      </c>
      <c r="D544" s="155" t="s">
        <v>423</v>
      </c>
      <c r="E544" s="146">
        <v>105</v>
      </c>
      <c r="F544" s="146">
        <v>8</v>
      </c>
      <c r="G544" s="146">
        <v>22</v>
      </c>
      <c r="H544" s="141">
        <v>1703</v>
      </c>
      <c r="I544" s="142">
        <v>277</v>
      </c>
      <c r="J544" s="129">
        <f t="shared" si="54"/>
        <v>34.625</v>
      </c>
      <c r="K544" s="130">
        <f t="shared" si="55"/>
        <v>6.148014440433213</v>
      </c>
      <c r="L544" s="144">
        <v>628192.5</v>
      </c>
      <c r="M544" s="143">
        <v>75261</v>
      </c>
      <c r="N544" s="133">
        <f t="shared" si="56"/>
        <v>8.346852951727987</v>
      </c>
      <c r="O544" s="149">
        <v>1</v>
      </c>
      <c r="P544" s="334"/>
      <c r="Q544" s="83"/>
      <c r="R544" s="83"/>
      <c r="S544" s="83"/>
      <c r="T544" s="83"/>
    </row>
    <row r="545" spans="1:20" ht="12" customHeight="1">
      <c r="A545" s="290">
        <v>541</v>
      </c>
      <c r="B545" s="123" t="s">
        <v>346</v>
      </c>
      <c r="C545" s="139">
        <v>40067</v>
      </c>
      <c r="D545" s="125" t="s">
        <v>449</v>
      </c>
      <c r="E545" s="146">
        <v>105</v>
      </c>
      <c r="F545" s="146">
        <v>2</v>
      </c>
      <c r="G545" s="146">
        <v>40</v>
      </c>
      <c r="H545" s="141">
        <v>1272</v>
      </c>
      <c r="I545" s="142">
        <v>250</v>
      </c>
      <c r="J545" s="129">
        <f t="shared" si="54"/>
        <v>125</v>
      </c>
      <c r="K545" s="130">
        <f t="shared" si="55"/>
        <v>5.088</v>
      </c>
      <c r="L545" s="144">
        <f>647504.5+H545</f>
        <v>648776.5</v>
      </c>
      <c r="M545" s="143">
        <f>78793+I545</f>
        <v>79043</v>
      </c>
      <c r="N545" s="133">
        <f t="shared" si="56"/>
        <v>8.207893172070898</v>
      </c>
      <c r="O545" s="147"/>
      <c r="P545" s="334"/>
      <c r="Q545" s="83"/>
      <c r="R545" s="83"/>
      <c r="S545" s="83"/>
      <c r="T545" s="83"/>
    </row>
    <row r="546" spans="1:20" ht="12" customHeight="1">
      <c r="A546" s="290">
        <v>542</v>
      </c>
      <c r="B546" s="123" t="s">
        <v>346</v>
      </c>
      <c r="C546" s="124">
        <v>40067</v>
      </c>
      <c r="D546" s="125" t="s">
        <v>449</v>
      </c>
      <c r="E546" s="126">
        <v>105</v>
      </c>
      <c r="F546" s="126">
        <v>1</v>
      </c>
      <c r="G546" s="126">
        <v>44</v>
      </c>
      <c r="H546" s="137">
        <v>1223</v>
      </c>
      <c r="I546" s="135">
        <v>202</v>
      </c>
      <c r="J546" s="129">
        <f t="shared" si="54"/>
        <v>202</v>
      </c>
      <c r="K546" s="130">
        <f t="shared" si="55"/>
        <v>6.054455445544554</v>
      </c>
      <c r="L546" s="138">
        <f>649040.5+391+1223</f>
        <v>650654.5</v>
      </c>
      <c r="M546" s="136">
        <f>79080+64+202</f>
        <v>79346</v>
      </c>
      <c r="N546" s="133">
        <f t="shared" si="56"/>
        <v>8.200218032414993</v>
      </c>
      <c r="O546" s="147"/>
      <c r="P546" s="334"/>
      <c r="Q546" s="83"/>
      <c r="R546" s="83"/>
      <c r="S546" s="83"/>
      <c r="T546" s="83"/>
    </row>
    <row r="547" spans="1:20" ht="12" customHeight="1">
      <c r="A547" s="290">
        <v>543</v>
      </c>
      <c r="B547" s="151" t="s">
        <v>346</v>
      </c>
      <c r="C547" s="171">
        <v>40067</v>
      </c>
      <c r="D547" s="190" t="s">
        <v>423</v>
      </c>
      <c r="E547" s="156">
        <v>105</v>
      </c>
      <c r="F547" s="156">
        <v>1</v>
      </c>
      <c r="G547" s="156">
        <v>24</v>
      </c>
      <c r="H547" s="157">
        <v>1164</v>
      </c>
      <c r="I547" s="158">
        <v>332</v>
      </c>
      <c r="J547" s="129">
        <f t="shared" si="54"/>
        <v>332</v>
      </c>
      <c r="K547" s="130">
        <f t="shared" si="55"/>
        <v>3.5060240963855422</v>
      </c>
      <c r="L547" s="154">
        <v>629919.5</v>
      </c>
      <c r="M547" s="153">
        <v>75672</v>
      </c>
      <c r="N547" s="133">
        <f t="shared" si="56"/>
        <v>8.324340575113649</v>
      </c>
      <c r="O547" s="149"/>
      <c r="P547" s="334"/>
      <c r="Q547" s="83"/>
      <c r="R547" s="83"/>
      <c r="S547" s="83"/>
      <c r="T547" s="83"/>
    </row>
    <row r="548" spans="1:20" ht="12" customHeight="1">
      <c r="A548" s="290">
        <v>544</v>
      </c>
      <c r="B548" s="123" t="s">
        <v>346</v>
      </c>
      <c r="C548" s="139">
        <v>40067</v>
      </c>
      <c r="D548" s="190" t="s">
        <v>423</v>
      </c>
      <c r="E548" s="156">
        <v>105</v>
      </c>
      <c r="F548" s="156">
        <v>3</v>
      </c>
      <c r="G548" s="156">
        <v>28</v>
      </c>
      <c r="H548" s="157">
        <v>1086</v>
      </c>
      <c r="I548" s="158">
        <v>239</v>
      </c>
      <c r="J548" s="129">
        <f t="shared" si="54"/>
        <v>79.66666666666667</v>
      </c>
      <c r="K548" s="130">
        <f t="shared" si="55"/>
        <v>4.543933054393306</v>
      </c>
      <c r="L548" s="154">
        <v>636219.5</v>
      </c>
      <c r="M548" s="153">
        <v>76968</v>
      </c>
      <c r="N548" s="133">
        <f t="shared" si="56"/>
        <v>8.266026140733812</v>
      </c>
      <c r="O548" s="159"/>
      <c r="P548" s="334"/>
      <c r="Q548" s="83"/>
      <c r="R548" s="83"/>
      <c r="S548" s="83"/>
      <c r="T548" s="83"/>
    </row>
    <row r="549" spans="1:20" ht="12" customHeight="1">
      <c r="A549" s="290">
        <v>545</v>
      </c>
      <c r="B549" s="123" t="s">
        <v>346</v>
      </c>
      <c r="C549" s="139">
        <v>40067</v>
      </c>
      <c r="D549" s="190" t="s">
        <v>423</v>
      </c>
      <c r="E549" s="156">
        <v>105</v>
      </c>
      <c r="F549" s="156">
        <v>2</v>
      </c>
      <c r="G549" s="156">
        <v>30</v>
      </c>
      <c r="H549" s="157">
        <v>1011</v>
      </c>
      <c r="I549" s="184">
        <v>195</v>
      </c>
      <c r="J549" s="129">
        <f t="shared" si="54"/>
        <v>97.5</v>
      </c>
      <c r="K549" s="130">
        <f t="shared" si="55"/>
        <v>5.184615384615385</v>
      </c>
      <c r="L549" s="144">
        <v>637703.5</v>
      </c>
      <c r="M549" s="143">
        <v>77304</v>
      </c>
      <c r="N549" s="133">
        <f t="shared" si="56"/>
        <v>8.24929499120356</v>
      </c>
      <c r="O549" s="149"/>
      <c r="P549" s="334"/>
      <c r="Q549" s="83"/>
      <c r="R549" s="83"/>
      <c r="S549" s="83"/>
      <c r="T549" s="83"/>
    </row>
    <row r="550" spans="1:20" ht="12" customHeight="1">
      <c r="A550" s="290">
        <v>546</v>
      </c>
      <c r="B550" s="123" t="s">
        <v>346</v>
      </c>
      <c r="C550" s="124">
        <v>40067</v>
      </c>
      <c r="D550" s="134" t="s">
        <v>423</v>
      </c>
      <c r="E550" s="126">
        <v>105</v>
      </c>
      <c r="F550" s="126">
        <v>7</v>
      </c>
      <c r="G550" s="126">
        <v>17</v>
      </c>
      <c r="H550" s="162">
        <v>810</v>
      </c>
      <c r="I550" s="165">
        <v>154</v>
      </c>
      <c r="J550" s="129">
        <f t="shared" si="54"/>
        <v>22</v>
      </c>
      <c r="K550" s="130">
        <f t="shared" si="55"/>
        <v>5.259740259740259</v>
      </c>
      <c r="L550" s="164">
        <v>609976.75</v>
      </c>
      <c r="M550" s="153">
        <v>71251</v>
      </c>
      <c r="N550" s="133">
        <f t="shared" si="56"/>
        <v>8.56095703919945</v>
      </c>
      <c r="O550" s="181"/>
      <c r="P550" s="334"/>
      <c r="Q550" s="83"/>
      <c r="R550" s="83"/>
      <c r="S550" s="83"/>
      <c r="T550" s="83"/>
    </row>
    <row r="551" spans="1:20" ht="12" customHeight="1">
      <c r="A551" s="290">
        <v>547</v>
      </c>
      <c r="B551" s="123" t="s">
        <v>346</v>
      </c>
      <c r="C551" s="124">
        <v>40067</v>
      </c>
      <c r="D551" s="191" t="s">
        <v>423</v>
      </c>
      <c r="E551" s="126">
        <v>105</v>
      </c>
      <c r="F551" s="126">
        <v>1</v>
      </c>
      <c r="G551" s="126">
        <v>26</v>
      </c>
      <c r="H551" s="127">
        <v>715</v>
      </c>
      <c r="I551" s="135">
        <v>143</v>
      </c>
      <c r="J551" s="129">
        <f t="shared" si="54"/>
        <v>143</v>
      </c>
      <c r="K551" s="130">
        <f t="shared" si="55"/>
        <v>5</v>
      </c>
      <c r="L551" s="131">
        <v>634554.5</v>
      </c>
      <c r="M551" s="136">
        <v>76599</v>
      </c>
      <c r="N551" s="133">
        <f t="shared" si="56"/>
        <v>8.28410945312602</v>
      </c>
      <c r="O551" s="170"/>
      <c r="P551" s="334"/>
      <c r="Q551" s="83"/>
      <c r="R551" s="83"/>
      <c r="S551" s="83"/>
      <c r="T551" s="83"/>
    </row>
    <row r="552" spans="1:20" ht="12" customHeight="1">
      <c r="A552" s="290">
        <v>548</v>
      </c>
      <c r="B552" s="123" t="s">
        <v>346</v>
      </c>
      <c r="C552" s="124">
        <v>40067</v>
      </c>
      <c r="D552" s="191" t="s">
        <v>423</v>
      </c>
      <c r="E552" s="126">
        <v>105</v>
      </c>
      <c r="F552" s="126">
        <v>2</v>
      </c>
      <c r="G552" s="126">
        <v>45</v>
      </c>
      <c r="H552" s="127">
        <v>705</v>
      </c>
      <c r="I552" s="135">
        <v>109</v>
      </c>
      <c r="J552" s="129">
        <f t="shared" si="54"/>
        <v>54.5</v>
      </c>
      <c r="K552" s="130">
        <f t="shared" si="55"/>
        <v>6.467889908256881</v>
      </c>
      <c r="L552" s="131">
        <v>651359.5</v>
      </c>
      <c r="M552" s="136">
        <v>79455</v>
      </c>
      <c r="N552" s="133">
        <f t="shared" si="56"/>
        <v>8.197841545528915</v>
      </c>
      <c r="O552" s="170"/>
      <c r="P552" s="334"/>
      <c r="Q552" s="83"/>
      <c r="R552" s="83"/>
      <c r="S552" s="83"/>
      <c r="T552" s="83"/>
    </row>
    <row r="553" spans="1:20" ht="12" customHeight="1">
      <c r="A553" s="290">
        <v>549</v>
      </c>
      <c r="B553" s="182" t="s">
        <v>346</v>
      </c>
      <c r="C553" s="139">
        <v>40067</v>
      </c>
      <c r="D553" s="190" t="s">
        <v>423</v>
      </c>
      <c r="E553" s="156">
        <v>105</v>
      </c>
      <c r="F553" s="156">
        <v>2</v>
      </c>
      <c r="G553" s="156">
        <v>27</v>
      </c>
      <c r="H553" s="157">
        <v>579</v>
      </c>
      <c r="I553" s="158">
        <v>130</v>
      </c>
      <c r="J553" s="129">
        <f t="shared" si="54"/>
        <v>65</v>
      </c>
      <c r="K553" s="130">
        <f t="shared" si="55"/>
        <v>4.453846153846154</v>
      </c>
      <c r="L553" s="154">
        <v>635133.5</v>
      </c>
      <c r="M553" s="153">
        <v>76729</v>
      </c>
      <c r="N553" s="133">
        <f t="shared" si="56"/>
        <v>8.277619935096247</v>
      </c>
      <c r="O553" s="350"/>
      <c r="P553" s="334"/>
      <c r="Q553" s="83"/>
      <c r="R553" s="83"/>
      <c r="S553" s="83"/>
      <c r="T553" s="83"/>
    </row>
    <row r="554" spans="1:20" ht="12" customHeight="1">
      <c r="A554" s="290">
        <v>550</v>
      </c>
      <c r="B554" s="151" t="s">
        <v>346</v>
      </c>
      <c r="C554" s="139">
        <v>40067</v>
      </c>
      <c r="D554" s="155" t="s">
        <v>423</v>
      </c>
      <c r="E554" s="146">
        <v>105</v>
      </c>
      <c r="F554" s="146">
        <v>3</v>
      </c>
      <c r="G554" s="146">
        <v>23</v>
      </c>
      <c r="H554" s="150">
        <v>563</v>
      </c>
      <c r="I554" s="152">
        <v>79</v>
      </c>
      <c r="J554" s="129">
        <f t="shared" si="54"/>
        <v>26.333333333333332</v>
      </c>
      <c r="K554" s="130">
        <f t="shared" si="55"/>
        <v>7.1265822784810124</v>
      </c>
      <c r="L554" s="154">
        <v>628755.5</v>
      </c>
      <c r="M554" s="153">
        <v>75340</v>
      </c>
      <c r="N554" s="133">
        <f t="shared" si="56"/>
        <v>8.34557340058402</v>
      </c>
      <c r="O554" s="149"/>
      <c r="P554" s="334"/>
      <c r="Q554" s="83"/>
      <c r="R554" s="83"/>
      <c r="S554" s="83"/>
      <c r="T554" s="83"/>
    </row>
    <row r="555" spans="1:20" ht="12" customHeight="1">
      <c r="A555" s="290">
        <v>551</v>
      </c>
      <c r="B555" s="123" t="s">
        <v>346</v>
      </c>
      <c r="C555" s="139">
        <v>40067</v>
      </c>
      <c r="D555" s="190" t="s">
        <v>423</v>
      </c>
      <c r="E555" s="156">
        <v>105</v>
      </c>
      <c r="F555" s="156">
        <v>1</v>
      </c>
      <c r="G555" s="156">
        <v>29</v>
      </c>
      <c r="H555" s="157">
        <v>473</v>
      </c>
      <c r="I555" s="158">
        <v>141</v>
      </c>
      <c r="J555" s="129">
        <f t="shared" si="54"/>
        <v>141</v>
      </c>
      <c r="K555" s="130">
        <f t="shared" si="55"/>
        <v>3.354609929078014</v>
      </c>
      <c r="L555" s="154">
        <v>636692.5</v>
      </c>
      <c r="M555" s="153">
        <v>77109</v>
      </c>
      <c r="N555" s="133">
        <f t="shared" si="56"/>
        <v>8.257045221699153</v>
      </c>
      <c r="O555" s="149"/>
      <c r="P555" s="334"/>
      <c r="Q555" s="83"/>
      <c r="R555" s="83"/>
      <c r="S555" s="83"/>
      <c r="T555" s="83"/>
    </row>
    <row r="556" spans="1:20" ht="12" customHeight="1">
      <c r="A556" s="290">
        <v>552</v>
      </c>
      <c r="B556" s="123" t="s">
        <v>346</v>
      </c>
      <c r="C556" s="139">
        <v>40067</v>
      </c>
      <c r="D556" s="125" t="s">
        <v>449</v>
      </c>
      <c r="E556" s="146">
        <v>105</v>
      </c>
      <c r="F556" s="146">
        <v>2</v>
      </c>
      <c r="G556" s="146">
        <v>38</v>
      </c>
      <c r="H556" s="141">
        <v>460</v>
      </c>
      <c r="I556" s="142">
        <v>73</v>
      </c>
      <c r="J556" s="129">
        <f t="shared" si="54"/>
        <v>36.5</v>
      </c>
      <c r="K556" s="130">
        <f t="shared" si="55"/>
        <v>6.301369863013699</v>
      </c>
      <c r="L556" s="144">
        <f>646900.5+H556</f>
        <v>647360.5</v>
      </c>
      <c r="M556" s="143">
        <f>78696+I556</f>
        <v>78769</v>
      </c>
      <c r="N556" s="133">
        <f t="shared" si="56"/>
        <v>8.218467925199</v>
      </c>
      <c r="O556" s="148">
        <v>1</v>
      </c>
      <c r="P556" s="334"/>
      <c r="Q556" s="83"/>
      <c r="R556" s="83"/>
      <c r="S556" s="83"/>
      <c r="T556" s="83"/>
    </row>
    <row r="557" spans="1:20" ht="12" customHeight="1">
      <c r="A557" s="290">
        <v>553</v>
      </c>
      <c r="B557" s="123" t="s">
        <v>346</v>
      </c>
      <c r="C557" s="139">
        <v>40067</v>
      </c>
      <c r="D557" s="125" t="s">
        <v>449</v>
      </c>
      <c r="E557" s="146">
        <v>105</v>
      </c>
      <c r="F557" s="146">
        <v>1</v>
      </c>
      <c r="G557" s="146">
        <v>43</v>
      </c>
      <c r="H557" s="141">
        <v>391</v>
      </c>
      <c r="I557" s="142">
        <v>64</v>
      </c>
      <c r="J557" s="129">
        <f t="shared" si="54"/>
        <v>64</v>
      </c>
      <c r="K557" s="130">
        <f t="shared" si="55"/>
        <v>6.109375</v>
      </c>
      <c r="L557" s="144">
        <v>649431.5</v>
      </c>
      <c r="M557" s="143">
        <v>79144</v>
      </c>
      <c r="N557" s="133">
        <f t="shared" si="56"/>
        <v>8.20569468310927</v>
      </c>
      <c r="O557" s="108"/>
      <c r="P557" s="334"/>
      <c r="Q557" s="83"/>
      <c r="R557" s="83"/>
      <c r="S557" s="83"/>
      <c r="T557" s="83"/>
    </row>
    <row r="558" spans="1:20" ht="12" customHeight="1">
      <c r="A558" s="290">
        <v>554</v>
      </c>
      <c r="B558" s="151" t="s">
        <v>346</v>
      </c>
      <c r="C558" s="139">
        <v>40067</v>
      </c>
      <c r="D558" s="125" t="s">
        <v>449</v>
      </c>
      <c r="E558" s="146">
        <v>105</v>
      </c>
      <c r="F558" s="146">
        <v>1</v>
      </c>
      <c r="G558" s="146">
        <v>37</v>
      </c>
      <c r="H558" s="150">
        <v>329.5</v>
      </c>
      <c r="I558" s="152">
        <v>51</v>
      </c>
      <c r="J558" s="129">
        <f t="shared" si="54"/>
        <v>51</v>
      </c>
      <c r="K558" s="130">
        <f t="shared" si="55"/>
        <v>6.46078431372549</v>
      </c>
      <c r="L558" s="154">
        <v>646900.5</v>
      </c>
      <c r="M558" s="153">
        <v>78696</v>
      </c>
      <c r="N558" s="133">
        <f t="shared" si="56"/>
        <v>8.22024626410491</v>
      </c>
      <c r="O558" s="148"/>
      <c r="P558" s="334"/>
      <c r="Q558" s="83"/>
      <c r="R558" s="83"/>
      <c r="S558" s="83"/>
      <c r="T558" s="83"/>
    </row>
    <row r="559" spans="1:20" ht="12" customHeight="1">
      <c r="A559" s="290">
        <v>555</v>
      </c>
      <c r="B559" s="123" t="s">
        <v>346</v>
      </c>
      <c r="C559" s="139">
        <v>40067</v>
      </c>
      <c r="D559" s="125" t="s">
        <v>449</v>
      </c>
      <c r="E559" s="146">
        <v>105</v>
      </c>
      <c r="F559" s="146">
        <v>1</v>
      </c>
      <c r="G559" s="146">
        <v>40</v>
      </c>
      <c r="H559" s="141">
        <v>144</v>
      </c>
      <c r="I559" s="142">
        <v>24</v>
      </c>
      <c r="J559" s="129">
        <f t="shared" si="54"/>
        <v>24</v>
      </c>
      <c r="K559" s="130">
        <f t="shared" si="55"/>
        <v>6</v>
      </c>
      <c r="L559" s="144">
        <v>647504.5</v>
      </c>
      <c r="M559" s="143">
        <v>78793</v>
      </c>
      <c r="N559" s="133">
        <f t="shared" si="56"/>
        <v>8.217792189661518</v>
      </c>
      <c r="O559" s="159">
        <v>1</v>
      </c>
      <c r="P559" s="334"/>
      <c r="Q559" s="83"/>
      <c r="R559" s="83"/>
      <c r="S559" s="83"/>
      <c r="T559" s="83"/>
    </row>
    <row r="560" spans="1:20" ht="12" customHeight="1">
      <c r="A560" s="290">
        <v>556</v>
      </c>
      <c r="B560" s="123" t="s">
        <v>346</v>
      </c>
      <c r="C560" s="139">
        <v>40067</v>
      </c>
      <c r="D560" s="125" t="s">
        <v>449</v>
      </c>
      <c r="E560" s="146">
        <v>105</v>
      </c>
      <c r="F560" s="146">
        <v>1</v>
      </c>
      <c r="G560" s="146">
        <v>39</v>
      </c>
      <c r="H560" s="141">
        <v>144</v>
      </c>
      <c r="I560" s="142">
        <v>24</v>
      </c>
      <c r="J560" s="129">
        <f t="shared" si="54"/>
        <v>24</v>
      </c>
      <c r="K560" s="130">
        <f t="shared" si="55"/>
        <v>6</v>
      </c>
      <c r="L560" s="144">
        <f>647360.5+H560</f>
        <v>647504.5</v>
      </c>
      <c r="M560" s="143">
        <f>78769+I560</f>
        <v>78793</v>
      </c>
      <c r="N560" s="133">
        <f t="shared" si="56"/>
        <v>8.217792189661518</v>
      </c>
      <c r="O560" s="149">
        <v>1</v>
      </c>
      <c r="P560" s="334"/>
      <c r="Q560" s="83"/>
      <c r="R560" s="83"/>
      <c r="S560" s="83"/>
      <c r="T560" s="83"/>
    </row>
    <row r="561" spans="1:20" ht="12" customHeight="1">
      <c r="A561" s="290">
        <v>557</v>
      </c>
      <c r="B561" s="123" t="s">
        <v>346</v>
      </c>
      <c r="C561" s="124">
        <v>40067</v>
      </c>
      <c r="D561" s="155" t="s">
        <v>449</v>
      </c>
      <c r="E561" s="134">
        <v>105</v>
      </c>
      <c r="F561" s="134">
        <v>1</v>
      </c>
      <c r="G561" s="134">
        <v>46</v>
      </c>
      <c r="H561" s="162">
        <v>141</v>
      </c>
      <c r="I561" s="165">
        <v>20</v>
      </c>
      <c r="J561" s="129">
        <f t="shared" si="54"/>
        <v>20</v>
      </c>
      <c r="K561" s="130">
        <f t="shared" si="55"/>
        <v>7.05</v>
      </c>
      <c r="L561" s="164">
        <f>649040.5+391+1223+705+141</f>
        <v>651500.5</v>
      </c>
      <c r="M561" s="153">
        <f>79080+64+202+109+20</f>
        <v>79475</v>
      </c>
      <c r="N561" s="133">
        <f t="shared" si="56"/>
        <v>8.197552689525008</v>
      </c>
      <c r="O561" s="584"/>
      <c r="P561" s="334"/>
      <c r="Q561" s="83"/>
      <c r="R561" s="83"/>
      <c r="S561" s="83"/>
      <c r="T561" s="83"/>
    </row>
    <row r="562" spans="1:20" ht="12" customHeight="1">
      <c r="A562" s="290">
        <v>558</v>
      </c>
      <c r="B562" s="182" t="s">
        <v>346</v>
      </c>
      <c r="C562" s="124">
        <v>40067</v>
      </c>
      <c r="D562" s="155" t="s">
        <v>449</v>
      </c>
      <c r="E562" s="126">
        <v>105</v>
      </c>
      <c r="F562" s="126">
        <v>1</v>
      </c>
      <c r="G562" s="126">
        <v>35</v>
      </c>
      <c r="H562" s="162">
        <v>138</v>
      </c>
      <c r="I562" s="165">
        <v>23</v>
      </c>
      <c r="J562" s="129">
        <f t="shared" si="54"/>
        <v>23</v>
      </c>
      <c r="K562" s="130">
        <f t="shared" si="55"/>
        <v>6</v>
      </c>
      <c r="L562" s="164">
        <v>646486.5</v>
      </c>
      <c r="M562" s="153">
        <v>78630</v>
      </c>
      <c r="N562" s="133">
        <f t="shared" si="56"/>
        <v>8.22188096146509</v>
      </c>
      <c r="O562" s="149"/>
      <c r="P562" s="334"/>
      <c r="Q562" s="83"/>
      <c r="R562" s="83"/>
      <c r="S562" s="83"/>
      <c r="T562" s="83"/>
    </row>
    <row r="563" spans="1:20" ht="12" customHeight="1">
      <c r="A563" s="290">
        <v>559</v>
      </c>
      <c r="B563" s="123" t="s">
        <v>346</v>
      </c>
      <c r="C563" s="139">
        <v>40067</v>
      </c>
      <c r="D563" s="125" t="s">
        <v>449</v>
      </c>
      <c r="E563" s="146">
        <v>105</v>
      </c>
      <c r="F563" s="146">
        <v>1</v>
      </c>
      <c r="G563" s="146">
        <v>41</v>
      </c>
      <c r="H563" s="141">
        <v>136</v>
      </c>
      <c r="I563" s="142">
        <v>19</v>
      </c>
      <c r="J563" s="129">
        <f t="shared" si="54"/>
        <v>19</v>
      </c>
      <c r="K563" s="130">
        <f t="shared" si="55"/>
        <v>7.157894736842105</v>
      </c>
      <c r="L563" s="144">
        <f>648776.5+H563</f>
        <v>648912.5</v>
      </c>
      <c r="M563" s="143">
        <f>79043+I563</f>
        <v>79062</v>
      </c>
      <c r="N563" s="133">
        <f t="shared" si="56"/>
        <v>8.207640838835344</v>
      </c>
      <c r="O563" s="148"/>
      <c r="P563" s="334"/>
      <c r="Q563" s="83"/>
      <c r="R563" s="83"/>
      <c r="S563" s="83"/>
      <c r="T563" s="83"/>
    </row>
    <row r="564" spans="1:20" ht="12" customHeight="1">
      <c r="A564" s="290">
        <v>560</v>
      </c>
      <c r="B564" s="123" t="s">
        <v>346</v>
      </c>
      <c r="C564" s="139">
        <v>40067</v>
      </c>
      <c r="D564" s="145" t="s">
        <v>449</v>
      </c>
      <c r="E564" s="146">
        <v>105</v>
      </c>
      <c r="F564" s="146">
        <v>1</v>
      </c>
      <c r="G564" s="146">
        <v>42</v>
      </c>
      <c r="H564" s="137">
        <v>128</v>
      </c>
      <c r="I564" s="135">
        <v>18</v>
      </c>
      <c r="J564" s="129">
        <f t="shared" si="54"/>
        <v>18</v>
      </c>
      <c r="K564" s="130">
        <f t="shared" si="55"/>
        <v>7.111111111111111</v>
      </c>
      <c r="L564" s="144">
        <f>648912.5+H564</f>
        <v>649040.5</v>
      </c>
      <c r="M564" s="143">
        <f>79062+I564</f>
        <v>79080</v>
      </c>
      <c r="N564" s="133">
        <f t="shared" si="56"/>
        <v>8.20739124936773</v>
      </c>
      <c r="O564" s="147"/>
      <c r="P564" s="334"/>
      <c r="Q564" s="83"/>
      <c r="R564" s="83"/>
      <c r="S564" s="83"/>
      <c r="T564" s="83"/>
    </row>
    <row r="565" spans="1:20" ht="12" customHeight="1">
      <c r="A565" s="290">
        <v>561</v>
      </c>
      <c r="B565" s="123" t="s">
        <v>346</v>
      </c>
      <c r="C565" s="139">
        <v>40067</v>
      </c>
      <c r="D565" s="125" t="s">
        <v>449</v>
      </c>
      <c r="E565" s="146">
        <v>105</v>
      </c>
      <c r="F565" s="146">
        <v>1</v>
      </c>
      <c r="G565" s="146">
        <v>36</v>
      </c>
      <c r="H565" s="141">
        <v>84.5</v>
      </c>
      <c r="I565" s="142">
        <v>15</v>
      </c>
      <c r="J565" s="129">
        <f t="shared" si="54"/>
        <v>15</v>
      </c>
      <c r="K565" s="130">
        <f t="shared" si="55"/>
        <v>5.633333333333334</v>
      </c>
      <c r="L565" s="144">
        <v>646571</v>
      </c>
      <c r="M565" s="143">
        <v>78645</v>
      </c>
      <c r="N565" s="133">
        <f t="shared" si="56"/>
        <v>8.22138724648738</v>
      </c>
      <c r="O565" s="149">
        <v>1</v>
      </c>
      <c r="P565" s="334"/>
      <c r="Q565" s="83"/>
      <c r="R565" s="83"/>
      <c r="S565" s="83"/>
      <c r="T565" s="83"/>
    </row>
    <row r="566" spans="1:20" ht="12" customHeight="1">
      <c r="A566" s="290">
        <v>562</v>
      </c>
      <c r="B566" s="151" t="s">
        <v>424</v>
      </c>
      <c r="C566" s="139">
        <v>39871</v>
      </c>
      <c r="D566" s="145" t="s">
        <v>326</v>
      </c>
      <c r="E566" s="146">
        <v>1</v>
      </c>
      <c r="F566" s="146">
        <v>1</v>
      </c>
      <c r="G566" s="146">
        <v>22</v>
      </c>
      <c r="H566" s="127">
        <v>1780</v>
      </c>
      <c r="I566" s="128">
        <v>445</v>
      </c>
      <c r="J566" s="129">
        <f t="shared" si="54"/>
        <v>445</v>
      </c>
      <c r="K566" s="130">
        <f t="shared" si="55"/>
        <v>4</v>
      </c>
      <c r="L566" s="131">
        <f>1088+1510+1304+856+387+214+424+106+162+130+476+60.5+118+96+1664+1780+454+259.5+1188+119.5+1188+1780+1780</f>
        <v>17144.5</v>
      </c>
      <c r="M566" s="132">
        <f>267+175+155+102+46+26+51+12+18+16+57+8+22+16+416+445+57+31+297+19+297+445+445</f>
        <v>3423</v>
      </c>
      <c r="N566" s="133">
        <f t="shared" si="56"/>
        <v>5.0086181711948585</v>
      </c>
      <c r="O566" s="149"/>
      <c r="P566" s="334"/>
      <c r="Q566" s="83"/>
      <c r="R566" s="83"/>
      <c r="S566" s="83"/>
      <c r="T566" s="83"/>
    </row>
    <row r="567" spans="1:20" ht="12" customHeight="1">
      <c r="A567" s="290">
        <v>563</v>
      </c>
      <c r="B567" s="151" t="s">
        <v>424</v>
      </c>
      <c r="C567" s="139">
        <v>39871</v>
      </c>
      <c r="D567" s="145" t="s">
        <v>326</v>
      </c>
      <c r="E567" s="146">
        <v>1</v>
      </c>
      <c r="F567" s="146">
        <v>1</v>
      </c>
      <c r="G567" s="146">
        <v>21</v>
      </c>
      <c r="H567" s="127">
        <v>1780</v>
      </c>
      <c r="I567" s="128">
        <v>445</v>
      </c>
      <c r="J567" s="129">
        <f t="shared" si="54"/>
        <v>445</v>
      </c>
      <c r="K567" s="130">
        <f t="shared" si="55"/>
        <v>4</v>
      </c>
      <c r="L567" s="131">
        <f>1088+1510+1304+856+387+214+424+106+162+130+476+60.5+118+96+1664+1780+454+259.5+1188+119.5+1188+1780</f>
        <v>15364.5</v>
      </c>
      <c r="M567" s="132">
        <f>267+175+155+102+46+26+51+12+18+16+57+8+22+16+416+445+57+31+297+19+297+445</f>
        <v>2978</v>
      </c>
      <c r="N567" s="133">
        <f t="shared" si="56"/>
        <v>5.15933512424446</v>
      </c>
      <c r="O567" s="149"/>
      <c r="P567" s="334"/>
      <c r="Q567" s="83"/>
      <c r="R567" s="83"/>
      <c r="S567" s="83"/>
      <c r="T567" s="83"/>
    </row>
    <row r="568" spans="1:20" ht="12" customHeight="1">
      <c r="A568" s="290">
        <v>564</v>
      </c>
      <c r="B568" s="123" t="s">
        <v>402</v>
      </c>
      <c r="C568" s="124">
        <v>39885</v>
      </c>
      <c r="D568" s="125" t="s">
        <v>326</v>
      </c>
      <c r="E568" s="126">
        <v>1</v>
      </c>
      <c r="F568" s="126">
        <v>1</v>
      </c>
      <c r="G568" s="126">
        <v>16</v>
      </c>
      <c r="H568" s="137">
        <v>2020</v>
      </c>
      <c r="I568" s="135">
        <v>505</v>
      </c>
      <c r="J568" s="129">
        <f t="shared" si="54"/>
        <v>505</v>
      </c>
      <c r="K568" s="130">
        <f t="shared" si="55"/>
        <v>4</v>
      </c>
      <c r="L568" s="138">
        <f>4788+2916+224+67+1174+2376+93+192+1664+358+99+80.5+37.5+952+2020+2020+2020</f>
        <v>21081</v>
      </c>
      <c r="M568" s="136">
        <f>549+337+27+11+121+594+31+32+416+45+9+12+3+238+505+505+505</f>
        <v>3940</v>
      </c>
      <c r="N568" s="133">
        <f t="shared" si="56"/>
        <v>5.350507614213198</v>
      </c>
      <c r="O568" s="147"/>
      <c r="P568" s="334"/>
      <c r="Q568" s="83"/>
      <c r="R568" s="83"/>
      <c r="S568" s="83"/>
      <c r="T568" s="83"/>
    </row>
    <row r="569" spans="1:20" ht="12" customHeight="1">
      <c r="A569" s="290">
        <v>565</v>
      </c>
      <c r="B569" s="123" t="s">
        <v>402</v>
      </c>
      <c r="C569" s="139">
        <v>39885</v>
      </c>
      <c r="D569" s="125" t="s">
        <v>326</v>
      </c>
      <c r="E569" s="146">
        <v>1</v>
      </c>
      <c r="F569" s="146">
        <v>1</v>
      </c>
      <c r="G569" s="146">
        <v>15</v>
      </c>
      <c r="H569" s="141">
        <v>2020</v>
      </c>
      <c r="I569" s="142">
        <v>505</v>
      </c>
      <c r="J569" s="129">
        <f t="shared" si="54"/>
        <v>505</v>
      </c>
      <c r="K569" s="130">
        <f t="shared" si="55"/>
        <v>4</v>
      </c>
      <c r="L569" s="144">
        <f>4788+2916+224+67+1174+2376+93+192+1664+358+99+80.5+37.5+952+2020+2020</f>
        <v>19061</v>
      </c>
      <c r="M569" s="143">
        <f>549+337+27+11+121+594+31+32+416+45+9+12+3+238+505+505</f>
        <v>3435</v>
      </c>
      <c r="N569" s="133">
        <f t="shared" si="56"/>
        <v>5.549053857350801</v>
      </c>
      <c r="O569" s="108">
        <v>1</v>
      </c>
      <c r="P569" s="334"/>
      <c r="Q569" s="83"/>
      <c r="R569" s="83"/>
      <c r="S569" s="83"/>
      <c r="T569" s="83"/>
    </row>
    <row r="570" spans="1:20" ht="12" customHeight="1">
      <c r="A570" s="290">
        <v>566</v>
      </c>
      <c r="B570" s="123" t="s">
        <v>402</v>
      </c>
      <c r="C570" s="139">
        <v>39885</v>
      </c>
      <c r="D570" s="125" t="s">
        <v>326</v>
      </c>
      <c r="E570" s="146">
        <v>1</v>
      </c>
      <c r="F570" s="146">
        <v>1</v>
      </c>
      <c r="G570" s="146">
        <v>14</v>
      </c>
      <c r="H570" s="141">
        <v>2020</v>
      </c>
      <c r="I570" s="142">
        <v>505</v>
      </c>
      <c r="J570" s="129">
        <f aca="true" t="shared" si="57" ref="J570:J601">I570/F570</f>
        <v>505</v>
      </c>
      <c r="K570" s="130">
        <f t="shared" si="55"/>
        <v>4</v>
      </c>
      <c r="L570" s="144">
        <f>4788+2916+224+67+1174+2376+93+192+1664+358+99+80.5+37.5+952+2020</f>
        <v>17041</v>
      </c>
      <c r="M570" s="143">
        <f>549+337+27+11+121+594+31+32+416+45+9+12+3+238+505</f>
        <v>2930</v>
      </c>
      <c r="N570" s="133">
        <f aca="true" t="shared" si="58" ref="N570:N601">+L570/M570</f>
        <v>5.816040955631399</v>
      </c>
      <c r="O570" s="148"/>
      <c r="P570" s="334"/>
      <c r="Q570" s="83"/>
      <c r="R570" s="83"/>
      <c r="S570" s="83"/>
      <c r="T570" s="83"/>
    </row>
    <row r="571" spans="1:20" ht="12" customHeight="1">
      <c r="A571" s="290">
        <v>567</v>
      </c>
      <c r="B571" s="210" t="s">
        <v>233</v>
      </c>
      <c r="C571" s="124">
        <v>40158</v>
      </c>
      <c r="D571" s="205" t="s">
        <v>234</v>
      </c>
      <c r="E571" s="211" t="s">
        <v>235</v>
      </c>
      <c r="F571" s="211" t="s">
        <v>235</v>
      </c>
      <c r="G571" s="211" t="s">
        <v>236</v>
      </c>
      <c r="H571" s="206">
        <v>10169</v>
      </c>
      <c r="I571" s="212">
        <v>1579</v>
      </c>
      <c r="J571" s="129">
        <f t="shared" si="57"/>
        <v>157.9</v>
      </c>
      <c r="K571" s="130">
        <f t="shared" si="55"/>
        <v>6.440151994933502</v>
      </c>
      <c r="L571" s="208">
        <v>104779</v>
      </c>
      <c r="M571" s="213">
        <v>9582</v>
      </c>
      <c r="N571" s="133">
        <f t="shared" si="58"/>
        <v>10.934982258401169</v>
      </c>
      <c r="O571" s="149"/>
      <c r="P571" s="334"/>
      <c r="Q571" s="83"/>
      <c r="R571" s="83"/>
      <c r="S571" s="83"/>
      <c r="T571" s="83"/>
    </row>
    <row r="572" spans="1:20" ht="12" customHeight="1">
      <c r="A572" s="290">
        <v>568</v>
      </c>
      <c r="B572" s="210" t="s">
        <v>233</v>
      </c>
      <c r="C572" s="124">
        <v>40158</v>
      </c>
      <c r="D572" s="205" t="s">
        <v>234</v>
      </c>
      <c r="E572" s="211" t="s">
        <v>235</v>
      </c>
      <c r="F572" s="211" t="s">
        <v>235</v>
      </c>
      <c r="G572" s="211" t="s">
        <v>360</v>
      </c>
      <c r="H572" s="206">
        <v>9421</v>
      </c>
      <c r="I572" s="207">
        <v>1421</v>
      </c>
      <c r="J572" s="129">
        <f t="shared" si="57"/>
        <v>142.1</v>
      </c>
      <c r="K572" s="130">
        <f t="shared" si="55"/>
        <v>6.629838142153413</v>
      </c>
      <c r="L572" s="208">
        <v>114200</v>
      </c>
      <c r="M572" s="209">
        <v>11003</v>
      </c>
      <c r="N572" s="133">
        <f t="shared" si="58"/>
        <v>10.378987548850313</v>
      </c>
      <c r="O572" s="147"/>
      <c r="P572" s="334"/>
      <c r="Q572" s="83"/>
      <c r="R572" s="83"/>
      <c r="S572" s="83"/>
      <c r="T572" s="83"/>
    </row>
    <row r="573" spans="1:20" ht="12" customHeight="1">
      <c r="A573" s="290">
        <v>569</v>
      </c>
      <c r="B573" s="151" t="s">
        <v>233</v>
      </c>
      <c r="C573" s="139">
        <v>40158</v>
      </c>
      <c r="D573" s="155" t="s">
        <v>234</v>
      </c>
      <c r="E573" s="146" t="s">
        <v>235</v>
      </c>
      <c r="F573" s="146" t="s">
        <v>360</v>
      </c>
      <c r="G573" s="146" t="s">
        <v>425</v>
      </c>
      <c r="H573" s="141">
        <v>1882</v>
      </c>
      <c r="I573" s="142">
        <v>269</v>
      </c>
      <c r="J573" s="129">
        <f t="shared" si="57"/>
        <v>44.833333333333336</v>
      </c>
      <c r="K573" s="130">
        <f t="shared" si="55"/>
        <v>6.996282527881041</v>
      </c>
      <c r="L573" s="144">
        <v>117674</v>
      </c>
      <c r="M573" s="143">
        <v>11534</v>
      </c>
      <c r="N573" s="133">
        <f t="shared" si="58"/>
        <v>10.20235824518814</v>
      </c>
      <c r="O573" s="108"/>
      <c r="P573" s="334"/>
      <c r="Q573" s="83"/>
      <c r="R573" s="83"/>
      <c r="S573" s="83"/>
      <c r="T573" s="83"/>
    </row>
    <row r="574" spans="1:20" ht="12" customHeight="1">
      <c r="A574" s="290">
        <v>570</v>
      </c>
      <c r="B574" s="210" t="s">
        <v>233</v>
      </c>
      <c r="C574" s="139">
        <v>40158</v>
      </c>
      <c r="D574" s="155" t="s">
        <v>234</v>
      </c>
      <c r="E574" s="146" t="s">
        <v>235</v>
      </c>
      <c r="F574" s="146" t="s">
        <v>236</v>
      </c>
      <c r="G574" s="146" t="s">
        <v>174</v>
      </c>
      <c r="H574" s="141">
        <v>1592</v>
      </c>
      <c r="I574" s="142">
        <v>262</v>
      </c>
      <c r="J574" s="129">
        <f t="shared" si="57"/>
        <v>52.4</v>
      </c>
      <c r="K574" s="130">
        <f t="shared" si="55"/>
        <v>6.076335877862595</v>
      </c>
      <c r="L574" s="144">
        <v>115792</v>
      </c>
      <c r="M574" s="143">
        <v>11265</v>
      </c>
      <c r="N574" s="133">
        <f t="shared" si="58"/>
        <v>10.278916999556147</v>
      </c>
      <c r="O574" s="108"/>
      <c r="P574" s="334"/>
      <c r="Q574" s="83"/>
      <c r="R574" s="83"/>
      <c r="S574" s="83"/>
      <c r="T574" s="83"/>
    </row>
    <row r="575" spans="1:20" ht="12" customHeight="1">
      <c r="A575" s="290">
        <v>571</v>
      </c>
      <c r="B575" s="123" t="s">
        <v>213</v>
      </c>
      <c r="C575" s="139">
        <v>40123</v>
      </c>
      <c r="D575" s="145" t="s">
        <v>353</v>
      </c>
      <c r="E575" s="156">
        <v>42</v>
      </c>
      <c r="F575" s="156">
        <v>1</v>
      </c>
      <c r="G575" s="156">
        <v>7</v>
      </c>
      <c r="H575" s="157">
        <v>1474</v>
      </c>
      <c r="I575" s="158">
        <v>205</v>
      </c>
      <c r="J575" s="129">
        <f t="shared" si="57"/>
        <v>205</v>
      </c>
      <c r="K575" s="130">
        <f t="shared" si="55"/>
        <v>7.190243902439025</v>
      </c>
      <c r="L575" s="154">
        <f>47428.75+11738.5+1089+270+547+3735+1243+1474</f>
        <v>67525.25</v>
      </c>
      <c r="M575" s="153">
        <f>4865+1345+40+185+107+665+226+205</f>
        <v>7638</v>
      </c>
      <c r="N575" s="133">
        <f t="shared" si="58"/>
        <v>8.840697826656193</v>
      </c>
      <c r="O575" s="159"/>
      <c r="P575" s="334"/>
      <c r="Q575" s="83"/>
      <c r="R575" s="83"/>
      <c r="S575" s="83"/>
      <c r="T575" s="83"/>
    </row>
    <row r="576" spans="1:20" ht="12" customHeight="1">
      <c r="A576" s="290">
        <v>572</v>
      </c>
      <c r="B576" s="123" t="s">
        <v>213</v>
      </c>
      <c r="C576" s="139">
        <v>40123</v>
      </c>
      <c r="D576" s="145" t="s">
        <v>353</v>
      </c>
      <c r="E576" s="156">
        <v>42</v>
      </c>
      <c r="F576" s="156">
        <v>1</v>
      </c>
      <c r="G576" s="156">
        <v>8</v>
      </c>
      <c r="H576" s="157">
        <v>124</v>
      </c>
      <c r="I576" s="184">
        <v>16</v>
      </c>
      <c r="J576" s="129">
        <f t="shared" si="57"/>
        <v>16</v>
      </c>
      <c r="K576" s="130">
        <f t="shared" si="55"/>
        <v>7.75</v>
      </c>
      <c r="L576" s="144">
        <f>47428.75+11738.5+1089+270+547+3735+1243+1474+124</f>
        <v>67649.25</v>
      </c>
      <c r="M576" s="143">
        <f>4865+1345+40+185+107+665+226+205+16</f>
        <v>7654</v>
      </c>
      <c r="N576" s="133">
        <f t="shared" si="58"/>
        <v>8.838417820747322</v>
      </c>
      <c r="O576" s="149"/>
      <c r="P576" s="334"/>
      <c r="Q576" s="83"/>
      <c r="R576" s="83"/>
      <c r="S576" s="83"/>
      <c r="T576" s="83"/>
    </row>
    <row r="577" spans="1:20" ht="12" customHeight="1">
      <c r="A577" s="290">
        <v>573</v>
      </c>
      <c r="B577" s="151" t="s">
        <v>214</v>
      </c>
      <c r="C577" s="171">
        <v>39920</v>
      </c>
      <c r="D577" s="145" t="s">
        <v>326</v>
      </c>
      <c r="E577" s="156">
        <v>43</v>
      </c>
      <c r="F577" s="156">
        <v>4</v>
      </c>
      <c r="G577" s="156">
        <v>30</v>
      </c>
      <c r="H577" s="157">
        <v>6292</v>
      </c>
      <c r="I577" s="158">
        <v>1573</v>
      </c>
      <c r="J577" s="129">
        <f t="shared" si="57"/>
        <v>393.25</v>
      </c>
      <c r="K577" s="130">
        <f t="shared" si="55"/>
        <v>4</v>
      </c>
      <c r="L577" s="154">
        <f>71921.5+55489+28896+23842.5+13474.5+19552.5+14027+10409+7091.5+1088.5+1046+1608+982+3368+433+2156+3870+2362+588+3564+2376+1424+1780+1424+1512+1188+952+952+952+6292</f>
        <v>284621</v>
      </c>
      <c r="M577" s="153">
        <f>9131+7791+4520+4728+2735+3857+3026+2110+1463+203+226+324+239+809+81+469+941+537+95+891+594+356+445+356+378+297+238+238+238+1573</f>
        <v>48889</v>
      </c>
      <c r="N577" s="133">
        <f t="shared" si="58"/>
        <v>5.821779950500113</v>
      </c>
      <c r="O577" s="149"/>
      <c r="P577" s="334"/>
      <c r="Q577" s="83"/>
      <c r="R577" s="83"/>
      <c r="S577" s="83"/>
      <c r="T577" s="83"/>
    </row>
    <row r="578" spans="1:20" ht="12" customHeight="1">
      <c r="A578" s="290">
        <v>574</v>
      </c>
      <c r="B578" s="151" t="s">
        <v>214</v>
      </c>
      <c r="C578" s="171">
        <v>39920</v>
      </c>
      <c r="D578" s="145" t="s">
        <v>326</v>
      </c>
      <c r="E578" s="156">
        <v>43</v>
      </c>
      <c r="F578" s="156">
        <v>3</v>
      </c>
      <c r="G578" s="156">
        <v>31</v>
      </c>
      <c r="H578" s="157">
        <v>5340</v>
      </c>
      <c r="I578" s="158">
        <v>1335</v>
      </c>
      <c r="J578" s="129">
        <f t="shared" si="57"/>
        <v>445</v>
      </c>
      <c r="K578" s="130">
        <f t="shared" si="55"/>
        <v>4</v>
      </c>
      <c r="L578" s="154">
        <f>71921.5+55489+28896+23842.5+13474.5+19552.5+14027+10409+7091.5+1088.5+1046+1608+982+3368+433+2156+3870+2362+588+3564+2376+1424+1780+1424+1512+1188+952+952+952+6292+5340</f>
        <v>289961</v>
      </c>
      <c r="M578" s="153">
        <f>9131+7791+4520+4728+2735+3857+3026+2110+1463+203+226+324+239+809+81+469+941+537+95+891+594+356+445+356+378+297+238+238+238+1573+1335</f>
        <v>50224</v>
      </c>
      <c r="N578" s="133">
        <f t="shared" si="58"/>
        <v>5.773355367951577</v>
      </c>
      <c r="O578" s="108"/>
      <c r="P578" s="334"/>
      <c r="Q578" s="83"/>
      <c r="R578" s="83"/>
      <c r="S578" s="83"/>
      <c r="T578" s="83"/>
    </row>
    <row r="579" spans="1:20" ht="12" customHeight="1">
      <c r="A579" s="290">
        <v>575</v>
      </c>
      <c r="B579" s="182" t="s">
        <v>214</v>
      </c>
      <c r="C579" s="139">
        <v>39920</v>
      </c>
      <c r="D579" s="145" t="s">
        <v>326</v>
      </c>
      <c r="E579" s="156">
        <v>43</v>
      </c>
      <c r="F579" s="156">
        <v>2</v>
      </c>
      <c r="G579" s="156">
        <v>33</v>
      </c>
      <c r="H579" s="157">
        <v>3532</v>
      </c>
      <c r="I579" s="158">
        <v>883</v>
      </c>
      <c r="J579" s="129">
        <f t="shared" si="57"/>
        <v>441.5</v>
      </c>
      <c r="K579" s="130">
        <f t="shared" si="55"/>
        <v>4</v>
      </c>
      <c r="L579" s="154">
        <f>71921.5+55489+28896+23842.5+13474.5+19552.5+14027+10409+7091.5+1088.5+1046+1608+982+3368+433+2156+3870+2362+588+3564+2376+1424+1780+1424+1512+1188+952+952+952+6292+5340+1512+3532</f>
        <v>295005</v>
      </c>
      <c r="M579" s="153">
        <f>9131+7791+4520+4728+2735+3857+3026+2110+1463+203+226+324+239+809+81+469+941+537+95+891+594+356+445+356+378+297+238+238+238+1573+1335+378+883</f>
        <v>51485</v>
      </c>
      <c r="N579" s="133">
        <f t="shared" si="58"/>
        <v>5.729921336311547</v>
      </c>
      <c r="O579" s="149"/>
      <c r="P579" s="334"/>
      <c r="Q579" s="83"/>
      <c r="R579" s="83"/>
      <c r="S579" s="83"/>
      <c r="T579" s="83"/>
    </row>
    <row r="580" spans="1:20" ht="12" customHeight="1">
      <c r="A580" s="290">
        <v>576</v>
      </c>
      <c r="B580" s="123" t="s">
        <v>214</v>
      </c>
      <c r="C580" s="139">
        <v>39920</v>
      </c>
      <c r="D580" s="145" t="s">
        <v>326</v>
      </c>
      <c r="E580" s="156">
        <v>43</v>
      </c>
      <c r="F580" s="156">
        <v>1</v>
      </c>
      <c r="G580" s="156">
        <v>34</v>
      </c>
      <c r="H580" s="157">
        <v>1780</v>
      </c>
      <c r="I580" s="158">
        <v>445</v>
      </c>
      <c r="J580" s="129">
        <f t="shared" si="57"/>
        <v>445</v>
      </c>
      <c r="K580" s="130">
        <f t="shared" si="55"/>
        <v>4</v>
      </c>
      <c r="L580" s="154">
        <f>71921.5+55489+28896+23842.5+13474.5+19552.5+14027+10409+7091.5+1088.5+1046+1608+982+3368+433+2156+3870+2362+588+3564+2376+1424+1780+1424+1512+1188+952+952+952+6292+5340+1512+3532+1780</f>
        <v>296785</v>
      </c>
      <c r="M580" s="153">
        <f>9131+7791+4520+4728+2735+3857+3026+2110+1463+203+226+324+239+809+81+469+941+537+95+891+594+356+445+356+378+297+238+238+238+1573+1335+378+883+445</f>
        <v>51930</v>
      </c>
      <c r="N580" s="133">
        <f t="shared" si="58"/>
        <v>5.7150972462930865</v>
      </c>
      <c r="O580" s="109"/>
      <c r="P580" s="334"/>
      <c r="Q580" s="83"/>
      <c r="R580" s="83"/>
      <c r="S580" s="83"/>
      <c r="T580" s="83"/>
    </row>
    <row r="581" spans="1:20" ht="12" customHeight="1">
      <c r="A581" s="290">
        <v>577</v>
      </c>
      <c r="B581" s="123" t="s">
        <v>214</v>
      </c>
      <c r="C581" s="124">
        <v>39920</v>
      </c>
      <c r="D581" s="145" t="s">
        <v>326</v>
      </c>
      <c r="E581" s="126">
        <v>43</v>
      </c>
      <c r="F581" s="126">
        <v>1</v>
      </c>
      <c r="G581" s="126">
        <v>32</v>
      </c>
      <c r="H581" s="127">
        <v>1512</v>
      </c>
      <c r="I581" s="128">
        <v>378</v>
      </c>
      <c r="J581" s="129">
        <f t="shared" si="57"/>
        <v>378</v>
      </c>
      <c r="K581" s="130">
        <f t="shared" si="55"/>
        <v>4</v>
      </c>
      <c r="L581" s="131">
        <f>71921.5+55489+28896+23842.5+13474.5+19552.5+14027+10409+7091.5+1088.5+1046+1608+982+3368+433+2156+3870+2362+588+3564+2376+1424+1780+1424+1512+1188+952+952+952+6292+5340+1512</f>
        <v>291473</v>
      </c>
      <c r="M581" s="132">
        <f>9131+7791+4520+4728+2735+3857+3026+2110+1463+203+226+324+239+809+81+469+941+537+95+891+594+356+445+356+378+297+238+238+238+1573+1335+378</f>
        <v>50602</v>
      </c>
      <c r="N581" s="133">
        <f t="shared" si="58"/>
        <v>5.760108296114778</v>
      </c>
      <c r="O581" s="149"/>
      <c r="P581" s="334"/>
      <c r="Q581" s="83"/>
      <c r="R581" s="83"/>
      <c r="S581" s="83"/>
      <c r="T581" s="83"/>
    </row>
    <row r="582" spans="1:20" ht="12" customHeight="1">
      <c r="A582" s="290">
        <v>578</v>
      </c>
      <c r="B582" s="151" t="s">
        <v>214</v>
      </c>
      <c r="C582" s="139">
        <v>39920</v>
      </c>
      <c r="D582" s="145" t="s">
        <v>326</v>
      </c>
      <c r="E582" s="146">
        <v>43</v>
      </c>
      <c r="F582" s="146">
        <v>1</v>
      </c>
      <c r="G582" s="146">
        <v>26</v>
      </c>
      <c r="H582" s="127">
        <v>1188</v>
      </c>
      <c r="I582" s="135">
        <v>297</v>
      </c>
      <c r="J582" s="129">
        <f t="shared" si="57"/>
        <v>297</v>
      </c>
      <c r="K582" s="130">
        <f t="shared" si="55"/>
        <v>4</v>
      </c>
      <c r="L582" s="131">
        <f>71921.5+55489+28896+23842.5+13474.5+19552.5+14027+10409+7091.5+1088.5+1046+1608+982+3368+433+2156+3870+2362+588+3564+2376+1424+1780+1424+1512+1188</f>
        <v>275473</v>
      </c>
      <c r="M582" s="136">
        <f>9131+7791+4520+4728+2735+3857+3026+2110+1463+203+226+324+239+809+81+469+941+537+95+891+594+356+445+356+378+297</f>
        <v>46602</v>
      </c>
      <c r="N582" s="133">
        <f t="shared" si="58"/>
        <v>5.911184069353246</v>
      </c>
      <c r="O582" s="149"/>
      <c r="P582" s="334"/>
      <c r="Q582" s="83"/>
      <c r="R582" s="83"/>
      <c r="S582" s="83"/>
      <c r="T582" s="83"/>
    </row>
    <row r="583" spans="1:20" ht="12" customHeight="1">
      <c r="A583" s="290">
        <v>579</v>
      </c>
      <c r="B583" s="151" t="s">
        <v>214</v>
      </c>
      <c r="C583" s="139">
        <v>39920</v>
      </c>
      <c r="D583" s="145" t="s">
        <v>326</v>
      </c>
      <c r="E583" s="146">
        <v>43</v>
      </c>
      <c r="F583" s="146">
        <v>1</v>
      </c>
      <c r="G583" s="146">
        <v>27</v>
      </c>
      <c r="H583" s="141">
        <v>952</v>
      </c>
      <c r="I583" s="142">
        <v>238</v>
      </c>
      <c r="J583" s="129">
        <f t="shared" si="57"/>
        <v>238</v>
      </c>
      <c r="K583" s="130">
        <f t="shared" si="55"/>
        <v>4</v>
      </c>
      <c r="L583" s="144">
        <f>71921.5+55489+28896+23842.5+13474.5+19552.5+14027+10409+7091.5+1088.5+1046+1608+982+3368+433+2156+3870+2362+588+3564+2376+1424+1780+1424+1512+1188+952</f>
        <v>276425</v>
      </c>
      <c r="M583" s="143">
        <f>9131+7791+4520+4728+2735+3857+3026+2110+1463+203+226+324+239+809+81+469+941+537+95+891+594+356+445+356+378+297+238</f>
        <v>46840</v>
      </c>
      <c r="N583" s="133">
        <f t="shared" si="58"/>
        <v>5.901473099914603</v>
      </c>
      <c r="O583" s="149"/>
      <c r="P583" s="334"/>
      <c r="Q583" s="83"/>
      <c r="R583" s="83"/>
      <c r="S583" s="83"/>
      <c r="T583" s="83"/>
    </row>
    <row r="584" spans="1:20" ht="12" customHeight="1">
      <c r="A584" s="290">
        <v>580</v>
      </c>
      <c r="B584" s="151" t="s">
        <v>214</v>
      </c>
      <c r="C584" s="139">
        <v>39920</v>
      </c>
      <c r="D584" s="145" t="s">
        <v>326</v>
      </c>
      <c r="E584" s="146">
        <v>43</v>
      </c>
      <c r="F584" s="146">
        <v>1</v>
      </c>
      <c r="G584" s="146">
        <v>28</v>
      </c>
      <c r="H584" s="150">
        <v>952</v>
      </c>
      <c r="I584" s="152">
        <v>238</v>
      </c>
      <c r="J584" s="129">
        <f t="shared" si="57"/>
        <v>238</v>
      </c>
      <c r="K584" s="130">
        <f t="shared" si="55"/>
        <v>4</v>
      </c>
      <c r="L584" s="154">
        <f>71921.5+55489+28896+23842.5+13474.5+19552.5+14027+10409+7091.5+1088.5+1046+1608+982+3368+433+2156+3870+2362+588+3564+2376+1424+1780+1424+1512+1188+952+952</f>
        <v>277377</v>
      </c>
      <c r="M584" s="153">
        <f>9131+7791+4520+4728+2735+3857+3026+2110+1463+203+226+324+239+809+81+469+941+537+95+891+594+356+445+356+378+297+238+238</f>
        <v>47078</v>
      </c>
      <c r="N584" s="133">
        <f t="shared" si="58"/>
        <v>5.891860316920854</v>
      </c>
      <c r="O584" s="149">
        <v>1</v>
      </c>
      <c r="P584" s="334"/>
      <c r="Q584" s="83"/>
      <c r="R584" s="83"/>
      <c r="S584" s="83"/>
      <c r="T584" s="83"/>
    </row>
    <row r="585" spans="1:20" ht="12" customHeight="1">
      <c r="A585" s="290">
        <v>581</v>
      </c>
      <c r="B585" s="151" t="s">
        <v>214</v>
      </c>
      <c r="C585" s="139">
        <v>39920</v>
      </c>
      <c r="D585" s="145" t="s">
        <v>326</v>
      </c>
      <c r="E585" s="146">
        <v>43</v>
      </c>
      <c r="F585" s="146">
        <v>1</v>
      </c>
      <c r="G585" s="146">
        <v>29</v>
      </c>
      <c r="H585" s="150">
        <v>952</v>
      </c>
      <c r="I585" s="152">
        <v>238</v>
      </c>
      <c r="J585" s="129">
        <f t="shared" si="57"/>
        <v>238</v>
      </c>
      <c r="K585" s="130">
        <f t="shared" si="55"/>
        <v>4</v>
      </c>
      <c r="L585" s="154">
        <f>71921.5+55489+28896+23842.5+13474.5+19552.5+14027+10409+7091.5+1088.5+1046+1608+982+3368+433+2156+3870+2362+588+3564+2376+1424+1780+1424+1512+1188+952+952+952</f>
        <v>278329</v>
      </c>
      <c r="M585" s="153">
        <f>9131+7791+4520+4728+2735+3857+3026+2110+1463+203+226+324+239+809+81+469+941+537+95+891+594+356+445+356+378+297+238+238+238</f>
        <v>47316</v>
      </c>
      <c r="N585" s="133">
        <f t="shared" si="58"/>
        <v>5.882344238735311</v>
      </c>
      <c r="O585" s="149">
        <v>1</v>
      </c>
      <c r="P585" s="334"/>
      <c r="Q585" s="83"/>
      <c r="R585" s="83"/>
      <c r="S585" s="83"/>
      <c r="T585" s="83"/>
    </row>
    <row r="586" spans="1:20" ht="12" customHeight="1">
      <c r="A586" s="290">
        <v>582</v>
      </c>
      <c r="B586" s="151" t="s">
        <v>429</v>
      </c>
      <c r="C586" s="139">
        <v>39955</v>
      </c>
      <c r="D586" s="145" t="s">
        <v>326</v>
      </c>
      <c r="E586" s="146">
        <v>49</v>
      </c>
      <c r="F586" s="146">
        <v>1</v>
      </c>
      <c r="G586" s="146">
        <v>20</v>
      </c>
      <c r="H586" s="150">
        <v>1780</v>
      </c>
      <c r="I586" s="152">
        <v>445</v>
      </c>
      <c r="J586" s="129">
        <f t="shared" si="57"/>
        <v>445</v>
      </c>
      <c r="K586" s="130">
        <f t="shared" si="55"/>
        <v>4</v>
      </c>
      <c r="L586" s="154">
        <f>156835.75+123241.75+64169.25+38530+14718+8349.5+5553+9905+6647+2168.5+2346+2372+3658.5+879+4291.5+2227+3697.5+1188+476+1780</f>
        <v>453033.25</v>
      </c>
      <c r="M586" s="153">
        <f>15124+12366+7559+6566+2380+1342+923+1526+1461+575+437+426+642+167+566+379+627+297+119+445</f>
        <v>53927</v>
      </c>
      <c r="N586" s="133">
        <f t="shared" si="58"/>
        <v>8.40086134960224</v>
      </c>
      <c r="O586" s="149">
        <v>1</v>
      </c>
      <c r="P586" s="334"/>
      <c r="Q586" s="83"/>
      <c r="R586" s="83"/>
      <c r="S586" s="83"/>
      <c r="T586" s="83"/>
    </row>
    <row r="587" spans="1:20" ht="12" customHeight="1">
      <c r="A587" s="290">
        <v>583</v>
      </c>
      <c r="B587" s="151" t="s">
        <v>429</v>
      </c>
      <c r="C587" s="139">
        <v>39955</v>
      </c>
      <c r="D587" s="145" t="s">
        <v>326</v>
      </c>
      <c r="E587" s="146">
        <v>49</v>
      </c>
      <c r="F587" s="146">
        <v>1</v>
      </c>
      <c r="G587" s="146">
        <v>21</v>
      </c>
      <c r="H587" s="150">
        <v>1780</v>
      </c>
      <c r="I587" s="152">
        <v>445</v>
      </c>
      <c r="J587" s="129">
        <f t="shared" si="57"/>
        <v>445</v>
      </c>
      <c r="K587" s="130">
        <f t="shared" si="55"/>
        <v>4</v>
      </c>
      <c r="L587" s="154">
        <f>156835.75+123241.75+64169.25+38530+14718+8349.5+5553+9905+6647+2168.5+2346+2372+3658.5+879+4291.5+2227+3697.5+1188+476+1780+1780</f>
        <v>454813.25</v>
      </c>
      <c r="M587" s="153">
        <f>15124+12366+7559+6566+2380+1342+923+1526+1461+575+437+426+642+167+566+379+627+297+119+445+445</f>
        <v>54372</v>
      </c>
      <c r="N587" s="133">
        <f t="shared" si="58"/>
        <v>8.364843117781211</v>
      </c>
      <c r="O587" s="159">
        <v>1</v>
      </c>
      <c r="P587" s="334"/>
      <c r="Q587" s="83"/>
      <c r="R587" s="83"/>
      <c r="S587" s="83"/>
      <c r="T587" s="83"/>
    </row>
    <row r="588" spans="1:20" ht="12" customHeight="1">
      <c r="A588" s="290">
        <v>584</v>
      </c>
      <c r="B588" s="123" t="s">
        <v>135</v>
      </c>
      <c r="C588" s="139">
        <v>40102</v>
      </c>
      <c r="D588" s="125" t="s">
        <v>449</v>
      </c>
      <c r="E588" s="146">
        <v>319</v>
      </c>
      <c r="F588" s="146">
        <v>6</v>
      </c>
      <c r="G588" s="146">
        <v>31</v>
      </c>
      <c r="H588" s="141">
        <v>816</v>
      </c>
      <c r="I588" s="142">
        <v>135</v>
      </c>
      <c r="J588" s="129">
        <f t="shared" si="57"/>
        <v>22.5</v>
      </c>
      <c r="K588" s="130">
        <f t="shared" si="55"/>
        <v>6.044444444444444</v>
      </c>
      <c r="L588" s="144">
        <v>19805408.25</v>
      </c>
      <c r="M588" s="143">
        <v>2434577</v>
      </c>
      <c r="N588" s="133">
        <f t="shared" si="58"/>
        <v>8.135051078688413</v>
      </c>
      <c r="O588" s="185">
        <v>1</v>
      </c>
      <c r="P588" s="334"/>
      <c r="Q588" s="83"/>
      <c r="R588" s="83"/>
      <c r="S588" s="83"/>
      <c r="T588" s="83"/>
    </row>
    <row r="589" spans="1:20" ht="12" customHeight="1">
      <c r="A589" s="290">
        <v>585</v>
      </c>
      <c r="B589" s="123" t="s">
        <v>119</v>
      </c>
      <c r="C589" s="124">
        <v>40102</v>
      </c>
      <c r="D589" s="125" t="s">
        <v>449</v>
      </c>
      <c r="E589" s="126">
        <v>319</v>
      </c>
      <c r="F589" s="126">
        <v>106</v>
      </c>
      <c r="G589" s="126">
        <v>29</v>
      </c>
      <c r="H589" s="127">
        <v>22215.5</v>
      </c>
      <c r="I589" s="128">
        <v>3162</v>
      </c>
      <c r="J589" s="129">
        <f t="shared" si="57"/>
        <v>29.830188679245282</v>
      </c>
      <c r="K589" s="130">
        <f t="shared" si="55"/>
        <v>7.025774826059456</v>
      </c>
      <c r="L589" s="131">
        <v>19797779.25</v>
      </c>
      <c r="M589" s="132">
        <v>2433151</v>
      </c>
      <c r="N589" s="133">
        <f t="shared" si="58"/>
        <v>8.136683358328357</v>
      </c>
      <c r="O589" s="108">
        <v>1</v>
      </c>
      <c r="P589" s="334"/>
      <c r="Q589" s="83"/>
      <c r="R589" s="83"/>
      <c r="S589" s="83"/>
      <c r="T589" s="83"/>
    </row>
    <row r="590" spans="1:20" ht="12" customHeight="1">
      <c r="A590" s="290">
        <v>586</v>
      </c>
      <c r="B590" s="123" t="s">
        <v>119</v>
      </c>
      <c r="C590" s="171">
        <v>40102</v>
      </c>
      <c r="D590" s="190" t="s">
        <v>423</v>
      </c>
      <c r="E590" s="156">
        <v>319</v>
      </c>
      <c r="F590" s="156">
        <v>3</v>
      </c>
      <c r="G590" s="156">
        <v>22</v>
      </c>
      <c r="H590" s="157">
        <v>12872</v>
      </c>
      <c r="I590" s="158">
        <v>2574</v>
      </c>
      <c r="J590" s="129">
        <f t="shared" si="57"/>
        <v>858</v>
      </c>
      <c r="K590" s="130">
        <f t="shared" si="55"/>
        <v>5.000777000777001</v>
      </c>
      <c r="L590" s="154">
        <v>19767007.75</v>
      </c>
      <c r="M590" s="153">
        <v>2428120</v>
      </c>
      <c r="N590" s="133">
        <f t="shared" si="58"/>
        <v>8.140869376307595</v>
      </c>
      <c r="O590" s="148">
        <v>1</v>
      </c>
      <c r="P590" s="334"/>
      <c r="Q590" s="83"/>
      <c r="R590" s="83"/>
      <c r="S590" s="83"/>
      <c r="T590" s="83"/>
    </row>
    <row r="591" spans="1:20" ht="12" customHeight="1">
      <c r="A591" s="290">
        <v>587</v>
      </c>
      <c r="B591" s="123" t="s">
        <v>119</v>
      </c>
      <c r="C591" s="124">
        <v>40102</v>
      </c>
      <c r="D591" s="125" t="s">
        <v>449</v>
      </c>
      <c r="E591" s="126">
        <v>319</v>
      </c>
      <c r="F591" s="126">
        <v>18</v>
      </c>
      <c r="G591" s="126">
        <v>30</v>
      </c>
      <c r="H591" s="137">
        <v>6813</v>
      </c>
      <c r="I591" s="135">
        <v>1291</v>
      </c>
      <c r="J591" s="129">
        <f t="shared" si="57"/>
        <v>71.72222222222223</v>
      </c>
      <c r="K591" s="130">
        <f t="shared" si="55"/>
        <v>5.277304415182029</v>
      </c>
      <c r="L591" s="138">
        <v>19804592.25</v>
      </c>
      <c r="M591" s="136">
        <v>2434442</v>
      </c>
      <c r="N591" s="133">
        <f t="shared" si="58"/>
        <v>8.135167011578012</v>
      </c>
      <c r="O591" s="110">
        <v>1</v>
      </c>
      <c r="P591" s="334"/>
      <c r="Q591" s="83"/>
      <c r="R591" s="83"/>
      <c r="S591" s="83"/>
      <c r="T591" s="83"/>
    </row>
    <row r="592" spans="1:20" ht="12" customHeight="1">
      <c r="A592" s="290">
        <v>588</v>
      </c>
      <c r="B592" s="123" t="s">
        <v>119</v>
      </c>
      <c r="C592" s="124">
        <v>40102</v>
      </c>
      <c r="D592" s="134" t="s">
        <v>423</v>
      </c>
      <c r="E592" s="126">
        <v>319</v>
      </c>
      <c r="F592" s="126">
        <v>13</v>
      </c>
      <c r="G592" s="126">
        <v>12</v>
      </c>
      <c r="H592" s="162">
        <v>6659</v>
      </c>
      <c r="I592" s="165">
        <v>990</v>
      </c>
      <c r="J592" s="129">
        <f t="shared" si="57"/>
        <v>76.15384615384616</v>
      </c>
      <c r="K592" s="130">
        <f t="shared" si="55"/>
        <v>6.726262626262626</v>
      </c>
      <c r="L592" s="164">
        <v>19727039.25</v>
      </c>
      <c r="M592" s="153">
        <v>2420126</v>
      </c>
      <c r="N592" s="133">
        <f t="shared" si="58"/>
        <v>8.151244707920165</v>
      </c>
      <c r="O592" s="149">
        <v>1</v>
      </c>
      <c r="P592" s="334"/>
      <c r="Q592" s="83"/>
      <c r="R592" s="83"/>
      <c r="S592" s="83"/>
      <c r="T592" s="83"/>
    </row>
    <row r="593" spans="1:20" ht="12" customHeight="1">
      <c r="A593" s="290">
        <v>589</v>
      </c>
      <c r="B593" s="123" t="s">
        <v>119</v>
      </c>
      <c r="C593" s="139">
        <v>40102</v>
      </c>
      <c r="D593" s="155" t="s">
        <v>423</v>
      </c>
      <c r="E593" s="146">
        <v>319</v>
      </c>
      <c r="F593" s="146">
        <v>3</v>
      </c>
      <c r="G593" s="146">
        <v>19</v>
      </c>
      <c r="H593" s="150">
        <v>5750</v>
      </c>
      <c r="I593" s="152">
        <v>1314</v>
      </c>
      <c r="J593" s="129">
        <f t="shared" si="57"/>
        <v>438</v>
      </c>
      <c r="K593" s="130">
        <f t="shared" si="55"/>
        <v>4.375951293759513</v>
      </c>
      <c r="L593" s="154">
        <v>19749823.75</v>
      </c>
      <c r="M593" s="153">
        <v>2424683</v>
      </c>
      <c r="N593" s="133">
        <f t="shared" si="58"/>
        <v>8.145321986420493</v>
      </c>
      <c r="O593" s="148">
        <v>1</v>
      </c>
      <c r="P593" s="334"/>
      <c r="Q593" s="83"/>
      <c r="R593" s="83"/>
      <c r="S593" s="83"/>
      <c r="T593" s="83"/>
    </row>
    <row r="594" spans="1:20" ht="12" customHeight="1">
      <c r="A594" s="290">
        <v>590</v>
      </c>
      <c r="B594" s="123" t="s">
        <v>119</v>
      </c>
      <c r="C594" s="139">
        <v>40102</v>
      </c>
      <c r="D594" s="125" t="s">
        <v>449</v>
      </c>
      <c r="E594" s="146">
        <v>319</v>
      </c>
      <c r="F594" s="146">
        <v>4</v>
      </c>
      <c r="G594" s="146">
        <v>32</v>
      </c>
      <c r="H594" s="150">
        <v>5115</v>
      </c>
      <c r="I594" s="152">
        <v>1014</v>
      </c>
      <c r="J594" s="129">
        <f t="shared" si="57"/>
        <v>253.5</v>
      </c>
      <c r="K594" s="130">
        <f t="shared" si="55"/>
        <v>5.044378698224852</v>
      </c>
      <c r="L594" s="154">
        <v>19810523.25</v>
      </c>
      <c r="M594" s="153">
        <v>2435591</v>
      </c>
      <c r="N594" s="133">
        <f t="shared" si="58"/>
        <v>8.133764351239597</v>
      </c>
      <c r="O594" s="108">
        <v>1</v>
      </c>
      <c r="P594" s="334"/>
      <c r="Q594" s="83"/>
      <c r="R594" s="83"/>
      <c r="S594" s="83"/>
      <c r="T594" s="83"/>
    </row>
    <row r="595" spans="1:20" ht="12" customHeight="1">
      <c r="A595" s="290">
        <v>591</v>
      </c>
      <c r="B595" s="123" t="s">
        <v>119</v>
      </c>
      <c r="C595" s="139">
        <v>40102</v>
      </c>
      <c r="D595" s="140" t="s">
        <v>423</v>
      </c>
      <c r="E595" s="146">
        <v>319</v>
      </c>
      <c r="F595" s="146">
        <v>4</v>
      </c>
      <c r="G595" s="146">
        <v>15</v>
      </c>
      <c r="H595" s="137">
        <v>5067</v>
      </c>
      <c r="I595" s="135">
        <v>1028</v>
      </c>
      <c r="J595" s="129">
        <f t="shared" si="57"/>
        <v>257</v>
      </c>
      <c r="K595" s="130">
        <f t="shared" si="55"/>
        <v>4.928988326848249</v>
      </c>
      <c r="L595" s="138">
        <v>19737820.25</v>
      </c>
      <c r="M595" s="136">
        <v>2422173</v>
      </c>
      <c r="N595" s="133">
        <f t="shared" si="58"/>
        <v>8.148806980343684</v>
      </c>
      <c r="O595" s="148">
        <v>1</v>
      </c>
      <c r="P595" s="334"/>
      <c r="Q595" s="83"/>
      <c r="R595" s="83"/>
      <c r="S595" s="83"/>
      <c r="T595" s="83"/>
    </row>
    <row r="596" spans="1:20" ht="12" customHeight="1">
      <c r="A596" s="290">
        <v>592</v>
      </c>
      <c r="B596" s="123" t="s">
        <v>119</v>
      </c>
      <c r="C596" s="124">
        <v>40102</v>
      </c>
      <c r="D596" s="155" t="s">
        <v>423</v>
      </c>
      <c r="E596" s="126">
        <v>319</v>
      </c>
      <c r="F596" s="126">
        <v>6</v>
      </c>
      <c r="G596" s="126">
        <v>14</v>
      </c>
      <c r="H596" s="162">
        <v>3814</v>
      </c>
      <c r="I596" s="163">
        <v>755</v>
      </c>
      <c r="J596" s="129">
        <f t="shared" si="57"/>
        <v>125.83333333333333</v>
      </c>
      <c r="K596" s="130">
        <f t="shared" si="55"/>
        <v>5.051655629139073</v>
      </c>
      <c r="L596" s="164">
        <v>19732753.25</v>
      </c>
      <c r="M596" s="143">
        <v>2421145</v>
      </c>
      <c r="N596" s="133">
        <f t="shared" si="58"/>
        <v>8.15017409118413</v>
      </c>
      <c r="O596" s="110">
        <v>1</v>
      </c>
      <c r="P596" s="334"/>
      <c r="Q596" s="83"/>
      <c r="R596" s="83"/>
      <c r="S596" s="83"/>
      <c r="T596" s="83"/>
    </row>
    <row r="597" spans="1:20" ht="12" customHeight="1">
      <c r="A597" s="290">
        <v>593</v>
      </c>
      <c r="B597" s="123" t="s">
        <v>119</v>
      </c>
      <c r="C597" s="171">
        <v>40102</v>
      </c>
      <c r="D597" s="190" t="s">
        <v>423</v>
      </c>
      <c r="E597" s="156">
        <v>319</v>
      </c>
      <c r="F597" s="156">
        <v>1</v>
      </c>
      <c r="G597" s="156">
        <v>21</v>
      </c>
      <c r="H597" s="157">
        <v>3564</v>
      </c>
      <c r="I597" s="158">
        <v>713</v>
      </c>
      <c r="J597" s="129">
        <f t="shared" si="57"/>
        <v>713</v>
      </c>
      <c r="K597" s="130">
        <f t="shared" si="55"/>
        <v>4.998597475455821</v>
      </c>
      <c r="L597" s="154">
        <v>19754135.75</v>
      </c>
      <c r="M597" s="153">
        <v>2425546</v>
      </c>
      <c r="N597" s="133">
        <f t="shared" si="58"/>
        <v>8.144201656039506</v>
      </c>
      <c r="O597" s="149">
        <v>1</v>
      </c>
      <c r="P597" s="334"/>
      <c r="Q597" s="83"/>
      <c r="R597" s="83"/>
      <c r="S597" s="83"/>
      <c r="T597" s="83"/>
    </row>
    <row r="598" spans="1:20" ht="12" customHeight="1">
      <c r="A598" s="290">
        <v>594</v>
      </c>
      <c r="B598" s="123" t="s">
        <v>119</v>
      </c>
      <c r="C598" s="139">
        <v>40102</v>
      </c>
      <c r="D598" s="155" t="s">
        <v>423</v>
      </c>
      <c r="E598" s="146">
        <v>319</v>
      </c>
      <c r="F598" s="146">
        <v>3</v>
      </c>
      <c r="G598" s="146">
        <v>17</v>
      </c>
      <c r="H598" s="141">
        <v>3454.5</v>
      </c>
      <c r="I598" s="142">
        <v>766</v>
      </c>
      <c r="J598" s="129">
        <f t="shared" si="57"/>
        <v>255.33333333333334</v>
      </c>
      <c r="K598" s="130">
        <f t="shared" si="55"/>
        <v>4.509791122715405</v>
      </c>
      <c r="L598" s="144">
        <v>19743933.75</v>
      </c>
      <c r="M598" s="143">
        <v>2423355</v>
      </c>
      <c r="N598" s="133">
        <f t="shared" si="58"/>
        <v>8.147355113056074</v>
      </c>
      <c r="O598" s="109"/>
      <c r="P598" s="334"/>
      <c r="Q598" s="83"/>
      <c r="R598" s="83"/>
      <c r="S598" s="83"/>
      <c r="T598" s="83"/>
    </row>
    <row r="599" spans="1:20" ht="12" customHeight="1">
      <c r="A599" s="290">
        <v>595</v>
      </c>
      <c r="B599" s="123" t="s">
        <v>119</v>
      </c>
      <c r="C599" s="139">
        <v>40102</v>
      </c>
      <c r="D599" s="155" t="s">
        <v>423</v>
      </c>
      <c r="E599" s="146">
        <v>319</v>
      </c>
      <c r="F599" s="146">
        <v>2</v>
      </c>
      <c r="G599" s="146">
        <v>16</v>
      </c>
      <c r="H599" s="141">
        <v>2659</v>
      </c>
      <c r="I599" s="142">
        <v>416</v>
      </c>
      <c r="J599" s="129">
        <f t="shared" si="57"/>
        <v>208</v>
      </c>
      <c r="K599" s="130">
        <f t="shared" si="55"/>
        <v>6.391826923076923</v>
      </c>
      <c r="L599" s="144">
        <v>19740479.25</v>
      </c>
      <c r="M599" s="143">
        <v>2422589</v>
      </c>
      <c r="N599" s="133">
        <f t="shared" si="58"/>
        <v>8.14850527679272</v>
      </c>
      <c r="O599" s="149"/>
      <c r="P599" s="334"/>
      <c r="Q599" s="83"/>
      <c r="R599" s="83"/>
      <c r="S599" s="83"/>
      <c r="T599" s="83"/>
    </row>
    <row r="600" spans="1:20" ht="12" customHeight="1">
      <c r="A600" s="290">
        <v>596</v>
      </c>
      <c r="B600" s="123" t="s">
        <v>119</v>
      </c>
      <c r="C600" s="139">
        <v>40102</v>
      </c>
      <c r="D600" s="125" t="s">
        <v>449</v>
      </c>
      <c r="E600" s="146">
        <v>319</v>
      </c>
      <c r="F600" s="146">
        <v>1</v>
      </c>
      <c r="G600" s="146">
        <v>36</v>
      </c>
      <c r="H600" s="141">
        <v>2376</v>
      </c>
      <c r="I600" s="142">
        <v>475</v>
      </c>
      <c r="J600" s="129">
        <f t="shared" si="57"/>
        <v>475</v>
      </c>
      <c r="K600" s="130">
        <f t="shared" si="55"/>
        <v>5.002105263157895</v>
      </c>
      <c r="L600" s="144">
        <v>19814046.25</v>
      </c>
      <c r="M600" s="143">
        <v>2436288</v>
      </c>
      <c r="N600" s="133">
        <f t="shared" si="58"/>
        <v>8.13288340705204</v>
      </c>
      <c r="O600" s="108">
        <v>1</v>
      </c>
      <c r="P600" s="334"/>
      <c r="Q600" s="83"/>
      <c r="R600" s="83"/>
      <c r="S600" s="83"/>
      <c r="T600" s="83"/>
    </row>
    <row r="601" spans="1:20" ht="12" customHeight="1">
      <c r="A601" s="290">
        <v>597</v>
      </c>
      <c r="B601" s="123" t="s">
        <v>119</v>
      </c>
      <c r="C601" s="139">
        <v>40102</v>
      </c>
      <c r="D601" s="190" t="s">
        <v>423</v>
      </c>
      <c r="E601" s="156">
        <v>319</v>
      </c>
      <c r="F601" s="156">
        <v>1</v>
      </c>
      <c r="G601" s="156">
        <v>25</v>
      </c>
      <c r="H601" s="157">
        <v>2376</v>
      </c>
      <c r="I601" s="158">
        <v>475</v>
      </c>
      <c r="J601" s="129">
        <f t="shared" si="57"/>
        <v>475</v>
      </c>
      <c r="K601" s="130">
        <f t="shared" si="55"/>
        <v>5.002105263157895</v>
      </c>
      <c r="L601" s="154">
        <v>19769623.75</v>
      </c>
      <c r="M601" s="153">
        <v>2428643</v>
      </c>
      <c r="N601" s="133">
        <f t="shared" si="58"/>
        <v>8.140193412535313</v>
      </c>
      <c r="O601" s="355">
        <v>1</v>
      </c>
      <c r="P601" s="334"/>
      <c r="Q601" s="83"/>
      <c r="R601" s="83"/>
      <c r="S601" s="83"/>
      <c r="T601" s="83"/>
    </row>
    <row r="602" spans="1:20" ht="12" customHeight="1">
      <c r="A602" s="290">
        <v>598</v>
      </c>
      <c r="B602" s="123" t="s">
        <v>119</v>
      </c>
      <c r="C602" s="139">
        <v>40102</v>
      </c>
      <c r="D602" s="190" t="s">
        <v>423</v>
      </c>
      <c r="E602" s="156">
        <v>319</v>
      </c>
      <c r="F602" s="156">
        <v>1</v>
      </c>
      <c r="G602" s="156">
        <v>27</v>
      </c>
      <c r="H602" s="157">
        <v>2376</v>
      </c>
      <c r="I602" s="184">
        <v>475</v>
      </c>
      <c r="J602" s="129">
        <f aca="true" t="shared" si="59" ref="J602:J626">I602/F602</f>
        <v>475</v>
      </c>
      <c r="K602" s="130">
        <f aca="true" t="shared" si="60" ref="K602:K665">H602/I602</f>
        <v>5.002105263157895</v>
      </c>
      <c r="L602" s="144">
        <v>19773187.75</v>
      </c>
      <c r="M602" s="143">
        <v>2429514</v>
      </c>
      <c r="N602" s="133">
        <f aca="true" t="shared" si="61" ref="N602:N626">+L602/M602</f>
        <v>8.138742048821287</v>
      </c>
      <c r="O602" s="149">
        <v>1</v>
      </c>
      <c r="P602" s="334"/>
      <c r="Q602" s="83"/>
      <c r="R602" s="83"/>
      <c r="S602" s="83"/>
      <c r="T602" s="83"/>
    </row>
    <row r="603" spans="1:20" ht="12" customHeight="1">
      <c r="A603" s="290">
        <v>599</v>
      </c>
      <c r="B603" s="123" t="s">
        <v>119</v>
      </c>
      <c r="C603" s="124">
        <v>40102</v>
      </c>
      <c r="D603" s="125" t="s">
        <v>423</v>
      </c>
      <c r="E603" s="126">
        <v>319</v>
      </c>
      <c r="F603" s="126">
        <v>1</v>
      </c>
      <c r="G603" s="126">
        <v>28</v>
      </c>
      <c r="H603" s="127">
        <v>2376</v>
      </c>
      <c r="I603" s="128">
        <v>475</v>
      </c>
      <c r="J603" s="129">
        <f t="shared" si="59"/>
        <v>475</v>
      </c>
      <c r="K603" s="130">
        <f t="shared" si="60"/>
        <v>5.002105263157895</v>
      </c>
      <c r="L603" s="131">
        <v>19775563.75</v>
      </c>
      <c r="M603" s="132">
        <v>2429989</v>
      </c>
      <c r="N603" s="133">
        <f t="shared" si="61"/>
        <v>8.138128917456005</v>
      </c>
      <c r="O603" s="149">
        <v>1</v>
      </c>
      <c r="P603" s="334"/>
      <c r="Q603" s="83"/>
      <c r="R603" s="83"/>
      <c r="S603" s="83"/>
      <c r="T603" s="83"/>
    </row>
    <row r="604" spans="1:20" ht="12" customHeight="1">
      <c r="A604" s="290">
        <v>600</v>
      </c>
      <c r="B604" s="123" t="s">
        <v>119</v>
      </c>
      <c r="C604" s="124">
        <v>40102</v>
      </c>
      <c r="D604" s="155" t="s">
        <v>423</v>
      </c>
      <c r="E604" s="126">
        <v>319</v>
      </c>
      <c r="F604" s="126">
        <v>7</v>
      </c>
      <c r="G604" s="126">
        <v>13</v>
      </c>
      <c r="H604" s="162">
        <v>1900</v>
      </c>
      <c r="I604" s="165">
        <v>264</v>
      </c>
      <c r="J604" s="129">
        <f t="shared" si="59"/>
        <v>37.714285714285715</v>
      </c>
      <c r="K604" s="130">
        <f t="shared" si="60"/>
        <v>7.196969696969697</v>
      </c>
      <c r="L604" s="164">
        <v>19728939.25</v>
      </c>
      <c r="M604" s="153">
        <v>2420390</v>
      </c>
      <c r="N604" s="133">
        <f t="shared" si="61"/>
        <v>8.151140621965881</v>
      </c>
      <c r="O604" s="149">
        <v>1</v>
      </c>
      <c r="P604" s="334"/>
      <c r="Q604" s="83"/>
      <c r="R604" s="83"/>
      <c r="S604" s="83"/>
      <c r="T604" s="83"/>
    </row>
    <row r="605" spans="1:20" ht="12" customHeight="1">
      <c r="A605" s="290">
        <v>601</v>
      </c>
      <c r="B605" s="123" t="s">
        <v>119</v>
      </c>
      <c r="C605" s="139">
        <v>40102</v>
      </c>
      <c r="D605" s="190" t="s">
        <v>423</v>
      </c>
      <c r="E605" s="156">
        <v>319</v>
      </c>
      <c r="F605" s="156">
        <v>1</v>
      </c>
      <c r="G605" s="156">
        <v>26</v>
      </c>
      <c r="H605" s="157">
        <v>1188</v>
      </c>
      <c r="I605" s="158">
        <v>396</v>
      </c>
      <c r="J605" s="129">
        <f t="shared" si="59"/>
        <v>396</v>
      </c>
      <c r="K605" s="130">
        <f t="shared" si="60"/>
        <v>3</v>
      </c>
      <c r="L605" s="154">
        <v>19770811.75</v>
      </c>
      <c r="M605" s="153">
        <v>2429039</v>
      </c>
      <c r="N605" s="133">
        <f t="shared" si="61"/>
        <v>8.139355419982964</v>
      </c>
      <c r="O605" s="356">
        <v>1</v>
      </c>
      <c r="P605" s="334"/>
      <c r="Q605" s="83"/>
      <c r="R605" s="83"/>
      <c r="S605" s="83"/>
      <c r="T605" s="83"/>
    </row>
    <row r="606" spans="1:20" ht="12" customHeight="1">
      <c r="A606" s="290">
        <v>602</v>
      </c>
      <c r="B606" s="123" t="s">
        <v>119</v>
      </c>
      <c r="C606" s="171">
        <v>40102</v>
      </c>
      <c r="D606" s="155" t="s">
        <v>423</v>
      </c>
      <c r="E606" s="156">
        <v>319</v>
      </c>
      <c r="F606" s="156">
        <v>1</v>
      </c>
      <c r="G606" s="156">
        <v>20</v>
      </c>
      <c r="H606" s="157">
        <v>748</v>
      </c>
      <c r="I606" s="158">
        <v>150</v>
      </c>
      <c r="J606" s="129">
        <f t="shared" si="59"/>
        <v>150</v>
      </c>
      <c r="K606" s="130">
        <f t="shared" si="60"/>
        <v>4.986666666666666</v>
      </c>
      <c r="L606" s="154">
        <v>19750571.75</v>
      </c>
      <c r="M606" s="153">
        <v>2424833</v>
      </c>
      <c r="N606" s="133">
        <f t="shared" si="61"/>
        <v>8.145126592223052</v>
      </c>
      <c r="O606" s="149">
        <v>1</v>
      </c>
      <c r="P606" s="334"/>
      <c r="Q606" s="83"/>
      <c r="R606" s="83"/>
      <c r="S606" s="83"/>
      <c r="T606" s="83"/>
    </row>
    <row r="607" spans="1:20" ht="12" customHeight="1">
      <c r="A607" s="290">
        <v>603</v>
      </c>
      <c r="B607" s="123" t="s">
        <v>119</v>
      </c>
      <c r="C607" s="139">
        <v>40102</v>
      </c>
      <c r="D607" s="125" t="s">
        <v>449</v>
      </c>
      <c r="E607" s="146">
        <v>319</v>
      </c>
      <c r="F607" s="146">
        <v>2</v>
      </c>
      <c r="G607" s="146">
        <v>34</v>
      </c>
      <c r="H607" s="141">
        <v>461</v>
      </c>
      <c r="I607" s="142">
        <v>89</v>
      </c>
      <c r="J607" s="129">
        <f t="shared" si="59"/>
        <v>44.5</v>
      </c>
      <c r="K607" s="130">
        <f t="shared" si="60"/>
        <v>5.179775280898877</v>
      </c>
      <c r="L607" s="144">
        <f>19810911.25+H607</f>
        <v>19811372.25</v>
      </c>
      <c r="M607" s="143">
        <f>2435667+I607</f>
        <v>2435756</v>
      </c>
      <c r="N607" s="133">
        <f t="shared" si="61"/>
        <v>8.133561920816371</v>
      </c>
      <c r="O607" s="181">
        <v>1</v>
      </c>
      <c r="P607" s="334"/>
      <c r="Q607" s="83"/>
      <c r="R607" s="83"/>
      <c r="S607" s="83"/>
      <c r="T607" s="83"/>
    </row>
    <row r="608" spans="1:20" ht="12" customHeight="1">
      <c r="A608" s="290">
        <v>604</v>
      </c>
      <c r="B608" s="123" t="s">
        <v>119</v>
      </c>
      <c r="C608" s="139">
        <v>40102</v>
      </c>
      <c r="D608" s="125" t="s">
        <v>449</v>
      </c>
      <c r="E608" s="146">
        <v>319</v>
      </c>
      <c r="F608" s="146">
        <v>2</v>
      </c>
      <c r="G608" s="146">
        <v>33</v>
      </c>
      <c r="H608" s="141">
        <v>388</v>
      </c>
      <c r="I608" s="142">
        <v>76</v>
      </c>
      <c r="J608" s="129">
        <f t="shared" si="59"/>
        <v>38</v>
      </c>
      <c r="K608" s="130">
        <f t="shared" si="60"/>
        <v>5.105263157894737</v>
      </c>
      <c r="L608" s="144">
        <f>19810523.25+H608</f>
        <v>19810911.25</v>
      </c>
      <c r="M608" s="143">
        <f>2435591+I608</f>
        <v>2435667</v>
      </c>
      <c r="N608" s="133">
        <f t="shared" si="61"/>
        <v>8.133669853062836</v>
      </c>
      <c r="O608" s="148">
        <v>1</v>
      </c>
      <c r="P608" s="334"/>
      <c r="Q608" s="83"/>
      <c r="R608" s="83"/>
      <c r="S608" s="83"/>
      <c r="T608" s="83"/>
    </row>
    <row r="609" spans="1:20" ht="12" customHeight="1">
      <c r="A609" s="290">
        <v>605</v>
      </c>
      <c r="B609" s="123" t="s">
        <v>119</v>
      </c>
      <c r="C609" s="139">
        <v>40102</v>
      </c>
      <c r="D609" s="125" t="s">
        <v>449</v>
      </c>
      <c r="E609" s="146">
        <v>319</v>
      </c>
      <c r="F609" s="146">
        <v>2</v>
      </c>
      <c r="G609" s="146">
        <v>35</v>
      </c>
      <c r="H609" s="141">
        <v>298</v>
      </c>
      <c r="I609" s="142">
        <v>57</v>
      </c>
      <c r="J609" s="129">
        <f t="shared" si="59"/>
        <v>28.5</v>
      </c>
      <c r="K609" s="130">
        <f t="shared" si="60"/>
        <v>5.228070175438597</v>
      </c>
      <c r="L609" s="144">
        <f>19811372.25+H609</f>
        <v>19811670.25</v>
      </c>
      <c r="M609" s="143">
        <f>2435756+I609</f>
        <v>2435813</v>
      </c>
      <c r="N609" s="133">
        <f t="shared" si="61"/>
        <v>8.133493929952751</v>
      </c>
      <c r="O609" s="109">
        <v>1</v>
      </c>
      <c r="P609" s="334"/>
      <c r="Q609" s="83"/>
      <c r="R609" s="83"/>
      <c r="S609" s="83"/>
      <c r="T609" s="83"/>
    </row>
    <row r="610" spans="1:20" ht="12" customHeight="1">
      <c r="A610" s="290">
        <v>606</v>
      </c>
      <c r="B610" s="123" t="s">
        <v>119</v>
      </c>
      <c r="C610" s="171">
        <v>40102</v>
      </c>
      <c r="D610" s="190" t="s">
        <v>423</v>
      </c>
      <c r="E610" s="156">
        <v>319</v>
      </c>
      <c r="F610" s="156">
        <v>1</v>
      </c>
      <c r="G610" s="156">
        <v>23</v>
      </c>
      <c r="H610" s="157">
        <v>150</v>
      </c>
      <c r="I610" s="158">
        <v>30</v>
      </c>
      <c r="J610" s="129">
        <f t="shared" si="59"/>
        <v>30</v>
      </c>
      <c r="K610" s="130">
        <f t="shared" si="60"/>
        <v>5</v>
      </c>
      <c r="L610" s="154">
        <v>19767157.75</v>
      </c>
      <c r="M610" s="153">
        <v>2428150</v>
      </c>
      <c r="N610" s="133">
        <f t="shared" si="61"/>
        <v>8.140830570599016</v>
      </c>
      <c r="O610" s="149">
        <v>1</v>
      </c>
      <c r="P610" s="334"/>
      <c r="Q610" s="83"/>
      <c r="R610" s="83"/>
      <c r="S610" s="83"/>
      <c r="T610" s="83"/>
    </row>
    <row r="611" spans="1:20" ht="12" customHeight="1">
      <c r="A611" s="290">
        <v>607</v>
      </c>
      <c r="B611" s="123" t="s">
        <v>119</v>
      </c>
      <c r="C611" s="139">
        <v>40102</v>
      </c>
      <c r="D611" s="155" t="s">
        <v>423</v>
      </c>
      <c r="E611" s="146">
        <v>319</v>
      </c>
      <c r="F611" s="146">
        <v>1</v>
      </c>
      <c r="G611" s="146">
        <v>18</v>
      </c>
      <c r="H611" s="150">
        <v>140</v>
      </c>
      <c r="I611" s="152">
        <v>14</v>
      </c>
      <c r="J611" s="129">
        <f t="shared" si="59"/>
        <v>14</v>
      </c>
      <c r="K611" s="130">
        <f t="shared" si="60"/>
        <v>10</v>
      </c>
      <c r="L611" s="154">
        <v>19744073.75</v>
      </c>
      <c r="M611" s="153">
        <v>2423369</v>
      </c>
      <c r="N611" s="133">
        <f t="shared" si="61"/>
        <v>8.147365815936409</v>
      </c>
      <c r="O611" s="149">
        <v>1</v>
      </c>
      <c r="P611" s="334"/>
      <c r="Q611" s="83"/>
      <c r="R611" s="83"/>
      <c r="S611" s="83"/>
      <c r="T611" s="83"/>
    </row>
    <row r="612" spans="1:20" ht="12" customHeight="1">
      <c r="A612" s="290">
        <v>608</v>
      </c>
      <c r="B612" s="123" t="s">
        <v>119</v>
      </c>
      <c r="C612" s="124">
        <v>40102</v>
      </c>
      <c r="D612" s="191" t="s">
        <v>423</v>
      </c>
      <c r="E612" s="126">
        <v>319</v>
      </c>
      <c r="F612" s="126">
        <v>1</v>
      </c>
      <c r="G612" s="126">
        <v>24</v>
      </c>
      <c r="H612" s="127">
        <v>80</v>
      </c>
      <c r="I612" s="135">
        <v>16</v>
      </c>
      <c r="J612" s="129">
        <f t="shared" si="59"/>
        <v>16</v>
      </c>
      <c r="K612" s="130">
        <f t="shared" si="60"/>
        <v>5</v>
      </c>
      <c r="L612" s="131">
        <v>19767237.75</v>
      </c>
      <c r="M612" s="136">
        <v>2428166</v>
      </c>
      <c r="N612" s="133">
        <f t="shared" si="61"/>
        <v>8.140809874613186</v>
      </c>
      <c r="O612" s="159">
        <v>1</v>
      </c>
      <c r="P612" s="334"/>
      <c r="Q612" s="83"/>
      <c r="R612" s="83"/>
      <c r="S612" s="83"/>
      <c r="T612" s="83"/>
    </row>
    <row r="613" spans="1:20" ht="12" customHeight="1">
      <c r="A613" s="290">
        <v>609</v>
      </c>
      <c r="B613" s="172" t="s">
        <v>19</v>
      </c>
      <c r="C613" s="124">
        <v>40144</v>
      </c>
      <c r="D613" s="155" t="s">
        <v>327</v>
      </c>
      <c r="E613" s="173">
        <v>258</v>
      </c>
      <c r="F613" s="173">
        <v>176</v>
      </c>
      <c r="G613" s="173">
        <v>6</v>
      </c>
      <c r="H613" s="174">
        <v>225694.5</v>
      </c>
      <c r="I613" s="175">
        <v>35788</v>
      </c>
      <c r="J613" s="129">
        <f t="shared" si="59"/>
        <v>203.3409090909091</v>
      </c>
      <c r="K613" s="130">
        <f t="shared" si="60"/>
        <v>6.306429529451212</v>
      </c>
      <c r="L613" s="176">
        <v>9551615.25</v>
      </c>
      <c r="M613" s="177">
        <v>1107368</v>
      </c>
      <c r="N613" s="133">
        <f t="shared" si="61"/>
        <v>8.625511347627889</v>
      </c>
      <c r="O613" s="147">
        <v>1</v>
      </c>
      <c r="P613" s="334"/>
      <c r="Q613" s="83"/>
      <c r="R613" s="83"/>
      <c r="S613" s="83"/>
      <c r="T613" s="83"/>
    </row>
    <row r="614" spans="1:20" ht="12" customHeight="1">
      <c r="A614" s="290">
        <v>610</v>
      </c>
      <c r="B614" s="172" t="s">
        <v>20</v>
      </c>
      <c r="C614" s="124">
        <v>40144</v>
      </c>
      <c r="D614" s="155" t="s">
        <v>327</v>
      </c>
      <c r="E614" s="173">
        <v>258</v>
      </c>
      <c r="F614" s="173">
        <v>55</v>
      </c>
      <c r="G614" s="173">
        <v>7</v>
      </c>
      <c r="H614" s="174">
        <v>58586</v>
      </c>
      <c r="I614" s="175">
        <v>9274</v>
      </c>
      <c r="J614" s="129">
        <f t="shared" si="59"/>
        <v>168.61818181818182</v>
      </c>
      <c r="K614" s="130">
        <f t="shared" si="60"/>
        <v>6.317230968298468</v>
      </c>
      <c r="L614" s="176">
        <v>9610201.25</v>
      </c>
      <c r="M614" s="177">
        <v>1116642</v>
      </c>
      <c r="N614" s="133">
        <f t="shared" si="61"/>
        <v>8.60634048334202</v>
      </c>
      <c r="O614" s="149">
        <v>1</v>
      </c>
      <c r="P614" s="585"/>
      <c r="Q614" s="83"/>
      <c r="R614" s="83"/>
      <c r="S614" s="83"/>
      <c r="T614" s="83"/>
    </row>
    <row r="615" spans="1:21" s="25" customFormat="1" ht="12" customHeight="1">
      <c r="A615" s="290">
        <v>611</v>
      </c>
      <c r="B615" s="172" t="s">
        <v>19</v>
      </c>
      <c r="C615" s="124">
        <v>40144</v>
      </c>
      <c r="D615" s="155" t="s">
        <v>327</v>
      </c>
      <c r="E615" s="173">
        <v>258</v>
      </c>
      <c r="F615" s="173">
        <v>27</v>
      </c>
      <c r="G615" s="173">
        <v>8</v>
      </c>
      <c r="H615" s="174">
        <v>33984.5</v>
      </c>
      <c r="I615" s="178">
        <v>5492</v>
      </c>
      <c r="J615" s="129">
        <f t="shared" si="59"/>
        <v>203.40740740740742</v>
      </c>
      <c r="K615" s="130">
        <f t="shared" si="60"/>
        <v>6.18800072833212</v>
      </c>
      <c r="L615" s="176">
        <v>9644185.75</v>
      </c>
      <c r="M615" s="179">
        <v>1122134</v>
      </c>
      <c r="N615" s="133">
        <f t="shared" si="61"/>
        <v>8.59450453332668</v>
      </c>
      <c r="O615" s="149">
        <v>1</v>
      </c>
      <c r="P615" s="585"/>
      <c r="U615" s="28"/>
    </row>
    <row r="616" spans="1:21" s="25" customFormat="1" ht="12" customHeight="1">
      <c r="A616" s="290">
        <v>612</v>
      </c>
      <c r="B616" s="151" t="s">
        <v>19</v>
      </c>
      <c r="C616" s="139">
        <v>40144</v>
      </c>
      <c r="D616" s="155" t="s">
        <v>327</v>
      </c>
      <c r="E616" s="146">
        <v>258</v>
      </c>
      <c r="F616" s="146">
        <v>13</v>
      </c>
      <c r="G616" s="146">
        <v>9</v>
      </c>
      <c r="H616" s="141">
        <v>9270</v>
      </c>
      <c r="I616" s="142">
        <v>2067</v>
      </c>
      <c r="J616" s="129">
        <f t="shared" si="59"/>
        <v>159</v>
      </c>
      <c r="K616" s="130">
        <f t="shared" si="60"/>
        <v>4.484760522496371</v>
      </c>
      <c r="L616" s="144">
        <v>9653455.75</v>
      </c>
      <c r="M616" s="143">
        <v>1124201</v>
      </c>
      <c r="N616" s="133">
        <f t="shared" si="61"/>
        <v>8.586948196986127</v>
      </c>
      <c r="O616" s="149">
        <v>1</v>
      </c>
      <c r="P616" s="585"/>
      <c r="U616" s="28"/>
    </row>
    <row r="617" spans="1:21" s="25" customFormat="1" ht="12" customHeight="1">
      <c r="A617" s="290">
        <v>613</v>
      </c>
      <c r="B617" s="151" t="s">
        <v>19</v>
      </c>
      <c r="C617" s="139">
        <v>40144</v>
      </c>
      <c r="D617" s="155" t="s">
        <v>327</v>
      </c>
      <c r="E617" s="146">
        <v>258</v>
      </c>
      <c r="F617" s="146">
        <v>7</v>
      </c>
      <c r="G617" s="146">
        <v>9</v>
      </c>
      <c r="H617" s="141">
        <v>4980</v>
      </c>
      <c r="I617" s="142">
        <v>850</v>
      </c>
      <c r="J617" s="129">
        <f t="shared" si="59"/>
        <v>121.42857142857143</v>
      </c>
      <c r="K617" s="130">
        <f t="shared" si="60"/>
        <v>5.858823529411764</v>
      </c>
      <c r="L617" s="144">
        <v>9658435.75</v>
      </c>
      <c r="M617" s="143">
        <v>1125051</v>
      </c>
      <c r="N617" s="133">
        <f t="shared" si="61"/>
        <v>8.584887040676378</v>
      </c>
      <c r="O617" s="108">
        <v>1</v>
      </c>
      <c r="P617" s="585"/>
      <c r="U617" s="28"/>
    </row>
    <row r="618" spans="1:21" s="25" customFormat="1" ht="12" customHeight="1">
      <c r="A618" s="290">
        <v>614</v>
      </c>
      <c r="B618" s="151" t="s">
        <v>19</v>
      </c>
      <c r="C618" s="139">
        <v>40144</v>
      </c>
      <c r="D618" s="155" t="s">
        <v>327</v>
      </c>
      <c r="E618" s="146">
        <v>258</v>
      </c>
      <c r="F618" s="146">
        <v>5</v>
      </c>
      <c r="G618" s="146">
        <v>11</v>
      </c>
      <c r="H618" s="141">
        <v>1642</v>
      </c>
      <c r="I618" s="142">
        <v>180</v>
      </c>
      <c r="J618" s="129">
        <f t="shared" si="59"/>
        <v>36</v>
      </c>
      <c r="K618" s="130">
        <f t="shared" si="60"/>
        <v>9.122222222222222</v>
      </c>
      <c r="L618" s="144">
        <v>9660077.75</v>
      </c>
      <c r="M618" s="143">
        <v>1125231</v>
      </c>
      <c r="N618" s="133">
        <f t="shared" si="61"/>
        <v>8.584972996655798</v>
      </c>
      <c r="O618" s="149">
        <v>1</v>
      </c>
      <c r="P618" s="585"/>
      <c r="U618" s="28"/>
    </row>
    <row r="619" spans="1:21" s="25" customFormat="1" ht="12" customHeight="1">
      <c r="A619" s="290">
        <v>615</v>
      </c>
      <c r="B619" s="151" t="s">
        <v>19</v>
      </c>
      <c r="C619" s="139">
        <v>40144</v>
      </c>
      <c r="D619" s="155" t="s">
        <v>327</v>
      </c>
      <c r="E619" s="156">
        <v>258</v>
      </c>
      <c r="F619" s="156">
        <v>1</v>
      </c>
      <c r="G619" s="156">
        <v>13</v>
      </c>
      <c r="H619" s="157">
        <v>1190</v>
      </c>
      <c r="I619" s="158">
        <v>370</v>
      </c>
      <c r="J619" s="129">
        <f t="shared" si="59"/>
        <v>370</v>
      </c>
      <c r="K619" s="130">
        <f t="shared" si="60"/>
        <v>3.2162162162162162</v>
      </c>
      <c r="L619" s="154">
        <v>9661267.75</v>
      </c>
      <c r="M619" s="153">
        <v>1125601</v>
      </c>
      <c r="N619" s="133">
        <f t="shared" si="61"/>
        <v>8.583208214989147</v>
      </c>
      <c r="O619" s="149">
        <v>1</v>
      </c>
      <c r="P619" s="585"/>
      <c r="U619" s="28"/>
    </row>
    <row r="620" spans="1:21" s="25" customFormat="1" ht="12" customHeight="1">
      <c r="A620" s="290">
        <v>616</v>
      </c>
      <c r="B620" s="151" t="s">
        <v>283</v>
      </c>
      <c r="C620" s="171">
        <v>39955</v>
      </c>
      <c r="D620" s="145" t="s">
        <v>326</v>
      </c>
      <c r="E620" s="156">
        <v>88</v>
      </c>
      <c r="F620" s="156">
        <v>1</v>
      </c>
      <c r="G620" s="156">
        <v>27</v>
      </c>
      <c r="H620" s="157">
        <v>43620</v>
      </c>
      <c r="I620" s="158">
        <v>10905</v>
      </c>
      <c r="J620" s="129">
        <f t="shared" si="59"/>
        <v>10905</v>
      </c>
      <c r="K620" s="130">
        <f t="shared" si="60"/>
        <v>4</v>
      </c>
      <c r="L620" s="154">
        <f>253985.25+197941+176827+129137.25+73306.5+36496.5+20735+12653+3137+3974+3108+6704.75+3312+1885+643+108556.75+31027+8660.5+1196.5+2137+5262+2140+4040+1780+1188+1780+43620</f>
        <v>1135233</v>
      </c>
      <c r="M620" s="153">
        <f>26929+21325+23241+17550+10624+6388+4049+2644+577+882+663+1354+764+460+116+14641+4967+986+117+181+1185+535+1010+445+297+445+10905</f>
        <v>153280</v>
      </c>
      <c r="N620" s="133">
        <f t="shared" si="61"/>
        <v>7.406269572025052</v>
      </c>
      <c r="O620" s="149">
        <v>1</v>
      </c>
      <c r="P620" s="585"/>
      <c r="U620" s="28"/>
    </row>
    <row r="621" spans="1:21" s="25" customFormat="1" ht="12" customHeight="1">
      <c r="A621" s="290">
        <v>617</v>
      </c>
      <c r="B621" s="151" t="s">
        <v>283</v>
      </c>
      <c r="C621" s="171">
        <v>39955</v>
      </c>
      <c r="D621" s="145" t="s">
        <v>326</v>
      </c>
      <c r="E621" s="156">
        <v>88</v>
      </c>
      <c r="F621" s="156">
        <v>1</v>
      </c>
      <c r="G621" s="156">
        <v>26</v>
      </c>
      <c r="H621" s="157">
        <v>1780</v>
      </c>
      <c r="I621" s="158">
        <v>445</v>
      </c>
      <c r="J621" s="129">
        <f t="shared" si="59"/>
        <v>445</v>
      </c>
      <c r="K621" s="130">
        <f t="shared" si="60"/>
        <v>4</v>
      </c>
      <c r="L621" s="154">
        <f>253985.25+197941+176827+129137.25+73306.5+36496.5+20735+12653+3137+3974+3108+6704.75+3312+1885+643+108556.75+31027+8660.5+1196.5+2137+5262+2140+4040+1780+1188+1780</f>
        <v>1091613</v>
      </c>
      <c r="M621" s="153">
        <f>26929+21325+23241+17550+10624+6388+4049+2644+577+882+663+1354+764+460+116+14641+4967+986+117+181+1185+535+1010+445+297+445</f>
        <v>142375</v>
      </c>
      <c r="N621" s="133">
        <f t="shared" si="61"/>
        <v>7.66716769095698</v>
      </c>
      <c r="O621" s="149">
        <v>1</v>
      </c>
      <c r="P621" s="586"/>
      <c r="U621" s="28"/>
    </row>
    <row r="622" spans="1:21" s="26" customFormat="1" ht="12" customHeight="1">
      <c r="A622" s="290">
        <v>618</v>
      </c>
      <c r="B622" s="151" t="s">
        <v>283</v>
      </c>
      <c r="C622" s="139">
        <v>39955</v>
      </c>
      <c r="D622" s="145" t="s">
        <v>326</v>
      </c>
      <c r="E622" s="146">
        <v>88</v>
      </c>
      <c r="F622" s="146">
        <v>1</v>
      </c>
      <c r="G622" s="146">
        <v>25</v>
      </c>
      <c r="H622" s="137">
        <v>1188</v>
      </c>
      <c r="I622" s="135">
        <v>297</v>
      </c>
      <c r="J622" s="129">
        <f t="shared" si="59"/>
        <v>297</v>
      </c>
      <c r="K622" s="130">
        <f t="shared" si="60"/>
        <v>4</v>
      </c>
      <c r="L622" s="138">
        <f>253985.25+197941+176827+129137.25+73306.5+36496.5+20735+12653+3137+3974+3108+6704.75+3312+1885+643+108556.75+31027+8660.5+1196.5+2137+5262+2140+4040+1780+1188</f>
        <v>1089833</v>
      </c>
      <c r="M622" s="136">
        <f>26929+21325+23241+17550+10624+6388+4049+2644+577+882+663+1354+764+460+116+14641+4967+986+117+181+1185+535+1010+445+297</f>
        <v>141930</v>
      </c>
      <c r="N622" s="133">
        <f t="shared" si="61"/>
        <v>7.678665539350384</v>
      </c>
      <c r="O622" s="149">
        <v>1</v>
      </c>
      <c r="P622" s="585"/>
      <c r="U622" s="29"/>
    </row>
    <row r="623" spans="1:21" s="25" customFormat="1" ht="12" customHeight="1">
      <c r="A623" s="290">
        <v>619</v>
      </c>
      <c r="B623" s="151" t="s">
        <v>229</v>
      </c>
      <c r="C623" s="171">
        <v>39864</v>
      </c>
      <c r="D623" s="145" t="s">
        <v>326</v>
      </c>
      <c r="E623" s="156">
        <v>55</v>
      </c>
      <c r="F623" s="156">
        <v>1</v>
      </c>
      <c r="G623" s="156">
        <v>26</v>
      </c>
      <c r="H623" s="157">
        <v>1780</v>
      </c>
      <c r="I623" s="158">
        <v>445</v>
      </c>
      <c r="J623" s="129">
        <f t="shared" si="59"/>
        <v>445</v>
      </c>
      <c r="K623" s="130">
        <f t="shared" si="60"/>
        <v>4</v>
      </c>
      <c r="L623" s="154">
        <f>190777.5+154065+60826.5+20820+23589+29712+19396.5+16102+12940+11034+3005+981+1140+40+98.25+284+1000+300+220+1211.5+155+156+63+1780+5228+1780</f>
        <v>556704.25</v>
      </c>
      <c r="M623" s="153">
        <f>20518+17650+7809+3283+4115+5826+3911+3770+2981+2505+653+199+194+8+18+60+100+75+44+292+22+22+19+445+1307+445</f>
        <v>76271</v>
      </c>
      <c r="N623" s="133">
        <f t="shared" si="61"/>
        <v>7.299029119848959</v>
      </c>
      <c r="O623" s="149">
        <v>1</v>
      </c>
      <c r="P623" s="587"/>
      <c r="U623" s="28"/>
    </row>
    <row r="624" spans="1:21" s="27" customFormat="1" ht="12" customHeight="1">
      <c r="A624" s="290">
        <v>620</v>
      </c>
      <c r="B624" s="182" t="s">
        <v>229</v>
      </c>
      <c r="C624" s="139">
        <v>39864</v>
      </c>
      <c r="D624" s="145" t="s">
        <v>326</v>
      </c>
      <c r="E624" s="156">
        <v>55</v>
      </c>
      <c r="F624" s="156">
        <v>1</v>
      </c>
      <c r="G624" s="156">
        <v>28</v>
      </c>
      <c r="H624" s="157">
        <v>952</v>
      </c>
      <c r="I624" s="158">
        <v>238</v>
      </c>
      <c r="J624" s="129">
        <f t="shared" si="59"/>
        <v>238</v>
      </c>
      <c r="K624" s="130">
        <f t="shared" si="60"/>
        <v>4</v>
      </c>
      <c r="L624" s="154">
        <f>190777.5+154065+60826.5+20820+23589+29712+19396.5+16102+12940+11034+3005+981+1140+40+98.25+284+1000+300+220+1211.5+155+156+63+1780+5228+1780+450+952</f>
        <v>558106.25</v>
      </c>
      <c r="M624" s="153">
        <f>20518+17650+7809+3283+4115+5826+3911+3770+2981+2505+653+199+194+8+18+60+100+75+44+292+22+22+19+445+1307+445+75+238</f>
        <v>76584</v>
      </c>
      <c r="N624" s="133">
        <f t="shared" si="61"/>
        <v>7.2875045701452</v>
      </c>
      <c r="O624" s="149">
        <v>1</v>
      </c>
      <c r="P624" s="586"/>
      <c r="U624" s="30"/>
    </row>
    <row r="625" spans="1:21" s="26" customFormat="1" ht="12" customHeight="1">
      <c r="A625" s="290">
        <v>621</v>
      </c>
      <c r="B625" s="182" t="s">
        <v>229</v>
      </c>
      <c r="C625" s="171">
        <v>39864</v>
      </c>
      <c r="D625" s="145" t="s">
        <v>326</v>
      </c>
      <c r="E625" s="156">
        <v>55</v>
      </c>
      <c r="F625" s="156">
        <v>1</v>
      </c>
      <c r="G625" s="156">
        <v>27</v>
      </c>
      <c r="H625" s="157">
        <v>450</v>
      </c>
      <c r="I625" s="158">
        <v>75</v>
      </c>
      <c r="J625" s="129">
        <f t="shared" si="59"/>
        <v>75</v>
      </c>
      <c r="K625" s="130">
        <f t="shared" si="60"/>
        <v>6</v>
      </c>
      <c r="L625" s="154">
        <f>190777.5+154065+60826.5+20820+23589+29712+19396.5+16102+12940+11034+3005+981+1140+40+98.25+284+1000+300+220+1211.5+155+156+63+1780+5228+1780+450</f>
        <v>557154.25</v>
      </c>
      <c r="M625" s="153">
        <f>20518+17650+7809+3283+4115+5826+3911+3770+2981+2505+653+199+194+8+18+60+100+75+44+292+22+22+19+445+1307+445+75</f>
        <v>76346</v>
      </c>
      <c r="N625" s="133">
        <f t="shared" si="61"/>
        <v>7.297752992953135</v>
      </c>
      <c r="O625" s="149">
        <v>1</v>
      </c>
      <c r="P625" s="585"/>
      <c r="U625" s="29"/>
    </row>
    <row r="626" spans="1:21" s="25" customFormat="1" ht="12" customHeight="1">
      <c r="A626" s="290">
        <v>622</v>
      </c>
      <c r="B626" s="123" t="s">
        <v>229</v>
      </c>
      <c r="C626" s="124">
        <v>39864</v>
      </c>
      <c r="D626" s="125" t="s">
        <v>338</v>
      </c>
      <c r="E626" s="126">
        <v>55</v>
      </c>
      <c r="F626" s="126">
        <v>1</v>
      </c>
      <c r="G626" s="126">
        <v>29</v>
      </c>
      <c r="H626" s="127">
        <v>145</v>
      </c>
      <c r="I626" s="128">
        <v>29</v>
      </c>
      <c r="J626" s="129">
        <f t="shared" si="59"/>
        <v>29</v>
      </c>
      <c r="K626" s="130">
        <f t="shared" si="60"/>
        <v>5</v>
      </c>
      <c r="L626" s="131">
        <f>190777.5+154065+60826.5+20820+23589+29712+19396.5+16102+12940+11034+3005+981+1140+40+98.25+284+1000+300+220+1211.5+155+156+63+1780+5228+1780+450+952+145</f>
        <v>558251.25</v>
      </c>
      <c r="M626" s="132">
        <f>20518+17650+7809+3283+4115+5826+3911+3770+2981+2505+653+199+194+8+18+60+100+75+44+292+22+22+19+445+1307+445+75+238+29</f>
        <v>76613</v>
      </c>
      <c r="N626" s="133">
        <f t="shared" si="61"/>
        <v>7.286638690561654</v>
      </c>
      <c r="O626" s="109">
        <v>1</v>
      </c>
      <c r="P626" s="585"/>
      <c r="U626" s="28"/>
    </row>
    <row r="627" spans="1:21" s="25" customFormat="1" ht="12" customHeight="1">
      <c r="A627" s="290">
        <v>623</v>
      </c>
      <c r="B627" s="449" t="s">
        <v>475</v>
      </c>
      <c r="C627" s="440">
        <v>39864</v>
      </c>
      <c r="D627" s="485" t="s">
        <v>326</v>
      </c>
      <c r="E627" s="486">
        <v>55</v>
      </c>
      <c r="F627" s="486">
        <v>2</v>
      </c>
      <c r="G627" s="486">
        <v>36</v>
      </c>
      <c r="H627" s="442">
        <v>4752</v>
      </c>
      <c r="I627" s="443">
        <v>1188</v>
      </c>
      <c r="J627" s="444">
        <f>(I627/F627)</f>
        <v>594</v>
      </c>
      <c r="K627" s="445">
        <f t="shared" si="60"/>
        <v>4</v>
      </c>
      <c r="L627" s="446">
        <f>190777.5+154065+60826.5+20820+23589+29712+19396.5+16102+12940+11034+3005+981+1140+40+98.25+284+1000+300+220+1211.5+155+156+63+1780+5228+1780+450+952+145+640+2445+2376+2376+2376+4752</f>
        <v>573216.25</v>
      </c>
      <c r="M627" s="447">
        <f>20518+17650+7809+3283+4115+5826+3911+3770+2981+2505+653+199+194+8+18+60+100+75+44+292+22+22+19+445+1307+445+75+238+29+128+383+594+594+594+1188</f>
        <v>80094</v>
      </c>
      <c r="N627" s="451">
        <f>L627/M627</f>
        <v>7.156793892176692</v>
      </c>
      <c r="O627" s="108"/>
      <c r="P627" s="561"/>
      <c r="U627" s="28"/>
    </row>
    <row r="628" spans="1:21" s="25" customFormat="1" ht="12" customHeight="1">
      <c r="A628" s="290">
        <v>624</v>
      </c>
      <c r="B628" s="123" t="s">
        <v>141</v>
      </c>
      <c r="C628" s="139">
        <v>39864</v>
      </c>
      <c r="D628" s="125" t="s">
        <v>326</v>
      </c>
      <c r="E628" s="146">
        <v>55</v>
      </c>
      <c r="F628" s="146">
        <v>4</v>
      </c>
      <c r="G628" s="146">
        <v>31</v>
      </c>
      <c r="H628" s="141">
        <v>2445</v>
      </c>
      <c r="I628" s="142">
        <v>383</v>
      </c>
      <c r="J628" s="129">
        <f aca="true" t="shared" si="62" ref="J628:J645">I628/F628</f>
        <v>95.75</v>
      </c>
      <c r="K628" s="130">
        <f t="shared" si="60"/>
        <v>6.383812010443864</v>
      </c>
      <c r="L628" s="144">
        <f>190777.5+154065+60826.5+20820+23589+29712+19396.5+16102+12940+11034+3005+981+1140+40+98.25+284+1000+300+220+1211.5+155+156+63+1780+5228+1780+450+952+145+640+2445</f>
        <v>561336.25</v>
      </c>
      <c r="M628" s="143">
        <f>20518+17650+7809+3283+4115+5826+3911+3770+2981+2505+653+199+194+8+18+60+100+75+44+292+22+22+19+445+1307+445+75+238+29+128+383</f>
        <v>77124</v>
      </c>
      <c r="N628" s="133">
        <f aca="true" t="shared" si="63" ref="N628:N645">+L628/M628</f>
        <v>7.278360173227529</v>
      </c>
      <c r="O628" s="147"/>
      <c r="P628" s="585"/>
      <c r="U628" s="28"/>
    </row>
    <row r="629" spans="1:21" s="26" customFormat="1" ht="12" customHeight="1">
      <c r="A629" s="290">
        <v>625</v>
      </c>
      <c r="B629" s="123" t="s">
        <v>141</v>
      </c>
      <c r="C629" s="124">
        <v>39864</v>
      </c>
      <c r="D629" s="125" t="s">
        <v>326</v>
      </c>
      <c r="E629" s="126">
        <v>55</v>
      </c>
      <c r="F629" s="126">
        <v>1</v>
      </c>
      <c r="G629" s="126">
        <v>35</v>
      </c>
      <c r="H629" s="137">
        <v>2376</v>
      </c>
      <c r="I629" s="135">
        <v>594</v>
      </c>
      <c r="J629" s="129">
        <f t="shared" si="62"/>
        <v>594</v>
      </c>
      <c r="K629" s="130">
        <f t="shared" si="60"/>
        <v>4</v>
      </c>
      <c r="L629" s="138">
        <f>190777.5+154065+60826.5+20820+23589+29712+19396.5+16102+12940+11034+3005+981+1140+40+98.25+284+1000+300+220+1211.5+155+156+63+1780+5228+1780+450+952+145+640+2445+2376+2376+2376</f>
        <v>568464.25</v>
      </c>
      <c r="M629" s="136">
        <f>20518+17650+7809+3283+4115+5826+3911+3770+2981+2505+653+199+194+8+18+60+100+75+44+292+22+22+19+445+1307+445+75+238+29+128+383+594+594+594</f>
        <v>78906</v>
      </c>
      <c r="N629" s="133">
        <f t="shared" si="63"/>
        <v>7.204322231515981</v>
      </c>
      <c r="O629" s="147"/>
      <c r="P629" s="586"/>
      <c r="U629" s="29"/>
    </row>
    <row r="630" spans="1:21" s="27" customFormat="1" ht="12" customHeight="1">
      <c r="A630" s="290">
        <v>626</v>
      </c>
      <c r="B630" s="123" t="s">
        <v>141</v>
      </c>
      <c r="C630" s="139">
        <v>39864</v>
      </c>
      <c r="D630" s="125" t="s">
        <v>326</v>
      </c>
      <c r="E630" s="146">
        <v>55</v>
      </c>
      <c r="F630" s="146">
        <v>1</v>
      </c>
      <c r="G630" s="146">
        <v>34</v>
      </c>
      <c r="H630" s="141">
        <v>2376</v>
      </c>
      <c r="I630" s="142">
        <v>594</v>
      </c>
      <c r="J630" s="129">
        <f t="shared" si="62"/>
        <v>594</v>
      </c>
      <c r="K630" s="130">
        <f t="shared" si="60"/>
        <v>4</v>
      </c>
      <c r="L630" s="144">
        <f>190777.5+154065+60826.5+20820+23589+29712+19396.5+16102+12940+11034+3005+981+1140+40+98.25+284+1000+300+220+1211.5+155+156+63+1780+5228+1780+450+952+145+640+2445+2376+2376</f>
        <v>566088.25</v>
      </c>
      <c r="M630" s="143">
        <f>20518+17650+7809+3283+4115+5826+3911+3770+2981+2505+653+199+194+8+18+60+100+75+44+292+22+22+19+445+1307+445+75+238+29+128+383+594+594</f>
        <v>78312</v>
      </c>
      <c r="N630" s="133">
        <f t="shared" si="63"/>
        <v>7.228627158034529</v>
      </c>
      <c r="O630" s="108"/>
      <c r="P630" s="587"/>
      <c r="U630" s="30"/>
    </row>
    <row r="631" spans="1:21" s="25" customFormat="1" ht="12" customHeight="1">
      <c r="A631" s="290">
        <v>627</v>
      </c>
      <c r="B631" s="123" t="s">
        <v>141</v>
      </c>
      <c r="C631" s="139">
        <v>39864</v>
      </c>
      <c r="D631" s="145" t="s">
        <v>326</v>
      </c>
      <c r="E631" s="146">
        <v>55</v>
      </c>
      <c r="F631" s="146">
        <v>1</v>
      </c>
      <c r="G631" s="146">
        <v>32</v>
      </c>
      <c r="H631" s="137">
        <v>2376</v>
      </c>
      <c r="I631" s="135">
        <v>594</v>
      </c>
      <c r="J631" s="129">
        <f t="shared" si="62"/>
        <v>594</v>
      </c>
      <c r="K631" s="130">
        <f t="shared" si="60"/>
        <v>4</v>
      </c>
      <c r="L631" s="144">
        <f>190777.5+154065+60826.5+20820+23589+29712+19396.5+16102+12940+11034+3005+981+1140+40+98.25+284+1000+300+220+1211.5+155+156+63+1780+5228+1780+450+952+145+640+2445+2376</f>
        <v>563712.25</v>
      </c>
      <c r="M631" s="143">
        <f>20518+17650+7809+3283+4115+5826+3911+3770+2981+2505+653+199+194+8+18+60+100+75+44+292+22+22+19+445+1307+445+75+238+29+128+383+594</f>
        <v>77718</v>
      </c>
      <c r="N631" s="133">
        <f t="shared" si="63"/>
        <v>7.253303610489205</v>
      </c>
      <c r="O631" s="147"/>
      <c r="P631" s="585"/>
      <c r="U631" s="28"/>
    </row>
    <row r="632" spans="1:21" s="25" customFormat="1" ht="12" customHeight="1">
      <c r="A632" s="290">
        <v>628</v>
      </c>
      <c r="B632" s="123" t="s">
        <v>141</v>
      </c>
      <c r="C632" s="139">
        <v>39864</v>
      </c>
      <c r="D632" s="125" t="s">
        <v>326</v>
      </c>
      <c r="E632" s="146">
        <v>55</v>
      </c>
      <c r="F632" s="146">
        <v>1</v>
      </c>
      <c r="G632" s="146">
        <v>30</v>
      </c>
      <c r="H632" s="141">
        <v>640</v>
      </c>
      <c r="I632" s="142">
        <v>128</v>
      </c>
      <c r="J632" s="129">
        <f t="shared" si="62"/>
        <v>128</v>
      </c>
      <c r="K632" s="130">
        <f t="shared" si="60"/>
        <v>5</v>
      </c>
      <c r="L632" s="144">
        <f>190777.5+154065+60826.5+20820+23589+29712+19396.5+16102+12940+11034+3005+981+1140+40+98.25+284+1000+300+220+1211.5+155+156+63+1780+5228+1780+450+952+145+640</f>
        <v>558891.25</v>
      </c>
      <c r="M632" s="143">
        <f>20518+17650+7809+3283+4115+5826+3911+3770+2981+2505+653+199+194+8+18+60+100+75+44+292+22+22+19+445+1307+445+75+238+29+128</f>
        <v>76741</v>
      </c>
      <c r="N632" s="133">
        <f t="shared" si="63"/>
        <v>7.282824696055563</v>
      </c>
      <c r="O632" s="108">
        <v>1</v>
      </c>
      <c r="P632" s="585"/>
      <c r="U632" s="28"/>
    </row>
    <row r="633" spans="1:21" s="25" customFormat="1" ht="12" customHeight="1">
      <c r="A633" s="290">
        <v>629</v>
      </c>
      <c r="B633" s="151" t="s">
        <v>21</v>
      </c>
      <c r="C633" s="139">
        <v>39941</v>
      </c>
      <c r="D633" s="145" t="s">
        <v>326</v>
      </c>
      <c r="E633" s="146">
        <v>26</v>
      </c>
      <c r="F633" s="146">
        <v>1</v>
      </c>
      <c r="G633" s="146">
        <v>22</v>
      </c>
      <c r="H633" s="150">
        <v>3800</v>
      </c>
      <c r="I633" s="152">
        <v>950</v>
      </c>
      <c r="J633" s="129">
        <f t="shared" si="62"/>
        <v>950</v>
      </c>
      <c r="K633" s="130">
        <f t="shared" si="60"/>
        <v>4</v>
      </c>
      <c r="L633" s="154">
        <f>36482.75+16583.5+5922.75+3249+4769+4925+4199.5+5525+366+924+414+2215+2444+33+1987+838+1440+537+604+3792+2376+1780+3800</f>
        <v>105206.5</v>
      </c>
      <c r="M633" s="153">
        <f>4495+1934+744+517+1003+1215+722+968+65+193+83+369+384+5+336+159+238+83+151+948+594+445+950</f>
        <v>16601</v>
      </c>
      <c r="N633" s="133">
        <f t="shared" si="63"/>
        <v>6.337359195229203</v>
      </c>
      <c r="O633" s="149"/>
      <c r="P633" s="585"/>
      <c r="U633" s="28"/>
    </row>
    <row r="634" spans="1:20" ht="12" customHeight="1">
      <c r="A634" s="290">
        <v>630</v>
      </c>
      <c r="B634" s="151" t="s">
        <v>21</v>
      </c>
      <c r="C634" s="171">
        <v>39941</v>
      </c>
      <c r="D634" s="145" t="s">
        <v>326</v>
      </c>
      <c r="E634" s="156">
        <v>26</v>
      </c>
      <c r="F634" s="156">
        <v>1</v>
      </c>
      <c r="G634" s="156">
        <v>23</v>
      </c>
      <c r="H634" s="157">
        <v>2376</v>
      </c>
      <c r="I634" s="158">
        <v>594</v>
      </c>
      <c r="J634" s="129">
        <f t="shared" si="62"/>
        <v>594</v>
      </c>
      <c r="K634" s="130">
        <f t="shared" si="60"/>
        <v>4</v>
      </c>
      <c r="L634" s="154">
        <f>36482.75+16583.5+5922.75+3249+4769+4925+4199.5+5525+366+924+414+2215+2444+33+1987+838+1440+537+604+3792+2376+1780+3800+2376</f>
        <v>107582.5</v>
      </c>
      <c r="M634" s="153">
        <f>4495+1934+744+517+1003+1215+722+968+65+193+83+369+384+5+336+159+238+83+151+948+594+445+950+594</f>
        <v>17195</v>
      </c>
      <c r="N634" s="133">
        <f t="shared" si="63"/>
        <v>6.256615295143937</v>
      </c>
      <c r="O634" s="349"/>
      <c r="P634" s="334"/>
      <c r="Q634" s="83"/>
      <c r="R634" s="83"/>
      <c r="S634" s="83"/>
      <c r="T634" s="83"/>
    </row>
    <row r="635" spans="1:20" ht="12" customHeight="1">
      <c r="A635" s="290">
        <v>631</v>
      </c>
      <c r="B635" s="151" t="s">
        <v>21</v>
      </c>
      <c r="C635" s="139">
        <v>39941</v>
      </c>
      <c r="D635" s="145" t="s">
        <v>326</v>
      </c>
      <c r="E635" s="146">
        <v>26</v>
      </c>
      <c r="F635" s="146">
        <v>1</v>
      </c>
      <c r="G635" s="146">
        <v>21</v>
      </c>
      <c r="H635" s="127">
        <v>1780</v>
      </c>
      <c r="I635" s="128">
        <v>445</v>
      </c>
      <c r="J635" s="129">
        <f t="shared" si="62"/>
        <v>445</v>
      </c>
      <c r="K635" s="130">
        <f t="shared" si="60"/>
        <v>4</v>
      </c>
      <c r="L635" s="131">
        <f>36482.75+16583.5+5922.75+3249+4769+4925+4199.5+5525+366+924+414+2215+2444+33+1987+838+1440+537+604+3792+2376+1780</f>
        <v>101406.5</v>
      </c>
      <c r="M635" s="132">
        <f>4495+1934+744+517+1003+1215+722+968+65+193+83+369+384+5+336+159+238+83+151+948+594+445</f>
        <v>15651</v>
      </c>
      <c r="N635" s="133">
        <f t="shared" si="63"/>
        <v>6.479234553702639</v>
      </c>
      <c r="O635" s="149"/>
      <c r="P635" s="334"/>
      <c r="Q635" s="83"/>
      <c r="R635" s="83"/>
      <c r="S635" s="83"/>
      <c r="T635" s="83"/>
    </row>
    <row r="636" spans="1:20" ht="12" customHeight="1">
      <c r="A636" s="290">
        <v>632</v>
      </c>
      <c r="B636" s="123" t="s">
        <v>21</v>
      </c>
      <c r="C636" s="139">
        <v>39941</v>
      </c>
      <c r="D636" s="145" t="s">
        <v>326</v>
      </c>
      <c r="E636" s="156">
        <v>26</v>
      </c>
      <c r="F636" s="156">
        <v>1</v>
      </c>
      <c r="G636" s="156">
        <v>25</v>
      </c>
      <c r="H636" s="157">
        <v>381.86</v>
      </c>
      <c r="I636" s="158">
        <v>92</v>
      </c>
      <c r="J636" s="129">
        <f t="shared" si="62"/>
        <v>92</v>
      </c>
      <c r="K636" s="130">
        <f t="shared" si="60"/>
        <v>4.150652173913044</v>
      </c>
      <c r="L636" s="154">
        <f>36482.75+16583.5+5922.75+3249+4769+4925+4199.5+5525+366+924+414+2215+2444+33+1987+838+1440+537+604+3792+2376+1780+3800+2376+310.7+381.86</f>
        <v>108275.06</v>
      </c>
      <c r="M636" s="153">
        <f>4495+1934+744+517+1003+1215+722+968+65+193+83+369+384+5+336+159+238+83+151+948+594+445+950+594+72+92</f>
        <v>17359</v>
      </c>
      <c r="N636" s="133">
        <f t="shared" si="63"/>
        <v>6.237401924073967</v>
      </c>
      <c r="O636" s="351"/>
      <c r="P636" s="334"/>
      <c r="Q636" s="83"/>
      <c r="R636" s="83"/>
      <c r="S636" s="83"/>
      <c r="T636" s="83"/>
    </row>
    <row r="637" spans="1:20" ht="12" customHeight="1">
      <c r="A637" s="290">
        <v>633</v>
      </c>
      <c r="B637" s="123" t="s">
        <v>21</v>
      </c>
      <c r="C637" s="139">
        <v>39941</v>
      </c>
      <c r="D637" s="145" t="s">
        <v>326</v>
      </c>
      <c r="E637" s="156">
        <v>26</v>
      </c>
      <c r="F637" s="156">
        <v>1</v>
      </c>
      <c r="G637" s="156">
        <v>24</v>
      </c>
      <c r="H637" s="157">
        <v>310.7</v>
      </c>
      <c r="I637" s="158">
        <v>72</v>
      </c>
      <c r="J637" s="129">
        <f t="shared" si="62"/>
        <v>72</v>
      </c>
      <c r="K637" s="130">
        <f t="shared" si="60"/>
        <v>4.315277777777777</v>
      </c>
      <c r="L637" s="154">
        <f>36482.75+16583.5+5922.75+3249+4769+4925+4199.5+5525+366+924+414+2215+2444+33+1987+838+1440+537+604+3792+2376+1780+3800+2376+310.7</f>
        <v>107893.2</v>
      </c>
      <c r="M637" s="153">
        <f>4495+1934+744+517+1003+1215+722+968+65+193+83+369+384+5+336+159+238+83+151+948+594+445+950+594+72</f>
        <v>17267</v>
      </c>
      <c r="N637" s="133">
        <f t="shared" si="63"/>
        <v>6.248520298835929</v>
      </c>
      <c r="O637" s="148"/>
      <c r="P637" s="334"/>
      <c r="Q637" s="83"/>
      <c r="R637" s="83"/>
      <c r="S637" s="83"/>
      <c r="T637" s="83"/>
    </row>
    <row r="638" spans="1:20" ht="12" customHeight="1">
      <c r="A638" s="290">
        <v>634</v>
      </c>
      <c r="B638" s="151" t="s">
        <v>427</v>
      </c>
      <c r="C638" s="171">
        <v>39976</v>
      </c>
      <c r="D638" s="145" t="s">
        <v>326</v>
      </c>
      <c r="E638" s="156">
        <v>2</v>
      </c>
      <c r="F638" s="156">
        <v>1</v>
      </c>
      <c r="G638" s="156">
        <v>16</v>
      </c>
      <c r="H638" s="157">
        <v>1780</v>
      </c>
      <c r="I638" s="158">
        <v>445</v>
      </c>
      <c r="J638" s="129">
        <f t="shared" si="62"/>
        <v>445</v>
      </c>
      <c r="K638" s="130">
        <f t="shared" si="60"/>
        <v>4</v>
      </c>
      <c r="L638" s="154">
        <f>4047+2102+1183+288+2185+769.5+1362.5+929+117+25+266+133+952+1424+1780+1780</f>
        <v>19343</v>
      </c>
      <c r="M638" s="153">
        <f>502+366+177+30+537+130+151+131+15+2+54+19+238+356+445+445</f>
        <v>3598</v>
      </c>
      <c r="N638" s="133">
        <f t="shared" si="63"/>
        <v>5.376042245692052</v>
      </c>
      <c r="O638" s="185"/>
      <c r="P638" s="334"/>
      <c r="Q638" s="83"/>
      <c r="R638" s="83"/>
      <c r="S638" s="83"/>
      <c r="T638" s="83"/>
    </row>
    <row r="639" spans="1:20" ht="12" customHeight="1">
      <c r="A639" s="290">
        <v>635</v>
      </c>
      <c r="B639" s="151" t="s">
        <v>427</v>
      </c>
      <c r="C639" s="171">
        <v>39976</v>
      </c>
      <c r="D639" s="145" t="s">
        <v>326</v>
      </c>
      <c r="E639" s="156">
        <v>2</v>
      </c>
      <c r="F639" s="156">
        <v>1</v>
      </c>
      <c r="G639" s="156">
        <v>15</v>
      </c>
      <c r="H639" s="157">
        <v>1780</v>
      </c>
      <c r="I639" s="158">
        <v>445</v>
      </c>
      <c r="J639" s="129">
        <f t="shared" si="62"/>
        <v>445</v>
      </c>
      <c r="K639" s="130">
        <f t="shared" si="60"/>
        <v>4</v>
      </c>
      <c r="L639" s="154">
        <f>4047+2102+1183+288+2185+769.5+1362.5+929+117+25+266+133+952+1424+1780</f>
        <v>17563</v>
      </c>
      <c r="M639" s="153">
        <f>502+366+177+30+537+130+151+131+15+2+54+19+238+356+445</f>
        <v>3153</v>
      </c>
      <c r="N639" s="133">
        <f t="shared" si="63"/>
        <v>5.570250555026958</v>
      </c>
      <c r="O639" s="159">
        <v>1</v>
      </c>
      <c r="P639" s="334"/>
      <c r="Q639" s="83"/>
      <c r="R639" s="83"/>
      <c r="S639" s="83"/>
      <c r="T639" s="83"/>
    </row>
    <row r="640" spans="1:20" ht="12" customHeight="1">
      <c r="A640" s="290">
        <v>636</v>
      </c>
      <c r="B640" s="151" t="s">
        <v>427</v>
      </c>
      <c r="C640" s="139">
        <v>39976</v>
      </c>
      <c r="D640" s="145" t="s">
        <v>326</v>
      </c>
      <c r="E640" s="146">
        <v>2</v>
      </c>
      <c r="F640" s="146">
        <v>1</v>
      </c>
      <c r="G640" s="146">
        <v>14</v>
      </c>
      <c r="H640" s="141">
        <v>1424</v>
      </c>
      <c r="I640" s="142">
        <v>356</v>
      </c>
      <c r="J640" s="129">
        <f t="shared" si="62"/>
        <v>356</v>
      </c>
      <c r="K640" s="130">
        <f t="shared" si="60"/>
        <v>4</v>
      </c>
      <c r="L640" s="144">
        <f>4047+2102+1183+288+2185+769.5+1362.5+929+117+25+266+133+952+1424</f>
        <v>15783</v>
      </c>
      <c r="M640" s="143">
        <f>502+366+177+30+537+130+151+131+15+2+54+19+238+356</f>
        <v>2708</v>
      </c>
      <c r="N640" s="133">
        <f t="shared" si="63"/>
        <v>5.828286558345643</v>
      </c>
      <c r="O640" s="149"/>
      <c r="P640" s="334"/>
      <c r="Q640" s="83"/>
      <c r="R640" s="83"/>
      <c r="S640" s="83"/>
      <c r="T640" s="83"/>
    </row>
    <row r="641" spans="1:20" ht="12" customHeight="1">
      <c r="A641" s="290">
        <v>637</v>
      </c>
      <c r="B641" s="182" t="s">
        <v>427</v>
      </c>
      <c r="C641" s="171">
        <v>39976</v>
      </c>
      <c r="D641" s="145" t="s">
        <v>326</v>
      </c>
      <c r="E641" s="156">
        <v>2</v>
      </c>
      <c r="F641" s="156">
        <v>1</v>
      </c>
      <c r="G641" s="156">
        <v>18</v>
      </c>
      <c r="H641" s="157">
        <v>69</v>
      </c>
      <c r="I641" s="158">
        <v>23</v>
      </c>
      <c r="J641" s="129">
        <f t="shared" si="62"/>
        <v>23</v>
      </c>
      <c r="K641" s="130">
        <f t="shared" si="60"/>
        <v>3</v>
      </c>
      <c r="L641" s="154">
        <f>4047+2102+1183+288+2185+769.5+1362.5+929+117+25+266+133+952+1424+1780+1780+66+69</f>
        <v>19478</v>
      </c>
      <c r="M641" s="153">
        <f>502+366+177+30+537+130+151+131+15+2+54+19+238+356+445+445+22+23</f>
        <v>3643</v>
      </c>
      <c r="N641" s="133">
        <f t="shared" si="63"/>
        <v>5.346692286576997</v>
      </c>
      <c r="O641" s="108">
        <v>1</v>
      </c>
      <c r="P641" s="334"/>
      <c r="Q641" s="83"/>
      <c r="R641" s="83"/>
      <c r="S641" s="83"/>
      <c r="T641" s="83"/>
    </row>
    <row r="642" spans="1:20" ht="12" customHeight="1">
      <c r="A642" s="290">
        <v>638</v>
      </c>
      <c r="B642" s="182" t="s">
        <v>427</v>
      </c>
      <c r="C642" s="171">
        <v>39976</v>
      </c>
      <c r="D642" s="145" t="s">
        <v>326</v>
      </c>
      <c r="E642" s="156">
        <v>2</v>
      </c>
      <c r="F642" s="156">
        <v>1</v>
      </c>
      <c r="G642" s="156">
        <v>17</v>
      </c>
      <c r="H642" s="157">
        <v>66</v>
      </c>
      <c r="I642" s="158">
        <v>22</v>
      </c>
      <c r="J642" s="129">
        <f t="shared" si="62"/>
        <v>22</v>
      </c>
      <c r="K642" s="130">
        <f t="shared" si="60"/>
        <v>3</v>
      </c>
      <c r="L642" s="154">
        <f>4047+2102+1183+288+2185+769.5+1362.5+929+117+25+266+133+952+1424+1780+1780+66</f>
        <v>19409</v>
      </c>
      <c r="M642" s="153">
        <f>502+366+177+30+537+130+151+131+15+2+54+19+238+356+445+445+22</f>
        <v>3620</v>
      </c>
      <c r="N642" s="133">
        <f t="shared" si="63"/>
        <v>5.361602209944752</v>
      </c>
      <c r="O642" s="108">
        <v>1</v>
      </c>
      <c r="P642" s="334"/>
      <c r="Q642" s="83"/>
      <c r="R642" s="83"/>
      <c r="S642" s="83"/>
      <c r="T642" s="83"/>
    </row>
    <row r="643" spans="1:20" ht="12" customHeight="1">
      <c r="A643" s="290">
        <v>639</v>
      </c>
      <c r="B643" s="123" t="s">
        <v>401</v>
      </c>
      <c r="C643" s="139">
        <v>40102</v>
      </c>
      <c r="D643" s="125" t="s">
        <v>326</v>
      </c>
      <c r="E643" s="146">
        <v>9</v>
      </c>
      <c r="F643" s="146">
        <v>1</v>
      </c>
      <c r="G643" s="146">
        <v>10</v>
      </c>
      <c r="H643" s="141">
        <v>4065</v>
      </c>
      <c r="I643" s="142">
        <v>335</v>
      </c>
      <c r="J643" s="129">
        <f t="shared" si="62"/>
        <v>335</v>
      </c>
      <c r="K643" s="130">
        <f t="shared" si="60"/>
        <v>12.134328358208956</v>
      </c>
      <c r="L643" s="144">
        <f>140093+133065.5+53545.5+8843.5+1143.5+938+558+224+456+4065</f>
        <v>342932</v>
      </c>
      <c r="M643" s="143">
        <f>10984+10700+4415+806+91+134+57+28+33+335</f>
        <v>27583</v>
      </c>
      <c r="N643" s="133">
        <f t="shared" si="63"/>
        <v>12.432730304897945</v>
      </c>
      <c r="O643" s="148"/>
      <c r="P643" s="334"/>
      <c r="Q643" s="83"/>
      <c r="R643" s="83"/>
      <c r="S643" s="83"/>
      <c r="T643" s="83"/>
    </row>
    <row r="644" spans="1:20" ht="12" customHeight="1">
      <c r="A644" s="290">
        <v>640</v>
      </c>
      <c r="B644" s="123" t="s">
        <v>396</v>
      </c>
      <c r="C644" s="139">
        <v>40102</v>
      </c>
      <c r="D644" s="125" t="s">
        <v>326</v>
      </c>
      <c r="E644" s="146">
        <v>9</v>
      </c>
      <c r="F644" s="146">
        <v>1</v>
      </c>
      <c r="G644" s="146">
        <v>9</v>
      </c>
      <c r="H644" s="141">
        <v>456</v>
      </c>
      <c r="I644" s="142">
        <v>33</v>
      </c>
      <c r="J644" s="129">
        <f t="shared" si="62"/>
        <v>33</v>
      </c>
      <c r="K644" s="130">
        <f t="shared" si="60"/>
        <v>13.818181818181818</v>
      </c>
      <c r="L644" s="144">
        <f>140093+133065.5+53545.5+8843.5+1143.5+938+558+224+456</f>
        <v>338867</v>
      </c>
      <c r="M644" s="143">
        <f>10984+10700+4415+806+91+134+57+28+33</f>
        <v>27248</v>
      </c>
      <c r="N644" s="133">
        <f t="shared" si="63"/>
        <v>12.436399001761597</v>
      </c>
      <c r="O644" s="148"/>
      <c r="P644" s="334"/>
      <c r="Q644" s="83"/>
      <c r="R644" s="83"/>
      <c r="S644" s="83"/>
      <c r="T644" s="83"/>
    </row>
    <row r="645" spans="1:20" ht="12" customHeight="1">
      <c r="A645" s="290">
        <v>641</v>
      </c>
      <c r="B645" s="123" t="s">
        <v>396</v>
      </c>
      <c r="C645" s="139">
        <v>40102</v>
      </c>
      <c r="D645" s="145" t="s">
        <v>326</v>
      </c>
      <c r="E645" s="146">
        <v>9</v>
      </c>
      <c r="F645" s="146">
        <v>1</v>
      </c>
      <c r="G645" s="146">
        <v>8</v>
      </c>
      <c r="H645" s="137">
        <v>224</v>
      </c>
      <c r="I645" s="135">
        <v>28</v>
      </c>
      <c r="J645" s="129">
        <f t="shared" si="62"/>
        <v>28</v>
      </c>
      <c r="K645" s="130">
        <f t="shared" si="60"/>
        <v>8</v>
      </c>
      <c r="L645" s="144">
        <f>140093+133065.5+53545.5+8843.5+1143.5+938+558+224</f>
        <v>338411</v>
      </c>
      <c r="M645" s="143">
        <f>10984+10700+4415+806+91+134+57+28</f>
        <v>27215</v>
      </c>
      <c r="N645" s="133">
        <f t="shared" si="63"/>
        <v>12.434723498070916</v>
      </c>
      <c r="O645" s="147"/>
      <c r="P645" s="334"/>
      <c r="Q645" s="83"/>
      <c r="R645" s="83"/>
      <c r="S645" s="83"/>
      <c r="T645" s="83"/>
    </row>
    <row r="646" spans="1:20" ht="12" customHeight="1">
      <c r="A646" s="290">
        <v>642</v>
      </c>
      <c r="B646" s="506" t="s">
        <v>239</v>
      </c>
      <c r="C646" s="440">
        <v>39829</v>
      </c>
      <c r="D646" s="485" t="s">
        <v>326</v>
      </c>
      <c r="E646" s="486">
        <v>65</v>
      </c>
      <c r="F646" s="486">
        <v>3</v>
      </c>
      <c r="G646" s="486">
        <v>43</v>
      </c>
      <c r="H646" s="442">
        <v>4276</v>
      </c>
      <c r="I646" s="443">
        <v>1069</v>
      </c>
      <c r="J646" s="444">
        <f>(I646/F646)</f>
        <v>356.3333333333333</v>
      </c>
      <c r="K646" s="445">
        <f t="shared" si="60"/>
        <v>4</v>
      </c>
      <c r="L646" s="446">
        <f>237023+244842+160469+47021+21536+18820+18020.5+26440+10695+9162.5+9870+6322+1787+2032+757+348+420.5+158+4053+339.5+3161.5+1729.5+752+1417+1780+64+1208+952+552+139.5+544+40+8072+1780+1424+1780+440+1780+1188+2612+952+712+4276</f>
        <v>857471.5</v>
      </c>
      <c r="M646" s="447">
        <f>25678+28966+21290+6590+4890+3520+3479+4786+1907+1716+2388+1533+368+541+126+70+67+48+991+81+743+414+155+169+445+16+302+238+117+23+48+12+2018+445+356+445+55+445+297+653+238+178+1069</f>
        <v>117916</v>
      </c>
      <c r="N646" s="451">
        <f>L646/M646</f>
        <v>7.2718842226669835</v>
      </c>
      <c r="O646" s="108"/>
      <c r="P646" s="334"/>
      <c r="Q646" s="83"/>
      <c r="R646" s="83"/>
      <c r="S646" s="83"/>
      <c r="T646" s="83"/>
    </row>
    <row r="647" spans="1:20" ht="12" customHeight="1">
      <c r="A647" s="290">
        <v>643</v>
      </c>
      <c r="B647" s="183" t="s">
        <v>239</v>
      </c>
      <c r="C647" s="139">
        <v>39829</v>
      </c>
      <c r="D647" s="145" t="s">
        <v>326</v>
      </c>
      <c r="E647" s="146">
        <v>65</v>
      </c>
      <c r="F647" s="146">
        <v>2</v>
      </c>
      <c r="G647" s="146">
        <v>40</v>
      </c>
      <c r="H647" s="137">
        <v>2612</v>
      </c>
      <c r="I647" s="135">
        <v>505</v>
      </c>
      <c r="J647" s="129">
        <f aca="true" t="shared" si="64" ref="J647:J667">I647/F647</f>
        <v>252.5</v>
      </c>
      <c r="K647" s="130">
        <f t="shared" si="60"/>
        <v>5.172277227722772</v>
      </c>
      <c r="L647" s="144">
        <f>237023+244842+160469+47021+21536+18820+18020.5+26440+10695+9162.5+9870+6322+1787+2032+757+348+420.5+158+4053+339.5+3161.5+1729.5+752+1417+1780+64+1208+952+552+139.5+544+40+8072+1780+1424+1780+440+1780+1188+2612</f>
        <v>851531.5</v>
      </c>
      <c r="M647" s="143">
        <f>25678+28966+21290+6590+4890+3520+3479+4786+1907+1716+2388+1533+368+541+126+70+67+48+991+81+743+414+155+169+445+16+302+238+117+23+48+12+2018+445+356+445+55+445+297+505</f>
        <v>116283</v>
      </c>
      <c r="N647" s="133">
        <f aca="true" t="shared" si="65" ref="N647:N667">+L647/M647</f>
        <v>7.322923385189581</v>
      </c>
      <c r="O647" s="149">
        <v>1</v>
      </c>
      <c r="P647" s="334"/>
      <c r="Q647" s="83"/>
      <c r="R647" s="83"/>
      <c r="S647" s="83"/>
      <c r="T647" s="83"/>
    </row>
    <row r="648" spans="1:20" ht="12" customHeight="1">
      <c r="A648" s="290">
        <v>644</v>
      </c>
      <c r="B648" s="151" t="s">
        <v>239</v>
      </c>
      <c r="C648" s="139">
        <v>39829</v>
      </c>
      <c r="D648" s="145" t="s">
        <v>326</v>
      </c>
      <c r="E648" s="146">
        <v>65</v>
      </c>
      <c r="F648" s="146">
        <v>1</v>
      </c>
      <c r="G648" s="146">
        <v>34</v>
      </c>
      <c r="H648" s="127">
        <v>1780</v>
      </c>
      <c r="I648" s="128">
        <v>445</v>
      </c>
      <c r="J648" s="129">
        <f t="shared" si="64"/>
        <v>445</v>
      </c>
      <c r="K648" s="130">
        <f t="shared" si="60"/>
        <v>4</v>
      </c>
      <c r="L648" s="131">
        <f>237023+244842+160469+47021+21536+18820+18020.5+26440+10695+9162.5+9870+6322+1787+2032+757+348+420.5+158+4053+339.5+3161.5+1729.5+752+1417+1780+64+1208+952+552+139.5+544+40+8072+1780</f>
        <v>842307.5</v>
      </c>
      <c r="M648" s="132">
        <f>25678+28966+21290+6590+4890+3520+3479+4786+1907+1716+2388+1533+368+541+126+70+67+48+991+81+743+414+155+169+445+16+302+238+117+23+48+12+2018+445</f>
        <v>114180</v>
      </c>
      <c r="N648" s="133">
        <f t="shared" si="65"/>
        <v>7.377014363286039</v>
      </c>
      <c r="O648" s="149">
        <v>1</v>
      </c>
      <c r="P648" s="334"/>
      <c r="Q648" s="83"/>
      <c r="R648" s="83"/>
      <c r="S648" s="83"/>
      <c r="T648" s="83"/>
    </row>
    <row r="649" spans="1:20" ht="12" customHeight="1">
      <c r="A649" s="290">
        <v>645</v>
      </c>
      <c r="B649" s="151" t="s">
        <v>239</v>
      </c>
      <c r="C649" s="139">
        <v>39829</v>
      </c>
      <c r="D649" s="145" t="s">
        <v>326</v>
      </c>
      <c r="E649" s="146">
        <v>65</v>
      </c>
      <c r="F649" s="146">
        <v>1</v>
      </c>
      <c r="G649" s="146">
        <v>36</v>
      </c>
      <c r="H649" s="141">
        <v>1780</v>
      </c>
      <c r="I649" s="142">
        <v>445</v>
      </c>
      <c r="J649" s="129">
        <f t="shared" si="64"/>
        <v>445</v>
      </c>
      <c r="K649" s="130">
        <f t="shared" si="60"/>
        <v>4</v>
      </c>
      <c r="L649" s="144">
        <f>237023+244842+160469+47021+21536+18820+18020.5+26440+10695+9162.5+9870+6322+1787+2032+757+348+420.5+158+4053+339.5+3161.5+1729.5+752+1417+1780+64+1208+952+552+139.5+544+40+8072+1780+1424+1780</f>
        <v>845511.5</v>
      </c>
      <c r="M649" s="143">
        <f>25678+28966+21290+6590+4890+3520+3479+4786+1907+1716+2388+1533+368+541+126+70+67+48+991+81+743+414+155+169+445+16+302+238+117+23+48+12+2018+445+356+445</f>
        <v>114981</v>
      </c>
      <c r="N649" s="133">
        <f t="shared" si="65"/>
        <v>7.35348883728616</v>
      </c>
      <c r="O649" s="149"/>
      <c r="P649" s="334"/>
      <c r="Q649" s="83"/>
      <c r="R649" s="83"/>
      <c r="S649" s="83"/>
      <c r="T649" s="83"/>
    </row>
    <row r="650" spans="1:20" ht="12" customHeight="1">
      <c r="A650" s="290">
        <v>646</v>
      </c>
      <c r="B650" s="123" t="s">
        <v>239</v>
      </c>
      <c r="C650" s="124">
        <v>39829</v>
      </c>
      <c r="D650" s="145" t="s">
        <v>326</v>
      </c>
      <c r="E650" s="126">
        <v>65</v>
      </c>
      <c r="F650" s="126">
        <v>1</v>
      </c>
      <c r="G650" s="126">
        <v>38</v>
      </c>
      <c r="H650" s="127">
        <v>1780</v>
      </c>
      <c r="I650" s="135">
        <v>445</v>
      </c>
      <c r="J650" s="129">
        <f t="shared" si="64"/>
        <v>445</v>
      </c>
      <c r="K650" s="130">
        <f t="shared" si="60"/>
        <v>4</v>
      </c>
      <c r="L650" s="131">
        <f>237023+244842+160469+47021+21536+18820+18020.5+26440+10695+9162.5+9870+6322+1787+2032+757+348+420.5+158+4053+339.5+3161.5+1729.5+752+1417+1780+64+1208+952+552+139.5+544+40+8072+1780+1424+1780+440+1780</f>
        <v>847731.5</v>
      </c>
      <c r="M650" s="136">
        <f>25678+28966+21290+6590+4890+3520+3479+4786+1907+1716+2388+1533+368+541+126+70+67+48+991+81+743+414+155+169+445+16+302+238+117+23+48+12+2018+445+356+445+55+445</f>
        <v>115481</v>
      </c>
      <c r="N650" s="133">
        <f t="shared" si="65"/>
        <v>7.340874256371178</v>
      </c>
      <c r="O650" s="352"/>
      <c r="P650" s="334"/>
      <c r="Q650" s="83"/>
      <c r="R650" s="83"/>
      <c r="S650" s="83"/>
      <c r="T650" s="83"/>
    </row>
    <row r="651" spans="1:20" ht="12" customHeight="1">
      <c r="A651" s="290">
        <v>647</v>
      </c>
      <c r="B651" s="167" t="s">
        <v>239</v>
      </c>
      <c r="C651" s="168">
        <v>39829</v>
      </c>
      <c r="D651" s="145" t="s">
        <v>326</v>
      </c>
      <c r="E651" s="169">
        <v>65</v>
      </c>
      <c r="F651" s="169">
        <v>1</v>
      </c>
      <c r="G651" s="169">
        <v>35</v>
      </c>
      <c r="H651" s="137">
        <v>1424</v>
      </c>
      <c r="I651" s="135">
        <v>356</v>
      </c>
      <c r="J651" s="129">
        <f t="shared" si="64"/>
        <v>356</v>
      </c>
      <c r="K651" s="130">
        <f t="shared" si="60"/>
        <v>4</v>
      </c>
      <c r="L651" s="138">
        <f>237023+244842+160469+47021+21536+18820+18020.5+26440+10695+9162.5+9870+6322+1787+2032+757+348+420.5+158+4053+339.5+3161.5+1729.5+752+1417+1780+64+1208+952+552+139.5+544+40+8072+1780+1424</f>
        <v>843731.5</v>
      </c>
      <c r="M651" s="136">
        <f>25678+28966+21290+6590+4890+3520+3479+4786+1907+1716+2388+1533+368+541+126+70+67+48+991+81+743+414+155+169+445+16+302+238+117+23+48+12+2018+445+356</f>
        <v>114536</v>
      </c>
      <c r="N651" s="133">
        <f t="shared" si="65"/>
        <v>7.366517950687993</v>
      </c>
      <c r="O651" s="148"/>
      <c r="P651" s="334"/>
      <c r="Q651" s="83"/>
      <c r="R651" s="83"/>
      <c r="S651" s="83"/>
      <c r="T651" s="83"/>
    </row>
    <row r="652" spans="1:20" ht="12" customHeight="1">
      <c r="A652" s="290">
        <v>648</v>
      </c>
      <c r="B652" s="182" t="s">
        <v>239</v>
      </c>
      <c r="C652" s="139">
        <v>39829</v>
      </c>
      <c r="D652" s="145" t="s">
        <v>326</v>
      </c>
      <c r="E652" s="156">
        <v>65</v>
      </c>
      <c r="F652" s="156">
        <v>1</v>
      </c>
      <c r="G652" s="156">
        <v>39</v>
      </c>
      <c r="H652" s="157">
        <v>1188</v>
      </c>
      <c r="I652" s="158">
        <v>297</v>
      </c>
      <c r="J652" s="129">
        <f t="shared" si="64"/>
        <v>297</v>
      </c>
      <c r="K652" s="130">
        <f t="shared" si="60"/>
        <v>4</v>
      </c>
      <c r="L652" s="154">
        <f>237023+244842+160469+47021+21536+18820+18020.5+26440+10695+9162.5+9870+6322+1787+2032+757+348+420.5+158+4053+339.5+3161.5+1729.5+752+1417+1780+64+1208+952+552+139.5+544+40+8072+1780+1424+1780+440+1780+1188</f>
        <v>848919.5</v>
      </c>
      <c r="M652" s="153">
        <f>25678+28966+21290+6590+4890+3520+3479+4786+1907+1716+2388+1533+368+541+126+70+67+48+991+81+743+414+155+169+445+16+302+238+117+23+48+12+2018+445+356+445+55+445+297</f>
        <v>115778</v>
      </c>
      <c r="N652" s="133">
        <f t="shared" si="65"/>
        <v>7.332304064675499</v>
      </c>
      <c r="O652" s="149"/>
      <c r="P652" s="334"/>
      <c r="Q652" s="83"/>
      <c r="R652" s="83"/>
      <c r="S652" s="83"/>
      <c r="T652" s="83"/>
    </row>
    <row r="653" spans="1:20" ht="12" customHeight="1">
      <c r="A653" s="290">
        <v>649</v>
      </c>
      <c r="B653" s="123" t="s">
        <v>239</v>
      </c>
      <c r="C653" s="124">
        <v>39829</v>
      </c>
      <c r="D653" s="125" t="s">
        <v>326</v>
      </c>
      <c r="E653" s="126">
        <v>65</v>
      </c>
      <c r="F653" s="126">
        <v>1</v>
      </c>
      <c r="G653" s="126">
        <v>41</v>
      </c>
      <c r="H653" s="137">
        <v>952</v>
      </c>
      <c r="I653" s="135">
        <v>238</v>
      </c>
      <c r="J653" s="129">
        <f t="shared" si="64"/>
        <v>238</v>
      </c>
      <c r="K653" s="130">
        <f t="shared" si="60"/>
        <v>4</v>
      </c>
      <c r="L653" s="138">
        <f>237023+244842+160469+47021+21536+18820+18020.5+26440+10695+9162.5+9870+6322+1787+2032+757+348+420.5+158+4053+339.5+3161.5+1729.5+752+1417+1780+64+1208+952+552+139.5+544+40+8072+1780+1424+1780+440+1780+1188+2612+952</f>
        <v>852483.5</v>
      </c>
      <c r="M653" s="136">
        <f>25678+28966+21290+6590+4890+3520+3479+4786+1907+1716+2388+1533+368+541+126+70+67+48+991+81+743+414+155+169+445+16+302+238+117+23+48+12+2018+445+356+445+55+445+297+653+238</f>
        <v>116669</v>
      </c>
      <c r="N653" s="133">
        <f t="shared" si="65"/>
        <v>7.306855291465599</v>
      </c>
      <c r="O653" s="109"/>
      <c r="P653" s="334"/>
      <c r="Q653" s="83"/>
      <c r="R653" s="83"/>
      <c r="S653" s="83"/>
      <c r="T653" s="83"/>
    </row>
    <row r="654" spans="1:20" ht="12" customHeight="1">
      <c r="A654" s="290">
        <v>650</v>
      </c>
      <c r="B654" s="123" t="s">
        <v>239</v>
      </c>
      <c r="C654" s="139">
        <v>39829</v>
      </c>
      <c r="D654" s="125" t="s">
        <v>326</v>
      </c>
      <c r="E654" s="146">
        <v>65</v>
      </c>
      <c r="F654" s="146">
        <v>1</v>
      </c>
      <c r="G654" s="146">
        <v>42</v>
      </c>
      <c r="H654" s="141">
        <v>712</v>
      </c>
      <c r="I654" s="142">
        <v>178</v>
      </c>
      <c r="J654" s="129">
        <f t="shared" si="64"/>
        <v>178</v>
      </c>
      <c r="K654" s="130">
        <f t="shared" si="60"/>
        <v>4</v>
      </c>
      <c r="L654" s="144">
        <f>237023+244842+160469+47021+21536+18820+18020.5+26440+10695+9162.5+9870+6322+1787+2032+757+348+420.5+158+4053+339.5+3161.5+1729.5+752+1417+1780+64+1208+952+552+139.5+544+40+8072+1780+1424+1780+440+1780+1188+2612+952+712</f>
        <v>853195.5</v>
      </c>
      <c r="M654" s="143">
        <f>25678+28966+21290+6590+4890+3520+3479+4786+1907+1716+2388+1533+368+541+126+70+67+48+991+81+743+414+155+169+445+16+302+238+117+23+48+12+2018+445+356+445+55+445+297+653+238+178</f>
        <v>116847</v>
      </c>
      <c r="N654" s="133">
        <f t="shared" si="65"/>
        <v>7.301817761688362</v>
      </c>
      <c r="O654" s="149">
        <v>1</v>
      </c>
      <c r="P654" s="334"/>
      <c r="Q654" s="83"/>
      <c r="R654" s="83"/>
      <c r="S654" s="83"/>
      <c r="T654" s="83"/>
    </row>
    <row r="655" spans="1:20" ht="12" customHeight="1">
      <c r="A655" s="290">
        <v>651</v>
      </c>
      <c r="B655" s="151" t="s">
        <v>239</v>
      </c>
      <c r="C655" s="171">
        <v>39829</v>
      </c>
      <c r="D655" s="145" t="s">
        <v>326</v>
      </c>
      <c r="E655" s="156">
        <v>65</v>
      </c>
      <c r="F655" s="156">
        <v>1</v>
      </c>
      <c r="G655" s="156">
        <v>37</v>
      </c>
      <c r="H655" s="157">
        <v>440</v>
      </c>
      <c r="I655" s="158">
        <v>55</v>
      </c>
      <c r="J655" s="129">
        <f t="shared" si="64"/>
        <v>55</v>
      </c>
      <c r="K655" s="130">
        <f t="shared" si="60"/>
        <v>8</v>
      </c>
      <c r="L655" s="154">
        <f>237023+244842+160469+47021+21536+18820+18020.5+26440+10695+9162.5+9870+6322+1787+2032+757+348+420.5+158+4053+339.5+3161.5+1729.5+752+1417+1780+64+1208+952+552+139.5+544+40+8072+1780+1424+1780+440</f>
        <v>845951.5</v>
      </c>
      <c r="M655" s="153">
        <f>25678+28966+21290+6590+4890+3520+3479+4786+1907+1716+2388+1533+368+541+126+70+67+48+991+81+743+414+155+169+445+16+302+238+117+23+48+12+2018+445+356+445+55</f>
        <v>115036</v>
      </c>
      <c r="N655" s="133">
        <f t="shared" si="65"/>
        <v>7.353797941513961</v>
      </c>
      <c r="O655" s="349"/>
      <c r="P655" s="334"/>
      <c r="Q655" s="83"/>
      <c r="R655" s="83"/>
      <c r="S655" s="83"/>
      <c r="T655" s="83"/>
    </row>
    <row r="656" spans="1:20" ht="12" customHeight="1">
      <c r="A656" s="290">
        <v>652</v>
      </c>
      <c r="B656" s="151" t="s">
        <v>22</v>
      </c>
      <c r="C656" s="139">
        <v>40172</v>
      </c>
      <c r="D656" s="145" t="s">
        <v>353</v>
      </c>
      <c r="E656" s="146">
        <v>10</v>
      </c>
      <c r="F656" s="146">
        <v>9</v>
      </c>
      <c r="G656" s="146">
        <v>3</v>
      </c>
      <c r="H656" s="150">
        <v>3129.5</v>
      </c>
      <c r="I656" s="152">
        <v>431</v>
      </c>
      <c r="J656" s="129">
        <f t="shared" si="64"/>
        <v>47.888888888888886</v>
      </c>
      <c r="K656" s="130">
        <f t="shared" si="60"/>
        <v>7.261020881670533</v>
      </c>
      <c r="L656" s="154">
        <f>9917+0.75+3107+3129+0.5</f>
        <v>16154.25</v>
      </c>
      <c r="M656" s="153">
        <f>987+335+431</f>
        <v>1753</v>
      </c>
      <c r="N656" s="133">
        <f t="shared" si="65"/>
        <v>9.215202509982886</v>
      </c>
      <c r="O656" s="149"/>
      <c r="P656" s="334"/>
      <c r="Q656" s="83"/>
      <c r="R656" s="83"/>
      <c r="S656" s="83"/>
      <c r="T656" s="83"/>
    </row>
    <row r="657" spans="1:20" ht="12" customHeight="1">
      <c r="A657" s="290">
        <v>653</v>
      </c>
      <c r="B657" s="151" t="s">
        <v>23</v>
      </c>
      <c r="C657" s="139">
        <v>40172</v>
      </c>
      <c r="D657" s="140" t="s">
        <v>353</v>
      </c>
      <c r="E657" s="146">
        <v>10</v>
      </c>
      <c r="F657" s="146">
        <v>9</v>
      </c>
      <c r="G657" s="146">
        <v>2</v>
      </c>
      <c r="H657" s="150">
        <v>3107</v>
      </c>
      <c r="I657" s="152">
        <v>335</v>
      </c>
      <c r="J657" s="129">
        <f t="shared" si="64"/>
        <v>37.22222222222222</v>
      </c>
      <c r="K657" s="130">
        <f t="shared" si="60"/>
        <v>9.274626865671642</v>
      </c>
      <c r="L657" s="154">
        <f>9917+0.75+3107</f>
        <v>13024.75</v>
      </c>
      <c r="M657" s="153">
        <f>987+335</f>
        <v>1322</v>
      </c>
      <c r="N657" s="133">
        <f t="shared" si="65"/>
        <v>9.85230711043873</v>
      </c>
      <c r="O657" s="149"/>
      <c r="P657" s="334"/>
      <c r="Q657" s="83"/>
      <c r="R657" s="83"/>
      <c r="S657" s="83"/>
      <c r="T657" s="83"/>
    </row>
    <row r="658" spans="1:20" ht="12" customHeight="1">
      <c r="A658" s="290">
        <v>654</v>
      </c>
      <c r="B658" s="151" t="s">
        <v>23</v>
      </c>
      <c r="C658" s="139">
        <v>40172</v>
      </c>
      <c r="D658" s="145" t="s">
        <v>353</v>
      </c>
      <c r="E658" s="146">
        <v>10</v>
      </c>
      <c r="F658" s="146">
        <v>5</v>
      </c>
      <c r="G658" s="146">
        <v>4</v>
      </c>
      <c r="H658" s="150">
        <v>2355</v>
      </c>
      <c r="I658" s="142">
        <v>415</v>
      </c>
      <c r="J658" s="129">
        <f t="shared" si="64"/>
        <v>83</v>
      </c>
      <c r="K658" s="130">
        <f t="shared" si="60"/>
        <v>5.674698795180723</v>
      </c>
      <c r="L658" s="154">
        <f>9917+0.75+3107+3129+0.5+2355</f>
        <v>18509.25</v>
      </c>
      <c r="M658" s="143">
        <f>987+335+431+415</f>
        <v>2168</v>
      </c>
      <c r="N658" s="133">
        <f t="shared" si="65"/>
        <v>8.537476937269373</v>
      </c>
      <c r="O658" s="108"/>
      <c r="P658" s="334"/>
      <c r="Q658" s="83"/>
      <c r="R658" s="83"/>
      <c r="S658" s="83"/>
      <c r="T658" s="83"/>
    </row>
    <row r="659" spans="1:20" ht="12" customHeight="1">
      <c r="A659" s="290">
        <v>655</v>
      </c>
      <c r="B659" s="151" t="s">
        <v>23</v>
      </c>
      <c r="C659" s="139">
        <v>40172</v>
      </c>
      <c r="D659" s="134" t="s">
        <v>353</v>
      </c>
      <c r="E659" s="146">
        <v>10</v>
      </c>
      <c r="F659" s="146">
        <v>4</v>
      </c>
      <c r="G659" s="146">
        <v>5</v>
      </c>
      <c r="H659" s="141">
        <v>1019</v>
      </c>
      <c r="I659" s="142">
        <v>152</v>
      </c>
      <c r="J659" s="129">
        <f t="shared" si="64"/>
        <v>38</v>
      </c>
      <c r="K659" s="130">
        <f t="shared" si="60"/>
        <v>6.703947368421052</v>
      </c>
      <c r="L659" s="144">
        <f>9917+0.75+3107+3129+0.5+2355+1019</f>
        <v>19528.25</v>
      </c>
      <c r="M659" s="143">
        <f>987+335+431+415+152</f>
        <v>2320</v>
      </c>
      <c r="N659" s="133">
        <f t="shared" si="65"/>
        <v>8.417349137931035</v>
      </c>
      <c r="O659" s="108"/>
      <c r="P659" s="334"/>
      <c r="Q659" s="83"/>
      <c r="R659" s="83"/>
      <c r="S659" s="83"/>
      <c r="T659" s="83"/>
    </row>
    <row r="660" spans="1:20" ht="12" customHeight="1">
      <c r="A660" s="290">
        <v>656</v>
      </c>
      <c r="B660" s="151" t="s">
        <v>23</v>
      </c>
      <c r="C660" s="139">
        <v>40172</v>
      </c>
      <c r="D660" s="155" t="s">
        <v>353</v>
      </c>
      <c r="E660" s="146">
        <v>10</v>
      </c>
      <c r="F660" s="146">
        <v>2</v>
      </c>
      <c r="G660" s="146">
        <v>5</v>
      </c>
      <c r="H660" s="141">
        <v>371</v>
      </c>
      <c r="I660" s="142">
        <v>63</v>
      </c>
      <c r="J660" s="129">
        <f t="shared" si="64"/>
        <v>31.5</v>
      </c>
      <c r="K660" s="130">
        <f t="shared" si="60"/>
        <v>5.888888888888889</v>
      </c>
      <c r="L660" s="144">
        <f>9917+0.75+3107+3129+0.5+2355+1019+371</f>
        <v>19899.25</v>
      </c>
      <c r="M660" s="143">
        <f>987+335+431+415+152+63</f>
        <v>2383</v>
      </c>
      <c r="N660" s="133">
        <f t="shared" si="65"/>
        <v>8.350503566932439</v>
      </c>
      <c r="O660" s="159"/>
      <c r="P660" s="334"/>
      <c r="Q660" s="83"/>
      <c r="R660" s="83"/>
      <c r="S660" s="83"/>
      <c r="T660" s="83"/>
    </row>
    <row r="661" spans="1:20" ht="12" customHeight="1">
      <c r="A661" s="290">
        <v>657</v>
      </c>
      <c r="B661" s="123" t="s">
        <v>10</v>
      </c>
      <c r="C661" s="139">
        <v>39836</v>
      </c>
      <c r="D661" s="125" t="s">
        <v>326</v>
      </c>
      <c r="E661" s="146">
        <v>13</v>
      </c>
      <c r="F661" s="146">
        <v>1</v>
      </c>
      <c r="G661" s="146">
        <v>27</v>
      </c>
      <c r="H661" s="141">
        <v>4160</v>
      </c>
      <c r="I661" s="142">
        <v>1040</v>
      </c>
      <c r="J661" s="129">
        <f t="shared" si="64"/>
        <v>1040</v>
      </c>
      <c r="K661" s="130">
        <f t="shared" si="60"/>
        <v>4</v>
      </c>
      <c r="L661" s="144">
        <f>57133.5+23554+18557+9186+29743.5+13631.5+13446+7072+7029+8018.5+7220.5+2856.5+1828+102+3517+635+324+30+2146+1842+376+154+799+463.52+415.64+339.28+4160</f>
        <v>214579.44</v>
      </c>
      <c r="M661" s="143">
        <f>5405+2651+2356+1389+3583+1713+1661+1216+1174+1324+1425+542+453+16+757+96+108+10+508+436+35+14+67+102+95+80+1040</f>
        <v>28256</v>
      </c>
      <c r="N661" s="133">
        <f t="shared" si="65"/>
        <v>7.594119479048698</v>
      </c>
      <c r="O661" s="149"/>
      <c r="P661" s="334"/>
      <c r="Q661" s="83"/>
      <c r="R661" s="83"/>
      <c r="S661" s="83"/>
      <c r="T661" s="83"/>
    </row>
    <row r="662" spans="1:20" ht="12" customHeight="1">
      <c r="A662" s="290">
        <v>658</v>
      </c>
      <c r="B662" s="123" t="s">
        <v>10</v>
      </c>
      <c r="C662" s="139">
        <v>39836</v>
      </c>
      <c r="D662" s="145" t="s">
        <v>326</v>
      </c>
      <c r="E662" s="156">
        <v>13</v>
      </c>
      <c r="F662" s="156">
        <v>1</v>
      </c>
      <c r="G662" s="156">
        <v>24</v>
      </c>
      <c r="H662" s="157">
        <v>463.52</v>
      </c>
      <c r="I662" s="158">
        <v>102</v>
      </c>
      <c r="J662" s="129">
        <f t="shared" si="64"/>
        <v>102</v>
      </c>
      <c r="K662" s="130">
        <f t="shared" si="60"/>
        <v>4.544313725490196</v>
      </c>
      <c r="L662" s="154">
        <f>57133.5+23554+18557+9186+29743.5+13631.5+13446+7072+7029+8018.5+7220.5+2856.5+1828+102+3517+635+324+30+2146+1842+376+154+799+463.52</f>
        <v>209664.52</v>
      </c>
      <c r="M662" s="153">
        <f>5405+2651+2356+1389+3583+1713+1661+1216+1174+1324+1425+542+453+16+757+96+108+10+508+436+35+14+67+102</f>
        <v>27041</v>
      </c>
      <c r="N662" s="133">
        <f t="shared" si="65"/>
        <v>7.753578639843201</v>
      </c>
      <c r="O662" s="185"/>
      <c r="P662" s="334"/>
      <c r="Q662" s="83"/>
      <c r="R662" s="83"/>
      <c r="S662" s="83"/>
      <c r="T662" s="83"/>
    </row>
    <row r="663" spans="1:20" ht="12" customHeight="1">
      <c r="A663" s="290">
        <v>659</v>
      </c>
      <c r="B663" s="123" t="s">
        <v>10</v>
      </c>
      <c r="C663" s="139">
        <v>39836</v>
      </c>
      <c r="D663" s="145" t="s">
        <v>326</v>
      </c>
      <c r="E663" s="156">
        <v>13</v>
      </c>
      <c r="F663" s="156">
        <v>1</v>
      </c>
      <c r="G663" s="156">
        <v>25</v>
      </c>
      <c r="H663" s="157">
        <v>415.64</v>
      </c>
      <c r="I663" s="158">
        <v>95</v>
      </c>
      <c r="J663" s="129">
        <f t="shared" si="64"/>
        <v>95</v>
      </c>
      <c r="K663" s="130">
        <f t="shared" si="60"/>
        <v>4.375157894736842</v>
      </c>
      <c r="L663" s="154">
        <f>57133.5+23554+18557+9186+29743.5+13631.5+13446+7072+7029+8018.5+7220.5+2856.5+1828+102+3517+635+324+30+2146+1842+376+154+799+463.52+415.64</f>
        <v>210080.16</v>
      </c>
      <c r="M663" s="153">
        <f>5405+2651+2356+1389+3583+1713+1661+1216+1174+1324+1425+542+453+16+757+96+108+10+508+436+35+14+67+102+95</f>
        <v>27136</v>
      </c>
      <c r="N663" s="133">
        <f t="shared" si="65"/>
        <v>7.741751179245283</v>
      </c>
      <c r="O663" s="149"/>
      <c r="P663" s="334"/>
      <c r="Q663" s="83"/>
      <c r="R663" s="83"/>
      <c r="S663" s="83"/>
      <c r="T663" s="83"/>
    </row>
    <row r="664" spans="1:20" ht="12" customHeight="1">
      <c r="A664" s="290">
        <v>660</v>
      </c>
      <c r="B664" s="123" t="s">
        <v>10</v>
      </c>
      <c r="C664" s="139">
        <v>39836</v>
      </c>
      <c r="D664" s="145" t="s">
        <v>326</v>
      </c>
      <c r="E664" s="156">
        <v>13</v>
      </c>
      <c r="F664" s="156">
        <v>1</v>
      </c>
      <c r="G664" s="156">
        <v>26</v>
      </c>
      <c r="H664" s="157">
        <v>339.28</v>
      </c>
      <c r="I664" s="184">
        <v>80</v>
      </c>
      <c r="J664" s="129">
        <f t="shared" si="64"/>
        <v>80</v>
      </c>
      <c r="K664" s="130">
        <f t="shared" si="60"/>
        <v>4.241</v>
      </c>
      <c r="L664" s="144">
        <f>57133.5+23554+18557+9186+29743.5+13631.5+13446+7072+7029+8018.5+7220.5+2856.5+1828+102+3517+635+324+30+2146+1842+376+154+799+463.52+415.64+339.28</f>
        <v>210419.44</v>
      </c>
      <c r="M664" s="143">
        <f>5405+2651+2356+1389+3583+1713+1661+1216+1174+1324+1425+542+453+16+757+96+108+10+508+436+35+14+67+102+95+80</f>
        <v>27216</v>
      </c>
      <c r="N664" s="133">
        <f t="shared" si="65"/>
        <v>7.7314609053497945</v>
      </c>
      <c r="O664" s="149">
        <v>1</v>
      </c>
      <c r="P664" s="334"/>
      <c r="Q664" s="83"/>
      <c r="R664" s="83"/>
      <c r="S664" s="83"/>
      <c r="T664" s="83"/>
    </row>
    <row r="665" spans="1:20" ht="12" customHeight="1">
      <c r="A665" s="290">
        <v>661</v>
      </c>
      <c r="B665" s="123" t="s">
        <v>31</v>
      </c>
      <c r="C665" s="124">
        <v>38639</v>
      </c>
      <c r="D665" s="125" t="s">
        <v>449</v>
      </c>
      <c r="E665" s="126">
        <v>4</v>
      </c>
      <c r="F665" s="126">
        <v>1</v>
      </c>
      <c r="G665" s="126">
        <v>16</v>
      </c>
      <c r="H665" s="137">
        <v>1188</v>
      </c>
      <c r="I665" s="135">
        <v>238</v>
      </c>
      <c r="J665" s="129">
        <f t="shared" si="64"/>
        <v>238</v>
      </c>
      <c r="K665" s="130">
        <f t="shared" si="60"/>
        <v>4.991596638655462</v>
      </c>
      <c r="L665" s="138">
        <v>37644</v>
      </c>
      <c r="M665" s="136">
        <v>6251</v>
      </c>
      <c r="N665" s="133">
        <f t="shared" si="65"/>
        <v>6.0220764677651575</v>
      </c>
      <c r="O665" s="108">
        <v>1</v>
      </c>
      <c r="P665" s="334"/>
      <c r="Q665" s="83"/>
      <c r="R665" s="83"/>
      <c r="S665" s="83"/>
      <c r="T665" s="83"/>
    </row>
    <row r="666" spans="1:20" ht="12" customHeight="1">
      <c r="A666" s="290">
        <v>662</v>
      </c>
      <c r="B666" s="151" t="s">
        <v>170</v>
      </c>
      <c r="C666" s="139">
        <v>39745</v>
      </c>
      <c r="D666" s="145" t="s">
        <v>326</v>
      </c>
      <c r="E666" s="146">
        <v>7</v>
      </c>
      <c r="F666" s="146">
        <v>1</v>
      </c>
      <c r="G666" s="146">
        <v>17</v>
      </c>
      <c r="H666" s="206">
        <v>87</v>
      </c>
      <c r="I666" s="212">
        <v>29</v>
      </c>
      <c r="J666" s="129">
        <f t="shared" si="64"/>
        <v>29</v>
      </c>
      <c r="K666" s="130">
        <f aca="true" t="shared" si="66" ref="K666:K729">H666/I666</f>
        <v>3</v>
      </c>
      <c r="L666" s="208">
        <f>31758.5+8225.5+1958+2180+395+7254.5+494+2046+429+128+135+1066+1003+620+20+120+87</f>
        <v>57919.5</v>
      </c>
      <c r="M666" s="213">
        <f>2732+851+288+247+46+761+52+333+72+22+23+258+223+133+2+12+29</f>
        <v>6084</v>
      </c>
      <c r="N666" s="133">
        <f t="shared" si="65"/>
        <v>9.519970414201184</v>
      </c>
      <c r="O666" s="149">
        <v>1</v>
      </c>
      <c r="P666" s="334"/>
      <c r="Q666" s="83"/>
      <c r="R666" s="83"/>
      <c r="S666" s="83"/>
      <c r="T666" s="83"/>
    </row>
    <row r="667" spans="1:20" ht="12" customHeight="1">
      <c r="A667" s="290">
        <v>663</v>
      </c>
      <c r="B667" s="151" t="s">
        <v>170</v>
      </c>
      <c r="C667" s="139">
        <v>39745</v>
      </c>
      <c r="D667" s="145" t="s">
        <v>326</v>
      </c>
      <c r="E667" s="146">
        <v>7</v>
      </c>
      <c r="F667" s="146">
        <v>1</v>
      </c>
      <c r="G667" s="146">
        <v>18</v>
      </c>
      <c r="H667" s="206">
        <v>45</v>
      </c>
      <c r="I667" s="212">
        <v>15</v>
      </c>
      <c r="J667" s="129">
        <f t="shared" si="64"/>
        <v>15</v>
      </c>
      <c r="K667" s="130">
        <f t="shared" si="66"/>
        <v>3</v>
      </c>
      <c r="L667" s="208">
        <f>31758.5+8225.5+1958+2180+395+7254.5+494+2046+429+128+135+1066+1003+620+20+120+87+45</f>
        <v>57964.5</v>
      </c>
      <c r="M667" s="213">
        <f>2732+851+288+247+46+761+52+333+72+22+23+258+223+133+2+12+29+15</f>
        <v>6099</v>
      </c>
      <c r="N667" s="133">
        <f t="shared" si="65"/>
        <v>9.503935071323168</v>
      </c>
      <c r="O667" s="159">
        <v>1</v>
      </c>
      <c r="P667" s="334"/>
      <c r="Q667" s="83"/>
      <c r="R667" s="83"/>
      <c r="S667" s="83"/>
      <c r="T667" s="83"/>
    </row>
    <row r="668" spans="1:20" ht="12" customHeight="1">
      <c r="A668" s="290">
        <v>664</v>
      </c>
      <c r="B668" s="449" t="s">
        <v>42</v>
      </c>
      <c r="C668" s="440">
        <v>39913</v>
      </c>
      <c r="D668" s="439" t="s">
        <v>452</v>
      </c>
      <c r="E668" s="441">
        <v>8</v>
      </c>
      <c r="F668" s="441">
        <v>1</v>
      </c>
      <c r="G668" s="441">
        <v>25</v>
      </c>
      <c r="H668" s="442">
        <v>2020</v>
      </c>
      <c r="I668" s="443">
        <v>505</v>
      </c>
      <c r="J668" s="444">
        <f>(I668/F668)</f>
        <v>505</v>
      </c>
      <c r="K668" s="445">
        <f t="shared" si="66"/>
        <v>4</v>
      </c>
      <c r="L668" s="446">
        <f>21351.5+14278.5+6751+4525+2536+673+390+177+1270+1412+2231+60+385+350+665+1890+1758+1595+1832.5+392+226+352+1188+1544+2020</f>
        <v>69852.5</v>
      </c>
      <c r="M668" s="447">
        <f>2210+1534+811+919+457+117+61+33+223+254+502+12+83+103+165+287+292+270+307+76+52+77+297+386+505</f>
        <v>10033</v>
      </c>
      <c r="N668" s="451">
        <f>L668/M668</f>
        <v>6.962274494169241</v>
      </c>
      <c r="O668" s="181">
        <v>1</v>
      </c>
      <c r="P668" s="334"/>
      <c r="Q668" s="83"/>
      <c r="R668" s="83"/>
      <c r="S668" s="83"/>
      <c r="T668" s="83"/>
    </row>
    <row r="669" spans="1:20" ht="12" customHeight="1">
      <c r="A669" s="290">
        <v>665</v>
      </c>
      <c r="B669" s="123" t="s">
        <v>42</v>
      </c>
      <c r="C669" s="139">
        <v>39913</v>
      </c>
      <c r="D669" s="125" t="s">
        <v>338</v>
      </c>
      <c r="E669" s="146">
        <v>8</v>
      </c>
      <c r="F669" s="146">
        <v>1</v>
      </c>
      <c r="G669" s="146">
        <v>24</v>
      </c>
      <c r="H669" s="141">
        <v>1544</v>
      </c>
      <c r="I669" s="142">
        <v>386</v>
      </c>
      <c r="J669" s="129">
        <f aca="true" t="shared" si="67" ref="J669:J700">I669/F669</f>
        <v>386</v>
      </c>
      <c r="K669" s="130">
        <f t="shared" si="66"/>
        <v>4</v>
      </c>
      <c r="L669" s="144">
        <f>21351.5+14278.5+6751+4525+2536+673+390+177+1270+1412+2231+60+385+350+665+1890+1758+1595+1832.5+392+226+352+1188+1544</f>
        <v>67832.5</v>
      </c>
      <c r="M669" s="143">
        <f>2210+1534+811+919+457+117+61+33+223+254+502+12+83+103+165+287+292+270+307+76+52+77+297+386</f>
        <v>9528</v>
      </c>
      <c r="N669" s="133">
        <f aca="true" t="shared" si="68" ref="N669:N700">+L669/M669</f>
        <v>7.119280016792612</v>
      </c>
      <c r="O669" s="108"/>
      <c r="P669" s="334"/>
      <c r="Q669" s="83"/>
      <c r="R669" s="83"/>
      <c r="S669" s="83"/>
      <c r="T669" s="83"/>
    </row>
    <row r="670" spans="1:20" ht="12" customHeight="1">
      <c r="A670" s="290">
        <v>666</v>
      </c>
      <c r="B670" s="123" t="s">
        <v>375</v>
      </c>
      <c r="C670" s="139">
        <v>40074</v>
      </c>
      <c r="D670" s="145" t="s">
        <v>326</v>
      </c>
      <c r="E670" s="156">
        <v>7</v>
      </c>
      <c r="F670" s="156">
        <v>1</v>
      </c>
      <c r="G670" s="156">
        <v>12</v>
      </c>
      <c r="H670" s="157">
        <v>439</v>
      </c>
      <c r="I670" s="158">
        <v>74</v>
      </c>
      <c r="J670" s="129">
        <f t="shared" si="67"/>
        <v>74</v>
      </c>
      <c r="K670" s="130">
        <f t="shared" si="66"/>
        <v>5.9324324324324325</v>
      </c>
      <c r="L670" s="154">
        <f>24901+4873+3754+4238+1794.5+1565+1393.5+1381.5+1482+240+136+439</f>
        <v>46197.5</v>
      </c>
      <c r="M670" s="153">
        <f>2240+626+482+732+293+342+244+327+247+37+34+74</f>
        <v>5678</v>
      </c>
      <c r="N670" s="133">
        <f t="shared" si="68"/>
        <v>8.136227544910179</v>
      </c>
      <c r="O670" s="149">
        <v>1</v>
      </c>
      <c r="P670" s="334"/>
      <c r="Q670" s="83"/>
      <c r="R670" s="83"/>
      <c r="S670" s="83"/>
      <c r="T670" s="83"/>
    </row>
    <row r="671" spans="1:20" ht="12" customHeight="1">
      <c r="A671" s="290">
        <v>667</v>
      </c>
      <c r="B671" s="151" t="s">
        <v>375</v>
      </c>
      <c r="C671" s="139">
        <v>40074</v>
      </c>
      <c r="D671" s="145" t="s">
        <v>326</v>
      </c>
      <c r="E671" s="146">
        <v>7</v>
      </c>
      <c r="F671" s="146">
        <v>1</v>
      </c>
      <c r="G671" s="146">
        <v>11</v>
      </c>
      <c r="H671" s="137">
        <v>136</v>
      </c>
      <c r="I671" s="135">
        <v>34</v>
      </c>
      <c r="J671" s="129">
        <f t="shared" si="67"/>
        <v>34</v>
      </c>
      <c r="K671" s="130">
        <f t="shared" si="66"/>
        <v>4</v>
      </c>
      <c r="L671" s="138">
        <f>24901+4873+3754+4238+1794.5+1565+1393.5+1381.5+1482+240+136</f>
        <v>45758.5</v>
      </c>
      <c r="M671" s="136">
        <f>2240+626+482+732+293+342+244+327+247+37+34</f>
        <v>5604</v>
      </c>
      <c r="N671" s="133">
        <f t="shared" si="68"/>
        <v>8.165328336902213</v>
      </c>
      <c r="O671" s="149">
        <v>1</v>
      </c>
      <c r="P671" s="334"/>
      <c r="Q671" s="83"/>
      <c r="R671" s="83"/>
      <c r="S671" s="83"/>
      <c r="T671" s="83"/>
    </row>
    <row r="672" spans="1:20" ht="12" customHeight="1">
      <c r="A672" s="290">
        <v>668</v>
      </c>
      <c r="B672" s="151" t="s">
        <v>371</v>
      </c>
      <c r="C672" s="139">
        <v>40004</v>
      </c>
      <c r="D672" s="194" t="s">
        <v>324</v>
      </c>
      <c r="E672" s="146">
        <v>68</v>
      </c>
      <c r="F672" s="146">
        <v>1</v>
      </c>
      <c r="G672" s="146">
        <v>26</v>
      </c>
      <c r="H672" s="141">
        <v>609</v>
      </c>
      <c r="I672" s="142">
        <v>280</v>
      </c>
      <c r="J672" s="129">
        <f t="shared" si="67"/>
        <v>280</v>
      </c>
      <c r="K672" s="130">
        <f t="shared" si="66"/>
        <v>2.175</v>
      </c>
      <c r="L672" s="144">
        <v>1217628</v>
      </c>
      <c r="M672" s="143">
        <v>132046</v>
      </c>
      <c r="N672" s="133">
        <f t="shared" si="68"/>
        <v>9.221241082653014</v>
      </c>
      <c r="O672" s="110">
        <v>1</v>
      </c>
      <c r="P672" s="334"/>
      <c r="Q672" s="83"/>
      <c r="R672" s="83"/>
      <c r="S672" s="83"/>
      <c r="T672" s="83"/>
    </row>
    <row r="673" spans="1:20" ht="12" customHeight="1">
      <c r="A673" s="290">
        <v>669</v>
      </c>
      <c r="B673" s="151" t="s">
        <v>371</v>
      </c>
      <c r="C673" s="139">
        <v>40004</v>
      </c>
      <c r="D673" s="194" t="s">
        <v>324</v>
      </c>
      <c r="E673" s="146">
        <v>68</v>
      </c>
      <c r="F673" s="146">
        <v>1</v>
      </c>
      <c r="G673" s="146">
        <v>30</v>
      </c>
      <c r="H673" s="150">
        <v>609</v>
      </c>
      <c r="I673" s="152">
        <v>280</v>
      </c>
      <c r="J673" s="129">
        <f t="shared" si="67"/>
        <v>280</v>
      </c>
      <c r="K673" s="130">
        <f t="shared" si="66"/>
        <v>2.175</v>
      </c>
      <c r="L673" s="154">
        <v>1218237</v>
      </c>
      <c r="M673" s="153">
        <v>132326</v>
      </c>
      <c r="N673" s="133">
        <f t="shared" si="68"/>
        <v>9.206331333222495</v>
      </c>
      <c r="O673" s="147">
        <v>1</v>
      </c>
      <c r="P673" s="334"/>
      <c r="Q673" s="83"/>
      <c r="R673" s="83"/>
      <c r="S673" s="83"/>
      <c r="T673" s="83"/>
    </row>
    <row r="674" spans="1:20" ht="12" customHeight="1">
      <c r="A674" s="290">
        <v>670</v>
      </c>
      <c r="B674" s="123" t="s">
        <v>295</v>
      </c>
      <c r="C674" s="139">
        <v>39472</v>
      </c>
      <c r="D674" s="125" t="s">
        <v>328</v>
      </c>
      <c r="E674" s="146">
        <v>70</v>
      </c>
      <c r="F674" s="146">
        <v>1</v>
      </c>
      <c r="G674" s="146">
        <v>39</v>
      </c>
      <c r="H674" s="141">
        <v>760</v>
      </c>
      <c r="I674" s="142">
        <v>76</v>
      </c>
      <c r="J674" s="129">
        <f t="shared" si="67"/>
        <v>76</v>
      </c>
      <c r="K674" s="130">
        <f t="shared" si="66"/>
        <v>10</v>
      </c>
      <c r="L674" s="144">
        <v>884841</v>
      </c>
      <c r="M674" s="143">
        <v>112301</v>
      </c>
      <c r="N674" s="133">
        <f t="shared" si="68"/>
        <v>7.879190746297896</v>
      </c>
      <c r="O674" s="149"/>
      <c r="P674" s="334"/>
      <c r="Q674" s="83"/>
      <c r="R674" s="83"/>
      <c r="S674" s="83"/>
      <c r="T674" s="83"/>
    </row>
    <row r="675" spans="1:20" ht="12" customHeight="1">
      <c r="A675" s="290">
        <v>671</v>
      </c>
      <c r="B675" s="123" t="s">
        <v>295</v>
      </c>
      <c r="C675" s="139">
        <v>39472</v>
      </c>
      <c r="D675" s="125" t="s">
        <v>299</v>
      </c>
      <c r="E675" s="146">
        <v>70</v>
      </c>
      <c r="F675" s="146">
        <v>1</v>
      </c>
      <c r="G675" s="146">
        <v>36</v>
      </c>
      <c r="H675" s="141">
        <v>143</v>
      </c>
      <c r="I675" s="142">
        <v>22</v>
      </c>
      <c r="J675" s="129">
        <f t="shared" si="67"/>
        <v>22</v>
      </c>
      <c r="K675" s="130">
        <f t="shared" si="66"/>
        <v>6.5</v>
      </c>
      <c r="L675" s="144">
        <v>883811</v>
      </c>
      <c r="M675" s="143">
        <v>112183</v>
      </c>
      <c r="N675" s="133">
        <f t="shared" si="68"/>
        <v>7.878297068183237</v>
      </c>
      <c r="O675" s="181"/>
      <c r="P675" s="334"/>
      <c r="Q675" s="83"/>
      <c r="R675" s="83"/>
      <c r="S675" s="83"/>
      <c r="T675" s="83"/>
    </row>
    <row r="676" spans="1:20" ht="12" customHeight="1">
      <c r="A676" s="290">
        <v>672</v>
      </c>
      <c r="B676" s="151" t="s">
        <v>295</v>
      </c>
      <c r="C676" s="139">
        <v>39472</v>
      </c>
      <c r="D676" s="125" t="s">
        <v>299</v>
      </c>
      <c r="E676" s="146">
        <v>70</v>
      </c>
      <c r="F676" s="146">
        <v>1</v>
      </c>
      <c r="G676" s="146">
        <v>38</v>
      </c>
      <c r="H676" s="150">
        <v>138</v>
      </c>
      <c r="I676" s="152">
        <v>20</v>
      </c>
      <c r="J676" s="129">
        <f t="shared" si="67"/>
        <v>20</v>
      </c>
      <c r="K676" s="130">
        <f t="shared" si="66"/>
        <v>6.9</v>
      </c>
      <c r="L676" s="154">
        <v>884081</v>
      </c>
      <c r="M676" s="153">
        <v>112225</v>
      </c>
      <c r="N676" s="133">
        <f t="shared" si="68"/>
        <v>7.8777545110269545</v>
      </c>
      <c r="O676" s="109"/>
      <c r="P676" s="334"/>
      <c r="Q676" s="83"/>
      <c r="R676" s="83"/>
      <c r="S676" s="83"/>
      <c r="T676" s="83"/>
    </row>
    <row r="677" spans="1:20" ht="12" customHeight="1">
      <c r="A677" s="290">
        <v>673</v>
      </c>
      <c r="B677" s="123" t="s">
        <v>295</v>
      </c>
      <c r="C677" s="139">
        <v>39472</v>
      </c>
      <c r="D677" s="125" t="s">
        <v>328</v>
      </c>
      <c r="E677" s="146">
        <v>70</v>
      </c>
      <c r="F677" s="146">
        <v>1</v>
      </c>
      <c r="G677" s="146">
        <v>37</v>
      </c>
      <c r="H677" s="141">
        <v>132</v>
      </c>
      <c r="I677" s="142">
        <v>22</v>
      </c>
      <c r="J677" s="129">
        <f t="shared" si="67"/>
        <v>22</v>
      </c>
      <c r="K677" s="130">
        <f t="shared" si="66"/>
        <v>6</v>
      </c>
      <c r="L677" s="144">
        <v>883943</v>
      </c>
      <c r="M677" s="143">
        <v>112205</v>
      </c>
      <c r="N677" s="133">
        <f t="shared" si="68"/>
        <v>7.877928791052092</v>
      </c>
      <c r="O677" s="148"/>
      <c r="P677" s="334"/>
      <c r="Q677" s="83"/>
      <c r="R677" s="83"/>
      <c r="S677" s="83"/>
      <c r="T677" s="83"/>
    </row>
    <row r="678" spans="1:20" ht="12" customHeight="1">
      <c r="A678" s="290">
        <v>674</v>
      </c>
      <c r="B678" s="123" t="s">
        <v>295</v>
      </c>
      <c r="C678" s="124">
        <v>39472</v>
      </c>
      <c r="D678" s="125" t="s">
        <v>299</v>
      </c>
      <c r="E678" s="126">
        <v>70</v>
      </c>
      <c r="F678" s="126">
        <v>1</v>
      </c>
      <c r="G678" s="126">
        <v>34</v>
      </c>
      <c r="H678" s="137">
        <v>130</v>
      </c>
      <c r="I678" s="135">
        <v>20</v>
      </c>
      <c r="J678" s="129">
        <f t="shared" si="67"/>
        <v>20</v>
      </c>
      <c r="K678" s="130">
        <f t="shared" si="66"/>
        <v>6.5</v>
      </c>
      <c r="L678" s="138">
        <v>883629</v>
      </c>
      <c r="M678" s="136">
        <v>112155</v>
      </c>
      <c r="N678" s="133">
        <f t="shared" si="68"/>
        <v>7.8786411662431455</v>
      </c>
      <c r="O678" s="148"/>
      <c r="P678" s="334"/>
      <c r="Q678" s="83"/>
      <c r="R678" s="83"/>
      <c r="S678" s="83"/>
      <c r="T678" s="83"/>
    </row>
    <row r="679" spans="1:20" ht="12" customHeight="1">
      <c r="A679" s="290">
        <v>675</v>
      </c>
      <c r="B679" s="123" t="s">
        <v>295</v>
      </c>
      <c r="C679" s="124">
        <v>39472</v>
      </c>
      <c r="D679" s="125" t="s">
        <v>299</v>
      </c>
      <c r="E679" s="126">
        <v>70</v>
      </c>
      <c r="F679" s="126">
        <v>1</v>
      </c>
      <c r="G679" s="126">
        <v>35</v>
      </c>
      <c r="H679" s="127">
        <v>39</v>
      </c>
      <c r="I679" s="128">
        <v>6</v>
      </c>
      <c r="J679" s="129">
        <f t="shared" si="67"/>
        <v>6</v>
      </c>
      <c r="K679" s="130">
        <f t="shared" si="66"/>
        <v>6.5</v>
      </c>
      <c r="L679" s="131">
        <v>883668</v>
      </c>
      <c r="M679" s="132">
        <v>112161</v>
      </c>
      <c r="N679" s="133">
        <f t="shared" si="68"/>
        <v>7.878567416481665</v>
      </c>
      <c r="O679" s="148"/>
      <c r="P679" s="334"/>
      <c r="Q679" s="83"/>
      <c r="R679" s="83"/>
      <c r="S679" s="83"/>
      <c r="T679" s="83"/>
    </row>
    <row r="680" spans="1:20" ht="13.5" customHeight="1">
      <c r="A680" s="290">
        <v>676</v>
      </c>
      <c r="B680" s="123" t="s">
        <v>331</v>
      </c>
      <c r="C680" s="124">
        <v>40081</v>
      </c>
      <c r="D680" s="125" t="s">
        <v>326</v>
      </c>
      <c r="E680" s="126">
        <v>10</v>
      </c>
      <c r="F680" s="126">
        <v>1</v>
      </c>
      <c r="G680" s="126">
        <v>8</v>
      </c>
      <c r="H680" s="127">
        <v>1780</v>
      </c>
      <c r="I680" s="128">
        <v>445</v>
      </c>
      <c r="J680" s="129">
        <f t="shared" si="67"/>
        <v>445</v>
      </c>
      <c r="K680" s="130">
        <f t="shared" si="66"/>
        <v>4</v>
      </c>
      <c r="L680" s="131">
        <f>15355.5+7416.5+5376.5+1210+1050.5+1780+1780+1780</f>
        <v>35749</v>
      </c>
      <c r="M680" s="132">
        <f>1226+729+733+198+202+445+445+445</f>
        <v>4423</v>
      </c>
      <c r="N680" s="133">
        <f t="shared" si="68"/>
        <v>8.082523174316075</v>
      </c>
      <c r="O680" s="110"/>
      <c r="P680" s="334"/>
      <c r="Q680" s="83"/>
      <c r="R680" s="83"/>
      <c r="S680" s="83"/>
      <c r="T680" s="83"/>
    </row>
    <row r="681" spans="1:20" ht="12" customHeight="1">
      <c r="A681" s="290">
        <v>677</v>
      </c>
      <c r="B681" s="123" t="s">
        <v>372</v>
      </c>
      <c r="C681" s="124">
        <v>39962</v>
      </c>
      <c r="D681" s="134" t="s">
        <v>169</v>
      </c>
      <c r="E681" s="126">
        <v>72</v>
      </c>
      <c r="F681" s="126">
        <v>1</v>
      </c>
      <c r="G681" s="126">
        <v>23</v>
      </c>
      <c r="H681" s="137">
        <v>516</v>
      </c>
      <c r="I681" s="135">
        <v>158</v>
      </c>
      <c r="J681" s="129">
        <f t="shared" si="67"/>
        <v>158</v>
      </c>
      <c r="K681" s="130">
        <f t="shared" si="66"/>
        <v>3.2658227848101267</v>
      </c>
      <c r="L681" s="138">
        <v>276947</v>
      </c>
      <c r="M681" s="136">
        <v>37748</v>
      </c>
      <c r="N681" s="133">
        <f t="shared" si="68"/>
        <v>7.336733071950832</v>
      </c>
      <c r="O681" s="108"/>
      <c r="P681" s="334"/>
      <c r="Q681" s="83"/>
      <c r="R681" s="83"/>
      <c r="S681" s="83"/>
      <c r="T681" s="83"/>
    </row>
    <row r="682" spans="1:20" ht="12" customHeight="1">
      <c r="A682" s="290">
        <v>678</v>
      </c>
      <c r="B682" s="123" t="s">
        <v>220</v>
      </c>
      <c r="C682" s="124">
        <v>40158</v>
      </c>
      <c r="D682" s="125" t="s">
        <v>325</v>
      </c>
      <c r="E682" s="126">
        <v>141</v>
      </c>
      <c r="F682" s="126">
        <v>34</v>
      </c>
      <c r="G682" s="126">
        <v>5</v>
      </c>
      <c r="H682" s="127">
        <v>32443</v>
      </c>
      <c r="I682" s="128">
        <v>5335</v>
      </c>
      <c r="J682" s="129">
        <f t="shared" si="67"/>
        <v>156.91176470588235</v>
      </c>
      <c r="K682" s="130">
        <f t="shared" si="66"/>
        <v>6.08116213683224</v>
      </c>
      <c r="L682" s="131">
        <f>1607914+23244+32443</f>
        <v>1663601</v>
      </c>
      <c r="M682" s="132">
        <f>183968+3818+5335</f>
        <v>193121</v>
      </c>
      <c r="N682" s="133">
        <f t="shared" si="68"/>
        <v>8.614293629382615</v>
      </c>
      <c r="O682" s="110"/>
      <c r="P682" s="334"/>
      <c r="Q682" s="83"/>
      <c r="R682" s="83"/>
      <c r="S682" s="83"/>
      <c r="T682" s="83"/>
    </row>
    <row r="683" spans="1:20" ht="12" customHeight="1">
      <c r="A683" s="290">
        <v>679</v>
      </c>
      <c r="B683" s="123" t="s">
        <v>220</v>
      </c>
      <c r="C683" s="124">
        <v>40158</v>
      </c>
      <c r="D683" s="125" t="s">
        <v>325</v>
      </c>
      <c r="E683" s="126">
        <v>141</v>
      </c>
      <c r="F683" s="126">
        <v>21</v>
      </c>
      <c r="G683" s="126">
        <v>6</v>
      </c>
      <c r="H683" s="127">
        <v>25994</v>
      </c>
      <c r="I683" s="135">
        <v>4998</v>
      </c>
      <c r="J683" s="129">
        <f t="shared" si="67"/>
        <v>238</v>
      </c>
      <c r="K683" s="130">
        <f t="shared" si="66"/>
        <v>5.200880352140857</v>
      </c>
      <c r="L683" s="131">
        <f>1607914+23244+32443+25994</f>
        <v>1689595</v>
      </c>
      <c r="M683" s="136">
        <f>183968+3818+5335+4998</f>
        <v>198119</v>
      </c>
      <c r="N683" s="133">
        <f t="shared" si="68"/>
        <v>8.528182556948098</v>
      </c>
      <c r="O683" s="149"/>
      <c r="P683" s="334"/>
      <c r="Q683" s="83"/>
      <c r="R683" s="83"/>
      <c r="S683" s="83"/>
      <c r="T683" s="83"/>
    </row>
    <row r="684" spans="1:20" ht="12" customHeight="1">
      <c r="A684" s="290">
        <v>680</v>
      </c>
      <c r="B684" s="123" t="s">
        <v>220</v>
      </c>
      <c r="C684" s="124">
        <v>40158</v>
      </c>
      <c r="D684" s="125" t="s">
        <v>325</v>
      </c>
      <c r="E684" s="126">
        <v>141</v>
      </c>
      <c r="F684" s="126">
        <v>27</v>
      </c>
      <c r="G684" s="126">
        <v>4</v>
      </c>
      <c r="H684" s="127">
        <v>23244</v>
      </c>
      <c r="I684" s="128">
        <v>3818</v>
      </c>
      <c r="J684" s="129">
        <f t="shared" si="67"/>
        <v>141.40740740740742</v>
      </c>
      <c r="K684" s="130">
        <f t="shared" si="66"/>
        <v>6.088004190675746</v>
      </c>
      <c r="L684" s="131">
        <f>1607914+23244</f>
        <v>1631158</v>
      </c>
      <c r="M684" s="132">
        <f>183968+3818</f>
        <v>187786</v>
      </c>
      <c r="N684" s="133">
        <f t="shared" si="68"/>
        <v>8.686259891578713</v>
      </c>
      <c r="O684" s="149"/>
      <c r="P684" s="334"/>
      <c r="Q684" s="83"/>
      <c r="R684" s="83"/>
      <c r="S684" s="83"/>
      <c r="T684" s="83"/>
    </row>
    <row r="685" spans="1:20" ht="12" customHeight="1">
      <c r="A685" s="290">
        <v>681</v>
      </c>
      <c r="B685" s="123" t="s">
        <v>220</v>
      </c>
      <c r="C685" s="124">
        <v>40158</v>
      </c>
      <c r="D685" s="125" t="s">
        <v>325</v>
      </c>
      <c r="E685" s="126">
        <v>141</v>
      </c>
      <c r="F685" s="126">
        <v>8</v>
      </c>
      <c r="G685" s="126">
        <v>7</v>
      </c>
      <c r="H685" s="137">
        <v>8150</v>
      </c>
      <c r="I685" s="135">
        <v>1502</v>
      </c>
      <c r="J685" s="129">
        <f t="shared" si="67"/>
        <v>187.75</v>
      </c>
      <c r="K685" s="130">
        <f t="shared" si="66"/>
        <v>5.426098535286285</v>
      </c>
      <c r="L685" s="138">
        <f>1607914+23244+32443+25994+8150</f>
        <v>1697745</v>
      </c>
      <c r="M685" s="136">
        <f>183968+3818+5335+4998+1502</f>
        <v>199621</v>
      </c>
      <c r="N685" s="133">
        <f t="shared" si="68"/>
        <v>8.504841674974076</v>
      </c>
      <c r="O685" s="181"/>
      <c r="P685" s="334"/>
      <c r="Q685" s="83"/>
      <c r="R685" s="83"/>
      <c r="S685" s="83"/>
      <c r="T685" s="83"/>
    </row>
    <row r="686" spans="1:20" ht="12" customHeight="1">
      <c r="A686" s="290">
        <v>682</v>
      </c>
      <c r="B686" s="123" t="s">
        <v>220</v>
      </c>
      <c r="C686" s="139">
        <v>40158</v>
      </c>
      <c r="D686" s="125" t="s">
        <v>325</v>
      </c>
      <c r="E686" s="146">
        <v>141</v>
      </c>
      <c r="F686" s="146">
        <v>4</v>
      </c>
      <c r="G686" s="146">
        <v>8</v>
      </c>
      <c r="H686" s="141">
        <v>2669</v>
      </c>
      <c r="I686" s="142">
        <v>432</v>
      </c>
      <c r="J686" s="129">
        <f t="shared" si="67"/>
        <v>108</v>
      </c>
      <c r="K686" s="130">
        <f t="shared" si="66"/>
        <v>6.1782407407407405</v>
      </c>
      <c r="L686" s="144">
        <f>1607914+23244+32443+25994+8150+2669</f>
        <v>1700414</v>
      </c>
      <c r="M686" s="143">
        <f>183968+3818+5335+4998+1502+432</f>
        <v>200053</v>
      </c>
      <c r="N686" s="133">
        <f t="shared" si="68"/>
        <v>8.499817548349688</v>
      </c>
      <c r="O686" s="149"/>
      <c r="P686" s="334"/>
      <c r="Q686" s="83"/>
      <c r="R686" s="83"/>
      <c r="S686" s="83"/>
      <c r="T686" s="83"/>
    </row>
    <row r="687" spans="1:20" ht="12" customHeight="1">
      <c r="A687" s="290">
        <v>683</v>
      </c>
      <c r="B687" s="151" t="s">
        <v>220</v>
      </c>
      <c r="C687" s="139">
        <v>40158</v>
      </c>
      <c r="D687" s="125" t="s">
        <v>325</v>
      </c>
      <c r="E687" s="146">
        <v>141</v>
      </c>
      <c r="F687" s="146">
        <v>3</v>
      </c>
      <c r="G687" s="146">
        <v>9</v>
      </c>
      <c r="H687" s="141">
        <v>883</v>
      </c>
      <c r="I687" s="142">
        <v>141</v>
      </c>
      <c r="J687" s="129">
        <f t="shared" si="67"/>
        <v>47</v>
      </c>
      <c r="K687" s="130">
        <f t="shared" si="66"/>
        <v>6.26241134751773</v>
      </c>
      <c r="L687" s="144">
        <f>1700414+883</f>
        <v>1701297</v>
      </c>
      <c r="M687" s="143">
        <f>200053+141</f>
        <v>200194</v>
      </c>
      <c r="N687" s="133">
        <f t="shared" si="68"/>
        <v>8.49824170554562</v>
      </c>
      <c r="O687" s="149"/>
      <c r="P687" s="334"/>
      <c r="Q687" s="83"/>
      <c r="R687" s="83"/>
      <c r="S687" s="83"/>
      <c r="T687" s="83"/>
    </row>
    <row r="688" spans="1:20" ht="12" customHeight="1">
      <c r="A688" s="290">
        <v>684</v>
      </c>
      <c r="B688" s="151" t="s">
        <v>220</v>
      </c>
      <c r="C688" s="139">
        <v>40158</v>
      </c>
      <c r="D688" s="125" t="s">
        <v>325</v>
      </c>
      <c r="E688" s="146">
        <v>141</v>
      </c>
      <c r="F688" s="146">
        <v>1</v>
      </c>
      <c r="G688" s="146">
        <v>10</v>
      </c>
      <c r="H688" s="150">
        <v>803</v>
      </c>
      <c r="I688" s="152">
        <v>186</v>
      </c>
      <c r="J688" s="129">
        <f t="shared" si="67"/>
        <v>186</v>
      </c>
      <c r="K688" s="130">
        <f t="shared" si="66"/>
        <v>4.317204301075269</v>
      </c>
      <c r="L688" s="154">
        <v>1702099</v>
      </c>
      <c r="M688" s="153">
        <v>200380</v>
      </c>
      <c r="N688" s="133">
        <f t="shared" si="68"/>
        <v>8.494355724124164</v>
      </c>
      <c r="O688" s="149"/>
      <c r="P688" s="334"/>
      <c r="Q688" s="83"/>
      <c r="R688" s="83"/>
      <c r="S688" s="83"/>
      <c r="T688" s="83"/>
    </row>
    <row r="689" spans="1:20" ht="12" customHeight="1">
      <c r="A689" s="290">
        <v>685</v>
      </c>
      <c r="B689" s="151" t="s">
        <v>220</v>
      </c>
      <c r="C689" s="139">
        <v>40158</v>
      </c>
      <c r="D689" s="125" t="s">
        <v>325</v>
      </c>
      <c r="E689" s="146">
        <v>141</v>
      </c>
      <c r="F689" s="146">
        <v>1</v>
      </c>
      <c r="G689" s="146">
        <v>11</v>
      </c>
      <c r="H689" s="150">
        <v>562</v>
      </c>
      <c r="I689" s="152">
        <v>130</v>
      </c>
      <c r="J689" s="129">
        <f t="shared" si="67"/>
        <v>130</v>
      </c>
      <c r="K689" s="130">
        <f t="shared" si="66"/>
        <v>4.323076923076923</v>
      </c>
      <c r="L689" s="154">
        <v>1702661</v>
      </c>
      <c r="M689" s="153">
        <v>200510</v>
      </c>
      <c r="N689" s="133">
        <f t="shared" si="68"/>
        <v>8.491651289212507</v>
      </c>
      <c r="O689" s="108"/>
      <c r="P689" s="334"/>
      <c r="Q689" s="83"/>
      <c r="R689" s="83"/>
      <c r="S689" s="83"/>
      <c r="T689" s="83"/>
    </row>
    <row r="690" spans="1:20" ht="12" customHeight="1">
      <c r="A690" s="290">
        <v>686</v>
      </c>
      <c r="B690" s="123" t="s">
        <v>323</v>
      </c>
      <c r="C690" s="139">
        <v>39829</v>
      </c>
      <c r="D690" s="145" t="s">
        <v>353</v>
      </c>
      <c r="E690" s="146">
        <v>27</v>
      </c>
      <c r="F690" s="146">
        <v>1</v>
      </c>
      <c r="G690" s="146">
        <v>27</v>
      </c>
      <c r="H690" s="137">
        <v>556</v>
      </c>
      <c r="I690" s="135">
        <v>134</v>
      </c>
      <c r="J690" s="129">
        <f t="shared" si="67"/>
        <v>134</v>
      </c>
      <c r="K690" s="130">
        <f t="shared" si="66"/>
        <v>4.149253731343284</v>
      </c>
      <c r="L690" s="144">
        <f>354992.5+968+417+405+556</f>
        <v>357338.5</v>
      </c>
      <c r="M690" s="143">
        <f>34663+92+49+815+174+99+126+262+271+160+77+81+134</f>
        <v>37003</v>
      </c>
      <c r="N690" s="133">
        <f t="shared" si="68"/>
        <v>9.65701429613815</v>
      </c>
      <c r="O690" s="159"/>
      <c r="P690" s="334"/>
      <c r="Q690" s="83"/>
      <c r="R690" s="83"/>
      <c r="S690" s="83"/>
      <c r="T690" s="83"/>
    </row>
    <row r="691" spans="1:20" ht="12" customHeight="1">
      <c r="A691" s="290">
        <v>687</v>
      </c>
      <c r="B691" s="123" t="s">
        <v>173</v>
      </c>
      <c r="C691" s="139">
        <v>39920</v>
      </c>
      <c r="D691" s="145" t="s">
        <v>326</v>
      </c>
      <c r="E691" s="156">
        <v>133</v>
      </c>
      <c r="F691" s="156">
        <v>2</v>
      </c>
      <c r="G691" s="156">
        <v>23</v>
      </c>
      <c r="H691" s="157">
        <v>4040</v>
      </c>
      <c r="I691" s="184">
        <v>1010</v>
      </c>
      <c r="J691" s="129">
        <f t="shared" si="67"/>
        <v>505</v>
      </c>
      <c r="K691" s="130">
        <f t="shared" si="66"/>
        <v>4</v>
      </c>
      <c r="L691" s="144">
        <f>814797.5+158602+44526+7105.5+1443+731+330+3273+1356+388+2317+2290.5+138+112.5+37+1136+51+98+1424+1780+1780+2020+4040</f>
        <v>1049776</v>
      </c>
      <c r="M691" s="143">
        <f>100614+19257+6285+1176+234+205+67+783+301+48+521+500+23+18+9+170+23+30+356+445+445+505+1010</f>
        <v>133025</v>
      </c>
      <c r="N691" s="133">
        <f t="shared" si="68"/>
        <v>7.891569253899643</v>
      </c>
      <c r="O691" s="149"/>
      <c r="P691" s="334"/>
      <c r="Q691" s="83"/>
      <c r="R691" s="83"/>
      <c r="S691" s="83"/>
      <c r="T691" s="83"/>
    </row>
    <row r="692" spans="1:20" ht="12" customHeight="1">
      <c r="A692" s="290">
        <v>688</v>
      </c>
      <c r="B692" s="123" t="s">
        <v>173</v>
      </c>
      <c r="C692" s="139">
        <v>39920</v>
      </c>
      <c r="D692" s="145" t="s">
        <v>326</v>
      </c>
      <c r="E692" s="156">
        <v>133</v>
      </c>
      <c r="F692" s="156">
        <v>1</v>
      </c>
      <c r="G692" s="156">
        <v>22</v>
      </c>
      <c r="H692" s="157">
        <v>2020</v>
      </c>
      <c r="I692" s="158">
        <v>505</v>
      </c>
      <c r="J692" s="129">
        <f t="shared" si="67"/>
        <v>505</v>
      </c>
      <c r="K692" s="130">
        <f t="shared" si="66"/>
        <v>4</v>
      </c>
      <c r="L692" s="154">
        <f>814797.5+158602+44526+7105.5+1443+731+330+3273+1356+388+2317+2290.5+138+112.5+37+1136+51+98+1424+1780+1780+2020</f>
        <v>1045736</v>
      </c>
      <c r="M692" s="153">
        <f>100614+19257+6285+1176+234+205+67+783+301+48+521+500+23+18+9+170+23+30+356+445+445+505</f>
        <v>132015</v>
      </c>
      <c r="N692" s="133">
        <f t="shared" si="68"/>
        <v>7.921342271711548</v>
      </c>
      <c r="O692" s="108"/>
      <c r="P692" s="334"/>
      <c r="Q692" s="83"/>
      <c r="R692" s="83"/>
      <c r="S692" s="83"/>
      <c r="T692" s="83"/>
    </row>
    <row r="693" spans="1:20" ht="12" customHeight="1">
      <c r="A693" s="290">
        <v>689</v>
      </c>
      <c r="B693" s="167" t="s">
        <v>173</v>
      </c>
      <c r="C693" s="168">
        <v>39920</v>
      </c>
      <c r="D693" s="145" t="s">
        <v>326</v>
      </c>
      <c r="E693" s="169">
        <v>133</v>
      </c>
      <c r="F693" s="169">
        <v>1</v>
      </c>
      <c r="G693" s="169">
        <v>20</v>
      </c>
      <c r="H693" s="137">
        <v>1780</v>
      </c>
      <c r="I693" s="135">
        <v>445</v>
      </c>
      <c r="J693" s="129">
        <f t="shared" si="67"/>
        <v>445</v>
      </c>
      <c r="K693" s="130">
        <f t="shared" si="66"/>
        <v>4</v>
      </c>
      <c r="L693" s="138">
        <f>814797.5+158602+44526+7105.5+1443+731+330+3273+1356+388+2317+2290.5+138+112.5+37+1136+51+98+1424+1780</f>
        <v>1041936</v>
      </c>
      <c r="M693" s="136">
        <f>100614+19257+6285+1176+234+205+67+783+301+48+521+500+23+18+9+170+23+30+356+445</f>
        <v>131065</v>
      </c>
      <c r="N693" s="133">
        <f t="shared" si="68"/>
        <v>7.9497653835882955</v>
      </c>
      <c r="O693" s="159"/>
      <c r="P693" s="334"/>
      <c r="Q693" s="83"/>
      <c r="R693" s="83"/>
      <c r="S693" s="83"/>
      <c r="T693" s="83"/>
    </row>
    <row r="694" spans="1:21" s="77" customFormat="1" ht="12" customHeight="1">
      <c r="A694" s="290">
        <v>690</v>
      </c>
      <c r="B694" s="151" t="s">
        <v>173</v>
      </c>
      <c r="C694" s="171">
        <v>39920</v>
      </c>
      <c r="D694" s="145" t="s">
        <v>326</v>
      </c>
      <c r="E694" s="156">
        <v>133</v>
      </c>
      <c r="F694" s="156">
        <v>1</v>
      </c>
      <c r="G694" s="156">
        <v>21</v>
      </c>
      <c r="H694" s="157">
        <v>1780</v>
      </c>
      <c r="I694" s="158">
        <v>445</v>
      </c>
      <c r="J694" s="129">
        <f t="shared" si="67"/>
        <v>445</v>
      </c>
      <c r="K694" s="130">
        <f t="shared" si="66"/>
        <v>4</v>
      </c>
      <c r="L694" s="154">
        <f>814797.5+158602+44526+7105.5+1443+731+330+3273+1356+388+2317+2290.5+138+112.5+37+1136+51+98+1424+1780+1780</f>
        <v>1043716</v>
      </c>
      <c r="M694" s="153">
        <f>100614+19257+6285+1176+234+205+67+783+301+48+521+500+23+18+9+170+23+30+356+445+445</f>
        <v>131510</v>
      </c>
      <c r="N694" s="133">
        <f t="shared" si="68"/>
        <v>7.936400273743441</v>
      </c>
      <c r="O694" s="109"/>
      <c r="P694" s="588"/>
      <c r="U694" s="80"/>
    </row>
    <row r="695" spans="1:21" s="77" customFormat="1" ht="12" customHeight="1">
      <c r="A695" s="290">
        <v>691</v>
      </c>
      <c r="B695" s="123" t="s">
        <v>24</v>
      </c>
      <c r="C695" s="171">
        <v>40074</v>
      </c>
      <c r="D695" s="155" t="s">
        <v>423</v>
      </c>
      <c r="E695" s="156">
        <v>142</v>
      </c>
      <c r="F695" s="156">
        <v>2</v>
      </c>
      <c r="G695" s="156">
        <v>13</v>
      </c>
      <c r="H695" s="157">
        <v>2077</v>
      </c>
      <c r="I695" s="158">
        <v>415</v>
      </c>
      <c r="J695" s="129">
        <f t="shared" si="67"/>
        <v>207.5</v>
      </c>
      <c r="K695" s="130">
        <f t="shared" si="66"/>
        <v>5.004819277108433</v>
      </c>
      <c r="L695" s="154">
        <v>812953.5</v>
      </c>
      <c r="M695" s="153">
        <v>102837</v>
      </c>
      <c r="N695" s="133">
        <f t="shared" si="68"/>
        <v>7.905262697278217</v>
      </c>
      <c r="O695" s="108"/>
      <c r="P695" s="588"/>
      <c r="U695" s="80"/>
    </row>
    <row r="696" spans="1:21" s="77" customFormat="1" ht="12" customHeight="1">
      <c r="A696" s="290">
        <v>692</v>
      </c>
      <c r="B696" s="123" t="s">
        <v>24</v>
      </c>
      <c r="C696" s="139">
        <v>40074</v>
      </c>
      <c r="D696" s="125" t="s">
        <v>449</v>
      </c>
      <c r="E696" s="146">
        <v>142</v>
      </c>
      <c r="F696" s="146">
        <v>2</v>
      </c>
      <c r="G696" s="146">
        <v>17</v>
      </c>
      <c r="H696" s="141">
        <v>420</v>
      </c>
      <c r="I696" s="142">
        <v>66</v>
      </c>
      <c r="J696" s="129">
        <f t="shared" si="67"/>
        <v>33</v>
      </c>
      <c r="K696" s="130">
        <f t="shared" si="66"/>
        <v>6.363636363636363</v>
      </c>
      <c r="L696" s="144">
        <f>813871.5+H696</f>
        <v>814291.5</v>
      </c>
      <c r="M696" s="143">
        <f>102990+I696</f>
        <v>103056</v>
      </c>
      <c r="N696" s="133">
        <f t="shared" si="68"/>
        <v>7.901446786213321</v>
      </c>
      <c r="O696" s="149"/>
      <c r="P696" s="588"/>
      <c r="U696" s="80"/>
    </row>
    <row r="697" spans="1:21" s="77" customFormat="1" ht="12" customHeight="1">
      <c r="A697" s="290">
        <v>693</v>
      </c>
      <c r="B697" s="123" t="s">
        <v>24</v>
      </c>
      <c r="C697" s="139">
        <v>40074</v>
      </c>
      <c r="D697" s="125" t="s">
        <v>449</v>
      </c>
      <c r="E697" s="146">
        <v>142</v>
      </c>
      <c r="F697" s="146">
        <v>1</v>
      </c>
      <c r="G697" s="146">
        <v>15</v>
      </c>
      <c r="H697" s="141">
        <v>318</v>
      </c>
      <c r="I697" s="142">
        <v>53</v>
      </c>
      <c r="J697" s="129">
        <f t="shared" si="67"/>
        <v>53</v>
      </c>
      <c r="K697" s="130">
        <f t="shared" si="66"/>
        <v>6</v>
      </c>
      <c r="L697" s="144">
        <v>813553.5</v>
      </c>
      <c r="M697" s="143">
        <v>102937</v>
      </c>
      <c r="N697" s="133">
        <f t="shared" si="68"/>
        <v>7.903411795564277</v>
      </c>
      <c r="O697" s="147"/>
      <c r="P697" s="588"/>
      <c r="U697" s="80"/>
    </row>
    <row r="698" spans="1:21" s="77" customFormat="1" ht="12" customHeight="1">
      <c r="A698" s="290">
        <v>694</v>
      </c>
      <c r="B698" s="123" t="s">
        <v>24</v>
      </c>
      <c r="C698" s="139">
        <v>40074</v>
      </c>
      <c r="D698" s="125" t="s">
        <v>449</v>
      </c>
      <c r="E698" s="146">
        <v>142</v>
      </c>
      <c r="F698" s="146">
        <v>1</v>
      </c>
      <c r="G698" s="146">
        <v>16</v>
      </c>
      <c r="H698" s="141">
        <v>318</v>
      </c>
      <c r="I698" s="142">
        <v>53</v>
      </c>
      <c r="J698" s="129">
        <f t="shared" si="67"/>
        <v>53</v>
      </c>
      <c r="K698" s="130">
        <f t="shared" si="66"/>
        <v>6</v>
      </c>
      <c r="L698" s="144">
        <f>813553.5+H698</f>
        <v>813871.5</v>
      </c>
      <c r="M698" s="143">
        <f>102937+J698</f>
        <v>102990</v>
      </c>
      <c r="N698" s="133">
        <f t="shared" si="68"/>
        <v>7.902432274978153</v>
      </c>
      <c r="O698" s="148">
        <v>1</v>
      </c>
      <c r="P698" s="588"/>
      <c r="U698" s="80"/>
    </row>
    <row r="699" spans="1:21" s="77" customFormat="1" ht="12" customHeight="1">
      <c r="A699" s="290">
        <v>695</v>
      </c>
      <c r="B699" s="123" t="s">
        <v>24</v>
      </c>
      <c r="C699" s="124">
        <v>40074</v>
      </c>
      <c r="D699" s="125" t="s">
        <v>449</v>
      </c>
      <c r="E699" s="126">
        <v>142</v>
      </c>
      <c r="F699" s="126">
        <v>1</v>
      </c>
      <c r="G699" s="126">
        <v>14</v>
      </c>
      <c r="H699" s="127">
        <v>282</v>
      </c>
      <c r="I699" s="128">
        <v>47</v>
      </c>
      <c r="J699" s="129">
        <f t="shared" si="67"/>
        <v>47</v>
      </c>
      <c r="K699" s="130">
        <f t="shared" si="66"/>
        <v>6</v>
      </c>
      <c r="L699" s="131">
        <v>813235.5</v>
      </c>
      <c r="M699" s="132">
        <v>102884</v>
      </c>
      <c r="N699" s="133">
        <f t="shared" si="68"/>
        <v>7.904392325337273</v>
      </c>
      <c r="O699" s="110">
        <v>1</v>
      </c>
      <c r="P699" s="588"/>
      <c r="U699" s="80"/>
    </row>
    <row r="700" spans="1:21" s="77" customFormat="1" ht="12" customHeight="1">
      <c r="A700" s="290">
        <v>696</v>
      </c>
      <c r="B700" s="123" t="s">
        <v>24</v>
      </c>
      <c r="C700" s="139">
        <v>40074</v>
      </c>
      <c r="D700" s="155" t="s">
        <v>423</v>
      </c>
      <c r="E700" s="146">
        <v>142</v>
      </c>
      <c r="F700" s="146">
        <v>1</v>
      </c>
      <c r="G700" s="146">
        <v>12</v>
      </c>
      <c r="H700" s="150">
        <v>220</v>
      </c>
      <c r="I700" s="152">
        <v>31</v>
      </c>
      <c r="J700" s="129">
        <f t="shared" si="67"/>
        <v>31</v>
      </c>
      <c r="K700" s="130">
        <f t="shared" si="66"/>
        <v>7.096774193548387</v>
      </c>
      <c r="L700" s="154">
        <v>810876.5</v>
      </c>
      <c r="M700" s="153">
        <v>102422</v>
      </c>
      <c r="N700" s="133">
        <f t="shared" si="68"/>
        <v>7.917014899142762</v>
      </c>
      <c r="O700" s="149"/>
      <c r="P700" s="588"/>
      <c r="U700" s="80"/>
    </row>
    <row r="701" spans="1:21" s="77" customFormat="1" ht="12" customHeight="1">
      <c r="A701" s="290">
        <v>697</v>
      </c>
      <c r="B701" s="123" t="s">
        <v>24</v>
      </c>
      <c r="C701" s="124">
        <v>40074</v>
      </c>
      <c r="D701" s="155" t="s">
        <v>423</v>
      </c>
      <c r="E701" s="126">
        <v>142</v>
      </c>
      <c r="F701" s="126">
        <v>1</v>
      </c>
      <c r="G701" s="126">
        <v>11</v>
      </c>
      <c r="H701" s="162">
        <v>203</v>
      </c>
      <c r="I701" s="163">
        <v>35</v>
      </c>
      <c r="J701" s="129">
        <f aca="true" t="shared" si="69" ref="J701:J732">I701/F701</f>
        <v>35</v>
      </c>
      <c r="K701" s="130">
        <f t="shared" si="66"/>
        <v>5.8</v>
      </c>
      <c r="L701" s="164">
        <v>810656.5</v>
      </c>
      <c r="M701" s="143">
        <v>102391</v>
      </c>
      <c r="N701" s="133">
        <f aca="true" t="shared" si="70" ref="N701:N732">+L701/M701</f>
        <v>7.917263236026604</v>
      </c>
      <c r="O701" s="110">
        <v>1</v>
      </c>
      <c r="P701" s="588"/>
      <c r="U701" s="80"/>
    </row>
    <row r="702" spans="1:21" s="77" customFormat="1" ht="12" customHeight="1">
      <c r="A702" s="290">
        <v>698</v>
      </c>
      <c r="B702" s="151" t="s">
        <v>25</v>
      </c>
      <c r="C702" s="171">
        <v>39766</v>
      </c>
      <c r="D702" s="155" t="s">
        <v>328</v>
      </c>
      <c r="E702" s="156">
        <v>50</v>
      </c>
      <c r="F702" s="156">
        <v>2</v>
      </c>
      <c r="G702" s="156">
        <v>33</v>
      </c>
      <c r="H702" s="157">
        <v>2372</v>
      </c>
      <c r="I702" s="158">
        <v>474</v>
      </c>
      <c r="J702" s="129">
        <f t="shared" si="69"/>
        <v>237</v>
      </c>
      <c r="K702" s="130">
        <f t="shared" si="66"/>
        <v>5.0042194092827</v>
      </c>
      <c r="L702" s="154">
        <v>263078</v>
      </c>
      <c r="M702" s="153">
        <v>39687</v>
      </c>
      <c r="N702" s="133">
        <f t="shared" si="70"/>
        <v>6.628820520573488</v>
      </c>
      <c r="O702" s="149"/>
      <c r="P702" s="588"/>
      <c r="U702" s="80"/>
    </row>
    <row r="703" spans="1:21" s="79" customFormat="1" ht="12" customHeight="1">
      <c r="A703" s="290">
        <v>699</v>
      </c>
      <c r="B703" s="123" t="s">
        <v>26</v>
      </c>
      <c r="C703" s="139">
        <v>39801</v>
      </c>
      <c r="D703" s="125" t="s">
        <v>326</v>
      </c>
      <c r="E703" s="146">
        <v>42</v>
      </c>
      <c r="F703" s="146">
        <v>1</v>
      </c>
      <c r="G703" s="146">
        <v>38</v>
      </c>
      <c r="H703" s="141">
        <v>2376</v>
      </c>
      <c r="I703" s="142">
        <v>594</v>
      </c>
      <c r="J703" s="129">
        <f t="shared" si="69"/>
        <v>594</v>
      </c>
      <c r="K703" s="130">
        <f t="shared" si="66"/>
        <v>4</v>
      </c>
      <c r="L703" s="144">
        <f>295344+204961.5+145464.5+116108.5+111972.5+49984+26327+32042+18579+20005+19180+15980+2686.5+3166.5+366+13433+4493+735.5+607.5+2528+83+198+248+2348+825+2700+2268+393+2002+2063+343+1188+2020+398.46+291.4+240.58+592+2+2376</f>
        <v>1104543.44</v>
      </c>
      <c r="M703" s="143">
        <f>36142+24747+19417+15404+14719+7567+3314+5289+3173+3275+3534+2826+540+724+52+2536+882+130+150+615+21+66+51+497+165+675+506+78+241+404+59+297+505+86+63+59+148+594</f>
        <v>149551</v>
      </c>
      <c r="N703" s="133">
        <f t="shared" si="70"/>
        <v>7.385730887790786</v>
      </c>
      <c r="O703" s="149"/>
      <c r="P703" s="589"/>
      <c r="U703" s="81"/>
    </row>
    <row r="704" spans="1:21" s="77" customFormat="1" ht="12" customHeight="1">
      <c r="A704" s="290">
        <v>700</v>
      </c>
      <c r="B704" s="123" t="s">
        <v>26</v>
      </c>
      <c r="C704" s="139">
        <v>39801</v>
      </c>
      <c r="D704" s="145" t="s">
        <v>326</v>
      </c>
      <c r="E704" s="156">
        <v>42</v>
      </c>
      <c r="F704" s="156">
        <v>1</v>
      </c>
      <c r="G704" s="156">
        <v>33</v>
      </c>
      <c r="H704" s="157">
        <v>2020</v>
      </c>
      <c r="I704" s="158">
        <v>505</v>
      </c>
      <c r="J704" s="129">
        <f t="shared" si="69"/>
        <v>505</v>
      </c>
      <c r="K704" s="130">
        <f t="shared" si="66"/>
        <v>4</v>
      </c>
      <c r="L704" s="154">
        <f>295344+204961.5+145464.5+116108.5+111972.5+49984+26327+32042+18579+20005+19180+15980+2686.5+3166.5+366+13433+4493+735.5+607.5+2528+83+198+248+2348+825+2700+2268+393+2002+2063+343+1188+2020</f>
        <v>1100643</v>
      </c>
      <c r="M704" s="153">
        <f>36142+24747+19417+15404+14719+7567+3314+5289+3173+3275+3534+2826+540+724+52+2536+882+130+150+615+21+66+51+497+165+675+506+78+241+404+59+297+505</f>
        <v>148601</v>
      </c>
      <c r="N704" s="133">
        <f t="shared" si="70"/>
        <v>7.406699820324224</v>
      </c>
      <c r="O704" s="148">
        <v>1</v>
      </c>
      <c r="P704" s="588"/>
      <c r="U704" s="80"/>
    </row>
    <row r="705" spans="1:21" s="78" customFormat="1" ht="12" customHeight="1">
      <c r="A705" s="290">
        <v>701</v>
      </c>
      <c r="B705" s="123" t="s">
        <v>26</v>
      </c>
      <c r="C705" s="139">
        <v>39801</v>
      </c>
      <c r="D705" s="145" t="s">
        <v>326</v>
      </c>
      <c r="E705" s="146">
        <v>42</v>
      </c>
      <c r="F705" s="146">
        <v>1</v>
      </c>
      <c r="G705" s="146">
        <v>37</v>
      </c>
      <c r="H705" s="127">
        <v>592</v>
      </c>
      <c r="I705" s="128">
        <v>148</v>
      </c>
      <c r="J705" s="129">
        <f t="shared" si="69"/>
        <v>148</v>
      </c>
      <c r="K705" s="130">
        <f t="shared" si="66"/>
        <v>4</v>
      </c>
      <c r="L705" s="131">
        <f>295344+204961.5+145464.5+116108.5+111972.5+49984+26327+32042+18579+20005+19180+15980+2686.5+3166.5+366+13433+4493+735.5+607.5+2528+83+198+248+2348+825+2700+2268+393+2002+2063+343+1188+2020+398.46+291.4+240.58+592</f>
        <v>1102165.44</v>
      </c>
      <c r="M705" s="132">
        <f>36142+24747+19417+15404+14719+7567+3314+5289+3173+3275+3534+2826+540+724+52+2536+882+130+150+615+21+66+51+497+165+675+506+78+241+404+59+297+505+86+63+59+148</f>
        <v>148957</v>
      </c>
      <c r="N705" s="133">
        <f t="shared" si="70"/>
        <v>7.3992188349657955</v>
      </c>
      <c r="O705" s="109">
        <v>1</v>
      </c>
      <c r="P705" s="590"/>
      <c r="U705" s="82"/>
    </row>
    <row r="706" spans="1:21" s="77" customFormat="1" ht="12" customHeight="1">
      <c r="A706" s="290">
        <v>702</v>
      </c>
      <c r="B706" s="123" t="s">
        <v>26</v>
      </c>
      <c r="C706" s="139">
        <v>39801</v>
      </c>
      <c r="D706" s="145" t="s">
        <v>326</v>
      </c>
      <c r="E706" s="156">
        <v>42</v>
      </c>
      <c r="F706" s="156">
        <v>1</v>
      </c>
      <c r="G706" s="156">
        <v>34</v>
      </c>
      <c r="H706" s="157">
        <v>398.46</v>
      </c>
      <c r="I706" s="158">
        <v>86</v>
      </c>
      <c r="J706" s="129">
        <f t="shared" si="69"/>
        <v>86</v>
      </c>
      <c r="K706" s="130">
        <f t="shared" si="66"/>
        <v>4.633255813953488</v>
      </c>
      <c r="L706" s="154">
        <f>295344+204961.5+145464.5+116108.5+111972.5+49984+26327+32042+18579+20005+19180+15980+2686.5+3166.5+366+13433+4493+735.5+607.5+2528+83+198+248+2348+825+2700+2268+393+2002+2063+343+1188+2020+398.46</f>
        <v>1101041.46</v>
      </c>
      <c r="M706" s="153">
        <f>36142+24747+19417+15404+14719+7567+3314+5289+3173+3275+3534+2826+540+724+52+2536+882+130+150+615+21+66+51+497+165+675+506+78+241+404+59+297+505+86</f>
        <v>148687</v>
      </c>
      <c r="N706" s="133">
        <f t="shared" si="70"/>
        <v>7.405095670771487</v>
      </c>
      <c r="O706" s="149">
        <v>1</v>
      </c>
      <c r="P706" s="588"/>
      <c r="U706" s="80"/>
    </row>
    <row r="707" spans="1:20" ht="12" customHeight="1">
      <c r="A707" s="290">
        <v>703</v>
      </c>
      <c r="B707" s="123" t="s">
        <v>26</v>
      </c>
      <c r="C707" s="139">
        <v>39801</v>
      </c>
      <c r="D707" s="145" t="s">
        <v>326</v>
      </c>
      <c r="E707" s="156">
        <v>42</v>
      </c>
      <c r="F707" s="156">
        <v>1</v>
      </c>
      <c r="G707" s="156">
        <v>35</v>
      </c>
      <c r="H707" s="157">
        <v>291.4</v>
      </c>
      <c r="I707" s="158">
        <v>63</v>
      </c>
      <c r="J707" s="129">
        <f t="shared" si="69"/>
        <v>63</v>
      </c>
      <c r="K707" s="130">
        <f t="shared" si="66"/>
        <v>4.625396825396825</v>
      </c>
      <c r="L707" s="154">
        <f>295344+204961.5+145464.5+116108.5+111972.5+49984+26327+32042+18579+20005+19180+15980+2686.5+3166.5+366+13433+4493+735.5+607.5+2528+83+198+248+2348+825+2700+2268+393+2002+2063+343+1188+2020+398.46+291.4</f>
        <v>1101332.8599999999</v>
      </c>
      <c r="M707" s="153">
        <f>36142+24747+19417+15404+14719+7567+3314+5289+3173+3275+3534+2826+540+724+52+2536+882+130+150+615+21+66+51+497+165+675+506+78+241+404+59+297+505+86+63</f>
        <v>148750</v>
      </c>
      <c r="N707" s="133">
        <f t="shared" si="70"/>
        <v>7.403918386554621</v>
      </c>
      <c r="O707" s="351">
        <v>1</v>
      </c>
      <c r="P707" s="334"/>
      <c r="Q707" s="83"/>
      <c r="R707" s="83"/>
      <c r="S707" s="83"/>
      <c r="T707" s="83"/>
    </row>
    <row r="708" spans="1:20" ht="12" customHeight="1">
      <c r="A708" s="290">
        <v>704</v>
      </c>
      <c r="B708" s="123" t="s">
        <v>26</v>
      </c>
      <c r="C708" s="139">
        <v>39801</v>
      </c>
      <c r="D708" s="145" t="s">
        <v>326</v>
      </c>
      <c r="E708" s="156">
        <v>42</v>
      </c>
      <c r="F708" s="156">
        <v>1</v>
      </c>
      <c r="G708" s="156">
        <v>36</v>
      </c>
      <c r="H708" s="157">
        <v>240.58</v>
      </c>
      <c r="I708" s="184">
        <v>59</v>
      </c>
      <c r="J708" s="129">
        <f t="shared" si="69"/>
        <v>59</v>
      </c>
      <c r="K708" s="130">
        <f t="shared" si="66"/>
        <v>4.077627118644068</v>
      </c>
      <c r="L708" s="144">
        <f>295344+204961.5+145464.5+116108.5+111972.5+49984+26327+32042+18579+20005+19180+15980+2686.5+3166.5+366+13433+4493+735.5+607.5+2528+83+198+248+2348+825+2700+2268+393+2002+2063+343+1188+2020+398.46+291.4+240.58</f>
        <v>1101573.44</v>
      </c>
      <c r="M708" s="143">
        <f>36142+24747+19417+15404+14719+7567+3314+5289+3173+3275+3534+2826+540+724+52+2536+882+130+150+615+21+66+51+497+165+675+506+78+241+404+59+297+505+86+63+59</f>
        <v>148809</v>
      </c>
      <c r="N708" s="133">
        <f t="shared" si="70"/>
        <v>7.4025995739505</v>
      </c>
      <c r="O708" s="170">
        <v>1</v>
      </c>
      <c r="P708" s="334"/>
      <c r="Q708" s="83"/>
      <c r="R708" s="83"/>
      <c r="S708" s="83"/>
      <c r="T708" s="83"/>
    </row>
    <row r="709" spans="1:20" ht="12" customHeight="1">
      <c r="A709" s="290">
        <v>705</v>
      </c>
      <c r="B709" s="182" t="s">
        <v>150</v>
      </c>
      <c r="C709" s="139">
        <v>40074</v>
      </c>
      <c r="D709" s="145" t="s">
        <v>353</v>
      </c>
      <c r="E709" s="156">
        <v>201</v>
      </c>
      <c r="F709" s="156">
        <v>1</v>
      </c>
      <c r="G709" s="156">
        <v>11</v>
      </c>
      <c r="H709" s="157">
        <v>1918.5</v>
      </c>
      <c r="I709" s="158">
        <v>320</v>
      </c>
      <c r="J709" s="129">
        <f t="shared" si="69"/>
        <v>320</v>
      </c>
      <c r="K709" s="130">
        <f t="shared" si="66"/>
        <v>5.9953125</v>
      </c>
      <c r="L709" s="154">
        <f>492395.5+172608.75+93279.75+41455.5+4013+0.5+709.5+90+170+100+2036+1918+0.5</f>
        <v>808777</v>
      </c>
      <c r="M709" s="153">
        <f>60122+23227+13952+6612+619+91+9+17+10+407+320</f>
        <v>105386</v>
      </c>
      <c r="N709" s="133">
        <f t="shared" si="70"/>
        <v>7.674425445505095</v>
      </c>
      <c r="O709" s="149">
        <v>1</v>
      </c>
      <c r="P709" s="334"/>
      <c r="Q709" s="83"/>
      <c r="R709" s="83"/>
      <c r="S709" s="83"/>
      <c r="T709" s="83"/>
    </row>
    <row r="710" spans="1:20" ht="12" customHeight="1">
      <c r="A710" s="290">
        <v>706</v>
      </c>
      <c r="B710" s="183" t="s">
        <v>392</v>
      </c>
      <c r="C710" s="139">
        <v>39926</v>
      </c>
      <c r="D710" s="145" t="s">
        <v>326</v>
      </c>
      <c r="E710" s="156">
        <v>40</v>
      </c>
      <c r="F710" s="156">
        <v>5</v>
      </c>
      <c r="G710" s="156">
        <v>37</v>
      </c>
      <c r="H710" s="157">
        <v>6592.5</v>
      </c>
      <c r="I710" s="158">
        <v>1697</v>
      </c>
      <c r="J710" s="129">
        <f t="shared" si="69"/>
        <v>339.4</v>
      </c>
      <c r="K710" s="130">
        <f t="shared" si="66"/>
        <v>3.8847967000589274</v>
      </c>
      <c r="L710" s="154">
        <f>35864.5+53058.5+35303.5+15734.5+12778.5+9687.5+8045+13953.5+10307+6140.75+1296+667+231+755+1970+2246+752.5+591.5+130+445+2051+750+1477+2060+1816+47+72+84+378+2301+1280+700+256+1780+92+200+187+6592.5</f>
        <v>232080.75</v>
      </c>
      <c r="M710" s="153">
        <f>3971+5771+3969+2398+2257+2131+1634+2509+1783+912+230+126+48+181+472+311+114+91+20+78+493+183+365+462+452+9+24+28+94+494+182+115+64+445+35+80+73+1697</f>
        <v>34301</v>
      </c>
      <c r="N710" s="133">
        <f t="shared" si="70"/>
        <v>6.766005364275094</v>
      </c>
      <c r="O710" s="148"/>
      <c r="P710" s="334"/>
      <c r="Q710" s="83"/>
      <c r="R710" s="83"/>
      <c r="S710" s="83"/>
      <c r="T710" s="83"/>
    </row>
    <row r="711" spans="1:20" ht="12" customHeight="1">
      <c r="A711" s="290">
        <v>707</v>
      </c>
      <c r="B711" s="183" t="s">
        <v>392</v>
      </c>
      <c r="C711" s="139">
        <v>39926</v>
      </c>
      <c r="D711" s="125" t="s">
        <v>338</v>
      </c>
      <c r="E711" s="146">
        <v>40</v>
      </c>
      <c r="F711" s="146">
        <v>2</v>
      </c>
      <c r="G711" s="146">
        <v>44</v>
      </c>
      <c r="H711" s="141">
        <v>3435</v>
      </c>
      <c r="I711" s="142">
        <v>599</v>
      </c>
      <c r="J711" s="129">
        <f t="shared" si="69"/>
        <v>299.5</v>
      </c>
      <c r="K711" s="130">
        <f t="shared" si="66"/>
        <v>5.734557595993322</v>
      </c>
      <c r="L711" s="144">
        <f>35864.5+53058.5+35303.5+15734.5+12778.5+9687.5+8045+13953.5+10307+6140.75+1296+667+231+755+1970+2246+752.5+591.5+130+445+2051+750+1477+2060+1816+47+72+84+378+2301+1280+700+256+1780+92+200+187+6592.5+2601.5+325.5+274.5+250.5+1365+122.5+3435</f>
        <v>240455.25</v>
      </c>
      <c r="M711" s="143">
        <f>3971+5771+3969+2398+2257+2131+1634+2509+1783+912+230+126+48+181+472+311+114+91+20+78+493+183+365+462+452+9+24+28+94+494+182+115+64+445+35+80+73+1697+671+84+61+68+336+35+599</f>
        <v>36155</v>
      </c>
      <c r="N711" s="133">
        <f t="shared" si="70"/>
        <v>6.650677637947725</v>
      </c>
      <c r="O711" s="147"/>
      <c r="P711" s="334"/>
      <c r="Q711" s="83"/>
      <c r="R711" s="83"/>
      <c r="S711" s="83"/>
      <c r="T711" s="83"/>
    </row>
    <row r="712" spans="1:20" ht="12" customHeight="1">
      <c r="A712" s="290">
        <v>708</v>
      </c>
      <c r="B712" s="183" t="s">
        <v>392</v>
      </c>
      <c r="C712" s="139">
        <v>39926</v>
      </c>
      <c r="D712" s="125" t="s">
        <v>326</v>
      </c>
      <c r="E712" s="146">
        <v>40</v>
      </c>
      <c r="F712" s="146">
        <v>2</v>
      </c>
      <c r="G712" s="146">
        <v>50</v>
      </c>
      <c r="H712" s="141">
        <v>3065.5</v>
      </c>
      <c r="I712" s="142">
        <v>757</v>
      </c>
      <c r="J712" s="129">
        <f t="shared" si="69"/>
        <v>378.5</v>
      </c>
      <c r="K712" s="130">
        <f t="shared" si="66"/>
        <v>4.0495376486129455</v>
      </c>
      <c r="L712" s="144">
        <f>35864.5+53058.5+35303.5+15734.5+12778.5+9687.5+8045+13953.5+10307+6140.75+1296+667+231+755+1970+2246+752.5+591.5+130+445+2051+750+1477+2060+1816+47+72+84+378+2301+1280+700+256+1780+92+200+187+6592.5+2601.5+325.5+274.5+250.5+1365+122.5+3435+71.5+299+201.5+277+84.5+3065.5</f>
        <v>244454.25</v>
      </c>
      <c r="M712" s="143">
        <f>3971+5771+3969+2398+2257+2131+1634+2509+1783+912+230+126+48+181+472+311+114+91+20+78+493+183+365+462+452+9+24+28+94+494+182+115+64+445+35+80+73+1697+671+84+61+68+336+35+599+11+46+31+42+13+757</f>
        <v>37055</v>
      </c>
      <c r="N712" s="133">
        <f t="shared" si="70"/>
        <v>6.597065173390906</v>
      </c>
      <c r="O712" s="148"/>
      <c r="P712" s="334"/>
      <c r="Q712" s="83"/>
      <c r="R712" s="83"/>
      <c r="S712" s="83"/>
      <c r="T712" s="83"/>
    </row>
    <row r="713" spans="1:20" ht="12" customHeight="1">
      <c r="A713" s="290">
        <v>709</v>
      </c>
      <c r="B713" s="183" t="s">
        <v>392</v>
      </c>
      <c r="C713" s="139">
        <v>39926</v>
      </c>
      <c r="D713" s="145" t="s">
        <v>326</v>
      </c>
      <c r="E713" s="156">
        <v>40</v>
      </c>
      <c r="F713" s="156">
        <v>3</v>
      </c>
      <c r="G713" s="156">
        <v>38</v>
      </c>
      <c r="H713" s="157">
        <v>2601.5</v>
      </c>
      <c r="I713" s="184">
        <v>671</v>
      </c>
      <c r="J713" s="129">
        <f t="shared" si="69"/>
        <v>223.66666666666666</v>
      </c>
      <c r="K713" s="130">
        <f t="shared" si="66"/>
        <v>3.877049180327869</v>
      </c>
      <c r="L713" s="144">
        <f>35864.5+53058.5+35303.5+15734.5+12778.5+9687.5+8045+13953.5+10307+6140.75+1296+667+231+755+1970+2246+752.5+591.5+130+445+2051+750+1477+2060+1816+47+72+84+378+2301+1280+700+256+1780+92+200+187+6592.5+2601.5</f>
        <v>234682.25</v>
      </c>
      <c r="M713" s="143">
        <f>3971+5771+3969+2398+2257+2131+1634+2509+1783+912+230+126+48+181+472+311+114+91+20+78+493+183+365+462+452+9+24+28+94+494+182+115+64+445+35+80+73+1697+671</f>
        <v>34972</v>
      </c>
      <c r="N713" s="133">
        <f t="shared" si="70"/>
        <v>6.710575603339815</v>
      </c>
      <c r="O713" s="149">
        <v>1</v>
      </c>
      <c r="P713" s="334"/>
      <c r="Q713" s="83"/>
      <c r="R713" s="83"/>
      <c r="S713" s="83"/>
      <c r="T713" s="83"/>
    </row>
    <row r="714" spans="1:20" ht="12" customHeight="1">
      <c r="A714" s="290">
        <v>710</v>
      </c>
      <c r="B714" s="183" t="s">
        <v>392</v>
      </c>
      <c r="C714" s="171">
        <v>39926</v>
      </c>
      <c r="D714" s="145" t="s">
        <v>326</v>
      </c>
      <c r="E714" s="156">
        <v>40</v>
      </c>
      <c r="F714" s="156">
        <v>1</v>
      </c>
      <c r="G714" s="156">
        <v>33</v>
      </c>
      <c r="H714" s="157">
        <v>1780</v>
      </c>
      <c r="I714" s="158">
        <v>445</v>
      </c>
      <c r="J714" s="129">
        <f t="shared" si="69"/>
        <v>445</v>
      </c>
      <c r="K714" s="130">
        <f t="shared" si="66"/>
        <v>4</v>
      </c>
      <c r="L714" s="154">
        <f>35864.5+53058.5+35303.5+15734.5+12778.5+9687.5+8045+13953.5+10307+6140.75+1296+667+231+755+1970+2246+752.5+591.5+130+445+2051+750+1477+2060+1816+47+72+84+378+2301+1280+700+256+1780</f>
        <v>225009.25</v>
      </c>
      <c r="M714" s="153">
        <f>3971+5771+3969+2398+2257+2131+1634+2509+1783+912+230+126+48+181+472+311+114+91+20+78+493+183+365+462+452+9+24+28+94+494+182+115+64+445</f>
        <v>32416</v>
      </c>
      <c r="N714" s="133">
        <f t="shared" si="70"/>
        <v>6.941302134748272</v>
      </c>
      <c r="O714" s="149">
        <v>1</v>
      </c>
      <c r="P714" s="334"/>
      <c r="Q714" s="83"/>
      <c r="R714" s="83"/>
      <c r="S714" s="83"/>
      <c r="T714" s="83"/>
    </row>
    <row r="715" spans="1:20" ht="12" customHeight="1">
      <c r="A715" s="290">
        <v>711</v>
      </c>
      <c r="B715" s="151" t="s">
        <v>392</v>
      </c>
      <c r="C715" s="139">
        <v>39926</v>
      </c>
      <c r="D715" s="145" t="s">
        <v>326</v>
      </c>
      <c r="E715" s="342">
        <v>40</v>
      </c>
      <c r="F715" s="342">
        <v>1</v>
      </c>
      <c r="G715" s="342">
        <v>57</v>
      </c>
      <c r="H715" s="186">
        <v>1424</v>
      </c>
      <c r="I715" s="187">
        <v>356</v>
      </c>
      <c r="J715" s="129">
        <f t="shared" si="69"/>
        <v>356</v>
      </c>
      <c r="K715" s="130">
        <f t="shared" si="66"/>
        <v>4</v>
      </c>
      <c r="L715" s="188">
        <f>35864.5+53058.5+35303.5+15734.5+12778.5+9687.5+8045+13953.5+10307+6140.75+1296+667+231+755+1970+2246+752.5+591.5+130+445+2051+750+1477+2060+1816+47+72+84+378+2301+1280+700+256+1780+92+200+187+6592.5+2601.5+325.5+274.5+250.5+1365+122.5+3435+71.5+299+201.5+277+84.5+3065.5+890.5+45.5+13+13+449+592+1424</f>
        <v>247881.25</v>
      </c>
      <c r="M715" s="189">
        <f>3971+5771+3969+2398+2257+2131+1634+2509+1783+912+230+126+48+181+472+311+114+91+20+78+493+183+365+462+452+9+24+28+94+494+182+115+64+445+35+80+73+1697+671+84+61+68+336+35+599+11+46+31+42+13+757+149+7+2+2+127+148+356</f>
        <v>37846</v>
      </c>
      <c r="N715" s="133">
        <f t="shared" si="70"/>
        <v>6.549734450140042</v>
      </c>
      <c r="O715" s="147"/>
      <c r="P715" s="334"/>
      <c r="Q715" s="83"/>
      <c r="R715" s="83"/>
      <c r="S715" s="83"/>
      <c r="T715" s="83"/>
    </row>
    <row r="716" spans="1:20" ht="12" customHeight="1">
      <c r="A716" s="290">
        <v>712</v>
      </c>
      <c r="B716" s="343" t="s">
        <v>392</v>
      </c>
      <c r="C716" s="245">
        <v>39926</v>
      </c>
      <c r="D716" s="244" t="s">
        <v>326</v>
      </c>
      <c r="E716" s="344">
        <v>40</v>
      </c>
      <c r="F716" s="344">
        <v>2</v>
      </c>
      <c r="G716" s="344">
        <v>42</v>
      </c>
      <c r="H716" s="345">
        <v>1365</v>
      </c>
      <c r="I716" s="346">
        <v>336</v>
      </c>
      <c r="J716" s="129">
        <f t="shared" si="69"/>
        <v>168</v>
      </c>
      <c r="K716" s="130">
        <f t="shared" si="66"/>
        <v>4.0625</v>
      </c>
      <c r="L716" s="347">
        <f>35864.5+53058.5+35303.5+15734.5+12778.5+9687.5+8045+13953.5+10307+6140.75+1296+667+231+755+1970+2246+752.5+591.5+130+445+2051+750+1477+2060+1816+47+72+84+378+2301+1280+700+256+1780+92+200+187+6592.5+2601.5+325.5+274.5+250.5+1365</f>
        <v>236897.75</v>
      </c>
      <c r="M716" s="348">
        <f>3971+5771+3969+2398+2257+2131+1634+2509+1783+912+230+126+48+181+472+311+114+91+20+78+493+183+365+462+452+9+24+28+94+494+182+115+64+445+35+80+73+1697+671+84+61+68+336</f>
        <v>35521</v>
      </c>
      <c r="N716" s="133">
        <f t="shared" si="70"/>
        <v>6.669230877509079</v>
      </c>
      <c r="O716" s="147"/>
      <c r="P716" s="334"/>
      <c r="Q716" s="83"/>
      <c r="R716" s="83"/>
      <c r="S716" s="83"/>
      <c r="T716" s="83"/>
    </row>
    <row r="717" spans="1:20" ht="12" customHeight="1">
      <c r="A717" s="290">
        <v>713</v>
      </c>
      <c r="B717" s="183" t="s">
        <v>392</v>
      </c>
      <c r="C717" s="139">
        <v>39926</v>
      </c>
      <c r="D717" s="145" t="s">
        <v>326</v>
      </c>
      <c r="E717" s="146">
        <v>40</v>
      </c>
      <c r="F717" s="146">
        <v>2</v>
      </c>
      <c r="G717" s="146">
        <v>30</v>
      </c>
      <c r="H717" s="127">
        <v>1280</v>
      </c>
      <c r="I717" s="128">
        <v>182</v>
      </c>
      <c r="J717" s="129">
        <f t="shared" si="69"/>
        <v>91</v>
      </c>
      <c r="K717" s="130">
        <f t="shared" si="66"/>
        <v>7.032967032967033</v>
      </c>
      <c r="L717" s="131">
        <f>35864.5+53058.5+35303.5+15734.5+12778.5+9687.5+8045+13953.5+10307+6140.75+1296+667+231+755+1970+2246+752.5+591.5+130+445+2051+750+1477+2060+1816+47+72+84+378+2301+1280</f>
        <v>222273.25</v>
      </c>
      <c r="M717" s="132">
        <f>3971+5771+3969+2398+2257+2131+1634+2509+1783+912+230+126+48+181+472+311+114+91+20+78+493+183+365+462+452+9+24+28+94+494+182</f>
        <v>31792</v>
      </c>
      <c r="N717" s="133">
        <f t="shared" si="70"/>
        <v>6.991483706592853</v>
      </c>
      <c r="O717" s="148"/>
      <c r="P717" s="334"/>
      <c r="Q717" s="83"/>
      <c r="R717" s="83"/>
      <c r="S717" s="83"/>
      <c r="T717" s="83"/>
    </row>
    <row r="718" spans="1:20" ht="12" customHeight="1">
      <c r="A718" s="290">
        <v>714</v>
      </c>
      <c r="B718" s="123" t="s">
        <v>392</v>
      </c>
      <c r="C718" s="139">
        <v>39926</v>
      </c>
      <c r="D718" s="145" t="s">
        <v>326</v>
      </c>
      <c r="E718" s="146">
        <v>40</v>
      </c>
      <c r="F718" s="146">
        <v>2</v>
      </c>
      <c r="G718" s="146">
        <v>51</v>
      </c>
      <c r="H718" s="137">
        <v>890.5</v>
      </c>
      <c r="I718" s="135">
        <v>149</v>
      </c>
      <c r="J718" s="129">
        <f t="shared" si="69"/>
        <v>74.5</v>
      </c>
      <c r="K718" s="130">
        <f t="shared" si="66"/>
        <v>5.976510067114094</v>
      </c>
      <c r="L718" s="144">
        <f>35864.5+53058.5+35303.5+15734.5+12778.5+9687.5+8045+13953.5+10307+6140.75+1296+667+231+755+1970+2246+752.5+591.5+130+445+2051+750+1477+2060+1816+47+72+84+378+2301+1280+700+256+1780+92+200+187+6592.5+2601.5+325.5+274.5+250.5+1365+122.5+3435+71.5+299+201.5+277+84.5+3065.5+890.5</f>
        <v>245344.75</v>
      </c>
      <c r="M718" s="143">
        <f>3971+5771+3969+2398+2257+2131+1634+2509+1783+912+230+126+48+181+472+311+114+91+20+78+493+183+365+462+452+9+24+28+94+494+182+115+64+445+35+80+73+1697+671+84+61+68+336+35+599+11+46+31+42+13+757+149</f>
        <v>37204</v>
      </c>
      <c r="N718" s="133">
        <f t="shared" si="70"/>
        <v>6.594579883883453</v>
      </c>
      <c r="O718" s="108"/>
      <c r="P718" s="334"/>
      <c r="Q718" s="83"/>
      <c r="R718" s="83"/>
      <c r="S718" s="83"/>
      <c r="T718" s="83"/>
    </row>
    <row r="719" spans="1:20" ht="12" customHeight="1">
      <c r="A719" s="290">
        <v>715</v>
      </c>
      <c r="B719" s="183" t="s">
        <v>392</v>
      </c>
      <c r="C719" s="139">
        <v>39926</v>
      </c>
      <c r="D719" s="145" t="s">
        <v>326</v>
      </c>
      <c r="E719" s="146">
        <v>40</v>
      </c>
      <c r="F719" s="146">
        <v>2</v>
      </c>
      <c r="G719" s="146">
        <v>31</v>
      </c>
      <c r="H719" s="127">
        <v>700</v>
      </c>
      <c r="I719" s="128">
        <v>115</v>
      </c>
      <c r="J719" s="129">
        <f t="shared" si="69"/>
        <v>57.5</v>
      </c>
      <c r="K719" s="130">
        <f t="shared" si="66"/>
        <v>6.086956521739131</v>
      </c>
      <c r="L719" s="131">
        <f>35864.5+53058.5+35303.5+15734.5+12778.5+9687.5+8045+13953.5+10307+6140.75+1296+667+231+755+1970+2246+752.5+591.5+130+445+2051+750+1477+2060+1816+47+72+84+378+2301+1280+700</f>
        <v>222973.25</v>
      </c>
      <c r="M719" s="132">
        <f>3971+5771+3969+2398+2257+2131+1634+2509+1783+912+230+126+48+181+472+311+114+91+20+78+493+183+365+462+452+9+24+28+94+494+182+115</f>
        <v>31907</v>
      </c>
      <c r="N719" s="133">
        <f t="shared" si="70"/>
        <v>6.988223587300593</v>
      </c>
      <c r="O719" s="148"/>
      <c r="P719" s="334"/>
      <c r="Q719" s="83"/>
      <c r="R719" s="83"/>
      <c r="S719" s="83"/>
      <c r="T719" s="83"/>
    </row>
    <row r="720" spans="1:20" ht="12" customHeight="1">
      <c r="A720" s="290">
        <v>716</v>
      </c>
      <c r="B720" s="240" t="s">
        <v>392</v>
      </c>
      <c r="C720" s="139">
        <v>39926</v>
      </c>
      <c r="D720" s="235" t="s">
        <v>326</v>
      </c>
      <c r="E720" s="140">
        <v>40</v>
      </c>
      <c r="F720" s="140">
        <v>1</v>
      </c>
      <c r="G720" s="140">
        <v>56</v>
      </c>
      <c r="H720" s="236">
        <v>592</v>
      </c>
      <c r="I720" s="237">
        <v>148</v>
      </c>
      <c r="J720" s="129">
        <f t="shared" si="69"/>
        <v>148</v>
      </c>
      <c r="K720" s="130">
        <f t="shared" si="66"/>
        <v>4</v>
      </c>
      <c r="L720" s="238">
        <v>246457.25</v>
      </c>
      <c r="M720" s="239">
        <v>37490</v>
      </c>
      <c r="N720" s="133">
        <f t="shared" si="70"/>
        <v>6.573946385702854</v>
      </c>
      <c r="O720" s="110"/>
      <c r="P720" s="334"/>
      <c r="Q720" s="83"/>
      <c r="R720" s="83"/>
      <c r="S720" s="83"/>
      <c r="T720" s="83"/>
    </row>
    <row r="721" spans="1:20" ht="12" customHeight="1">
      <c r="A721" s="290">
        <v>717</v>
      </c>
      <c r="B721" s="183" t="s">
        <v>392</v>
      </c>
      <c r="C721" s="124">
        <v>39926</v>
      </c>
      <c r="D721" s="125" t="s">
        <v>326</v>
      </c>
      <c r="E721" s="126">
        <v>40</v>
      </c>
      <c r="F721" s="126">
        <v>1</v>
      </c>
      <c r="G721" s="126">
        <v>55</v>
      </c>
      <c r="H721" s="137">
        <v>449</v>
      </c>
      <c r="I721" s="135">
        <v>127</v>
      </c>
      <c r="J721" s="129">
        <f t="shared" si="69"/>
        <v>127</v>
      </c>
      <c r="K721" s="130">
        <f t="shared" si="66"/>
        <v>3.5354330708661417</v>
      </c>
      <c r="L721" s="138">
        <f>35864.5+53058.5+35303.5+15734.5+12778.5+9687.5+8045+13953.5+10307+6140.75+1296+667+231+755+1970+2246+752.5+591.5+130+445+2051+750+1477+2060+1816+47+72+84+378+2301+1280+700+256+1780+92+200+187+6592.5+2601.5+325.5+274.5+250.5+1365+122.5+3435+71.5+299+201.5+277+84.5+3065.5+890.5+45.5+13+13+449</f>
        <v>245865.25</v>
      </c>
      <c r="M721" s="136">
        <f>3971+5771+3969+2398+2257+2131+1634+2509+1783+912+230+126+48+181+472+311+114+91+20+78+493+183+365+462+452+9+24+28+94+494+182+115+64+445+35+80+73+1697+671+84+61+68+336+35+599+11+46+31+42+13+757+149+7+2+2+127</f>
        <v>37342</v>
      </c>
      <c r="N721" s="133">
        <f t="shared" si="70"/>
        <v>6.584147876385839</v>
      </c>
      <c r="O721" s="148"/>
      <c r="P721" s="334"/>
      <c r="Q721" s="83"/>
      <c r="R721" s="83"/>
      <c r="S721" s="83"/>
      <c r="T721" s="83"/>
    </row>
    <row r="722" spans="1:20" ht="12" customHeight="1">
      <c r="A722" s="290">
        <v>718</v>
      </c>
      <c r="B722" s="183" t="s">
        <v>392</v>
      </c>
      <c r="C722" s="139">
        <v>39926</v>
      </c>
      <c r="D722" s="145" t="s">
        <v>326</v>
      </c>
      <c r="E722" s="146">
        <v>40</v>
      </c>
      <c r="F722" s="146">
        <v>3</v>
      </c>
      <c r="G722" s="146">
        <v>39</v>
      </c>
      <c r="H722" s="137">
        <v>325.5</v>
      </c>
      <c r="I722" s="135">
        <v>84</v>
      </c>
      <c r="J722" s="129">
        <f t="shared" si="69"/>
        <v>28</v>
      </c>
      <c r="K722" s="130">
        <f t="shared" si="66"/>
        <v>3.875</v>
      </c>
      <c r="L722" s="138">
        <f>35864.5+53058.5+35303.5+15734.5+12778.5+9687.5+8045+13953.5+10307+6140.75+1296+667+231+755+1970+2246+752.5+591.5+130+445+2051+750+1477+2060+1816+47+72+84+378+2301+1280+700+256+1780+92+200+187+6592.5+2601.5+325.5</f>
        <v>235007.75</v>
      </c>
      <c r="M722" s="136">
        <f>3971+5771+3969+2398+2257+2131+1634+2509+1783+912+230+126+48+181+472+311+114+91+20+78+493+183+365+462+452+9+24+28+94+494+182+115+64+445+35+80+73+1697+671+84</f>
        <v>35056</v>
      </c>
      <c r="N722" s="133">
        <f t="shared" si="70"/>
        <v>6.703781093108169</v>
      </c>
      <c r="O722" s="147">
        <v>1</v>
      </c>
      <c r="P722" s="334"/>
      <c r="Q722" s="83"/>
      <c r="R722" s="83"/>
      <c r="S722" s="83"/>
      <c r="T722" s="83"/>
    </row>
    <row r="723" spans="1:20" ht="12" customHeight="1">
      <c r="A723" s="290">
        <v>719</v>
      </c>
      <c r="B723" s="183" t="s">
        <v>392</v>
      </c>
      <c r="C723" s="139">
        <v>39926</v>
      </c>
      <c r="D723" s="125" t="s">
        <v>326</v>
      </c>
      <c r="E723" s="146">
        <v>40</v>
      </c>
      <c r="F723" s="146">
        <v>1</v>
      </c>
      <c r="G723" s="146">
        <v>46</v>
      </c>
      <c r="H723" s="141">
        <v>299</v>
      </c>
      <c r="I723" s="142">
        <v>46</v>
      </c>
      <c r="J723" s="129">
        <f t="shared" si="69"/>
        <v>46</v>
      </c>
      <c r="K723" s="130">
        <f t="shared" si="66"/>
        <v>6.5</v>
      </c>
      <c r="L723" s="144">
        <f>35864.5+53058.5+35303.5+15734.5+12778.5+9687.5+8045+13953.5+10307+6140.75+1296+667+231+755+1970+2246+752.5+591.5+130+445+2051+750+1477+2060+1816+47+72+84+378+2301+1280+700+256+1780+92+200+187+6592.5+2601.5+325.5+274.5+250.5+1365+122.5+3435+71.5+299</f>
        <v>240825.75</v>
      </c>
      <c r="M723" s="143">
        <f>3971+5771+3969+2398+2257+2131+1634+2509+1783+912+230+126+48+181+472+311+114+91+20+78+493+183+365+462+452+9+24+28+94+494+182+115+64+445+35+80+73+1697+671+84+61+68+336+35+599+11+46</f>
        <v>36212</v>
      </c>
      <c r="N723" s="133">
        <f t="shared" si="70"/>
        <v>6.6504404617253945</v>
      </c>
      <c r="O723" s="159">
        <v>1</v>
      </c>
      <c r="P723" s="334"/>
      <c r="Q723" s="83"/>
      <c r="R723" s="83"/>
      <c r="S723" s="83"/>
      <c r="T723" s="83"/>
    </row>
    <row r="724" spans="1:20" ht="12" customHeight="1">
      <c r="A724" s="290">
        <v>720</v>
      </c>
      <c r="B724" s="183" t="s">
        <v>392</v>
      </c>
      <c r="C724" s="139">
        <v>39926</v>
      </c>
      <c r="D724" s="125" t="s">
        <v>326</v>
      </c>
      <c r="E724" s="146">
        <v>40</v>
      </c>
      <c r="F724" s="146">
        <v>4</v>
      </c>
      <c r="G724" s="146">
        <v>48</v>
      </c>
      <c r="H724" s="141">
        <v>277</v>
      </c>
      <c r="I724" s="142">
        <v>42</v>
      </c>
      <c r="J724" s="129">
        <f t="shared" si="69"/>
        <v>10.5</v>
      </c>
      <c r="K724" s="130">
        <f t="shared" si="66"/>
        <v>6.595238095238095</v>
      </c>
      <c r="L724" s="144">
        <f>35864.5+53058.5+35303.5+15734.5+12778.5+9687.5+8045+13953.5+10307+6140.75+1296+667+231+755+1970+2246+752.5+591.5+130+445+2051+750+1477+2060+1816+47+72+84+378+2301+1280+700+256+1780+92+200+187+6592.5+2601.5+325.5+274.5+250.5+1365+122.5+3435+71.5+299+201.5+277</f>
        <v>241304.25</v>
      </c>
      <c r="M724" s="143">
        <f>3971+5771+3969+2398+2257+2131+1634+2509+1783+912+230+126+48+181+472+311+114+91+20+78+493+183+365+462+452+9+24+28+94+494+182+115+64+445+35+80+73+1697+671+84+61+68+336+35+599+11+46+31+42</f>
        <v>36285</v>
      </c>
      <c r="N724" s="133">
        <f t="shared" si="70"/>
        <v>6.6502480363786685</v>
      </c>
      <c r="O724" s="149"/>
      <c r="P724" s="334"/>
      <c r="Q724" s="83"/>
      <c r="R724" s="83"/>
      <c r="S724" s="83"/>
      <c r="T724" s="83"/>
    </row>
    <row r="725" spans="1:20" ht="12" customHeight="1">
      <c r="A725" s="290">
        <v>721</v>
      </c>
      <c r="B725" s="183" t="s">
        <v>392</v>
      </c>
      <c r="C725" s="139">
        <v>39926</v>
      </c>
      <c r="D725" s="145" t="s">
        <v>326</v>
      </c>
      <c r="E725" s="146">
        <v>40</v>
      </c>
      <c r="F725" s="146">
        <v>2</v>
      </c>
      <c r="G725" s="146">
        <v>40</v>
      </c>
      <c r="H725" s="137">
        <v>274.5</v>
      </c>
      <c r="I725" s="135">
        <v>61</v>
      </c>
      <c r="J725" s="129">
        <f t="shared" si="69"/>
        <v>30.5</v>
      </c>
      <c r="K725" s="130">
        <f t="shared" si="66"/>
        <v>4.5</v>
      </c>
      <c r="L725" s="144">
        <f>35864.5+53058.5+35303.5+15734.5+12778.5+9687.5+8045+13953.5+10307+6140.75+1296+667+231+755+1970+2246+752.5+591.5+130+445+2051+750+1477+2060+1816+47+72+84+378+2301+1280+700+256+1780+92+200+187+6592.5+2601.5+325.5+274.5</f>
        <v>235282.25</v>
      </c>
      <c r="M725" s="143">
        <f>3971+5771+3969+2398+2257+2131+1634+2509+1783+912+230+126+48+181+472+311+114+91+20+78+493+183+365+462+452+9+24+28+94+494+182+115+64+445+35+80+73+1697+671+84+61</f>
        <v>35117</v>
      </c>
      <c r="N725" s="133">
        <f t="shared" si="70"/>
        <v>6.699953014209642</v>
      </c>
      <c r="O725" s="147"/>
      <c r="P725" s="334"/>
      <c r="Q725" s="83"/>
      <c r="R725" s="83"/>
      <c r="S725" s="83"/>
      <c r="T725" s="83"/>
    </row>
    <row r="726" spans="1:20" ht="12" customHeight="1">
      <c r="A726" s="290">
        <v>722</v>
      </c>
      <c r="B726" s="183" t="s">
        <v>392</v>
      </c>
      <c r="C726" s="139">
        <v>39926</v>
      </c>
      <c r="D726" s="145" t="s">
        <v>326</v>
      </c>
      <c r="E726" s="146">
        <v>40</v>
      </c>
      <c r="F726" s="146">
        <v>1</v>
      </c>
      <c r="G726" s="146">
        <v>32</v>
      </c>
      <c r="H726" s="127">
        <v>256</v>
      </c>
      <c r="I726" s="135">
        <v>64</v>
      </c>
      <c r="J726" s="129">
        <f t="shared" si="69"/>
        <v>64</v>
      </c>
      <c r="K726" s="130">
        <f t="shared" si="66"/>
        <v>4</v>
      </c>
      <c r="L726" s="131">
        <f>35864.5+53058.5+35303.5+15734.5+12778.5+9687.5+8045+13953.5+10307+6140.75+1296+667+231+755+1970+2246+752.5+591.5+130+445+2051+750+1477+2060+1816+47+72+84+378+2301+1280+700+256</f>
        <v>223229.25</v>
      </c>
      <c r="M726" s="136">
        <f>3971+5771+3969+2398+2257+2131+1634+2509+1783+912+230+126+48+181+472+311+114+91+20+78+493+183+365+462+452+9+24+28+94+494+182+115+64</f>
        <v>31971</v>
      </c>
      <c r="N726" s="133">
        <f t="shared" si="70"/>
        <v>6.982241719057896</v>
      </c>
      <c r="O726" s="147"/>
      <c r="P726" s="334"/>
      <c r="Q726" s="83"/>
      <c r="R726" s="83"/>
      <c r="S726" s="83"/>
      <c r="T726" s="83"/>
    </row>
    <row r="727" spans="1:20" ht="12" customHeight="1">
      <c r="A727" s="290">
        <v>723</v>
      </c>
      <c r="B727" s="123" t="s">
        <v>392</v>
      </c>
      <c r="C727" s="124">
        <v>39926</v>
      </c>
      <c r="D727" s="125" t="s">
        <v>326</v>
      </c>
      <c r="E727" s="126">
        <v>40</v>
      </c>
      <c r="F727" s="126">
        <v>1</v>
      </c>
      <c r="G727" s="126">
        <v>41</v>
      </c>
      <c r="H727" s="127">
        <v>250.5</v>
      </c>
      <c r="I727" s="128">
        <v>68</v>
      </c>
      <c r="J727" s="129">
        <f t="shared" si="69"/>
        <v>68</v>
      </c>
      <c r="K727" s="130">
        <f t="shared" si="66"/>
        <v>3.6838235294117645</v>
      </c>
      <c r="L727" s="131">
        <f>35864.5+53058.5+35303.5+15734.5+12778.5+9687.5+8045+13953.5+10307+6140.75+1296+667+231+755+1970+2246+752.5+591.5+130+445+2051+750+1477+2060+1816+47+72+84+378+2301+1280+700+256+1780+92+200+187+6592.5+2601.5+325.5+274.5+250.5</f>
        <v>235532.75</v>
      </c>
      <c r="M727" s="132">
        <f>3971+5771+3969+2398+2257+2131+1634+2509+1783+912+230+126+48+181+472+311+114+91+20+78+493+183+365+462+452+9+24+28+94+494+182+115+64+445+35+80+73+1697+671+84+61+68</f>
        <v>35185</v>
      </c>
      <c r="N727" s="133">
        <f t="shared" si="70"/>
        <v>6.694123916441665</v>
      </c>
      <c r="O727" s="108"/>
      <c r="P727" s="334"/>
      <c r="Q727" s="83"/>
      <c r="R727" s="83"/>
      <c r="S727" s="83"/>
      <c r="T727" s="83"/>
    </row>
    <row r="728" spans="1:20" ht="12" customHeight="1">
      <c r="A728" s="290">
        <v>724</v>
      </c>
      <c r="B728" s="183" t="s">
        <v>392</v>
      </c>
      <c r="C728" s="139">
        <v>39926</v>
      </c>
      <c r="D728" s="125" t="s">
        <v>326</v>
      </c>
      <c r="E728" s="146">
        <v>40</v>
      </c>
      <c r="F728" s="146">
        <v>1</v>
      </c>
      <c r="G728" s="146">
        <v>47</v>
      </c>
      <c r="H728" s="141">
        <v>201.5</v>
      </c>
      <c r="I728" s="142">
        <v>31</v>
      </c>
      <c r="J728" s="129">
        <f t="shared" si="69"/>
        <v>31</v>
      </c>
      <c r="K728" s="130">
        <f t="shared" si="66"/>
        <v>6.5</v>
      </c>
      <c r="L728" s="144">
        <f>35864.5+53058.5+35303.5+15734.5+12778.5+9687.5+8045+13953.5+10307+6140.75+1296+667+231+755+1970+2246+752.5+591.5+130+445+2051+750+1477+2060+1816+47+72+84+378+2301+1280+700+256+1780+92+200+187+6592.5+2601.5+325.5+274.5+250.5+1365+122.5+3435+71.5+299+201.5</f>
        <v>241027.25</v>
      </c>
      <c r="M728" s="143">
        <f>3971+5771+3969+2398+2257+2131+1634+2509+1783+912+230+126+48+181+472+311+114+91+20+78+493+183+365+462+452+9+24+28+94+494+182+115+64+445+35+80+73+1697+671+84+61+68+336+35+599+11+46+31</f>
        <v>36243</v>
      </c>
      <c r="N728" s="133">
        <f t="shared" si="70"/>
        <v>6.650311784344563</v>
      </c>
      <c r="O728" s="149"/>
      <c r="P728" s="334"/>
      <c r="Q728" s="83"/>
      <c r="R728" s="83"/>
      <c r="S728" s="83"/>
      <c r="T728" s="83"/>
    </row>
    <row r="729" spans="1:20" ht="12" customHeight="1">
      <c r="A729" s="290">
        <v>725</v>
      </c>
      <c r="B729" s="183" t="s">
        <v>392</v>
      </c>
      <c r="C729" s="139">
        <v>39926</v>
      </c>
      <c r="D729" s="145" t="s">
        <v>326</v>
      </c>
      <c r="E729" s="156">
        <v>40</v>
      </c>
      <c r="F729" s="156">
        <v>1</v>
      </c>
      <c r="G729" s="156">
        <v>35</v>
      </c>
      <c r="H729" s="157">
        <v>200</v>
      </c>
      <c r="I729" s="158">
        <v>80</v>
      </c>
      <c r="J729" s="129">
        <f t="shared" si="69"/>
        <v>80</v>
      </c>
      <c r="K729" s="130">
        <f t="shared" si="66"/>
        <v>2.5</v>
      </c>
      <c r="L729" s="154">
        <f>35864.5+53058.5+35303.5+15734.5+12778.5+9687.5+8045+13953.5+10307+6140.75+1296+667+231+755+1970+2246+752.5+591.5+130+445+2051+750+1477+2060+1816+47+72+84+378+2301+1280+700+256+1780+92+200</f>
        <v>225301.25</v>
      </c>
      <c r="M729" s="153">
        <f>3971+5771+3969+2398+2257+2131+1634+2509+1783+912+230+126+48+181+472+311+114+91+20+78+493+183+365+462+452+9+24+28+94+494+182+115+64+445+35+80</f>
        <v>32531</v>
      </c>
      <c r="N729" s="133">
        <f t="shared" si="70"/>
        <v>6.925740063324214</v>
      </c>
      <c r="O729" s="149"/>
      <c r="P729" s="334"/>
      <c r="Q729" s="83"/>
      <c r="R729" s="83"/>
      <c r="S729" s="83"/>
      <c r="T729" s="83"/>
    </row>
    <row r="730" spans="1:20" ht="12" customHeight="1">
      <c r="A730" s="290">
        <v>726</v>
      </c>
      <c r="B730" s="183" t="s">
        <v>392</v>
      </c>
      <c r="C730" s="139">
        <v>39926</v>
      </c>
      <c r="D730" s="145" t="s">
        <v>326</v>
      </c>
      <c r="E730" s="156">
        <v>40</v>
      </c>
      <c r="F730" s="156">
        <v>1</v>
      </c>
      <c r="G730" s="156">
        <v>36</v>
      </c>
      <c r="H730" s="157">
        <v>187</v>
      </c>
      <c r="I730" s="158">
        <v>73</v>
      </c>
      <c r="J730" s="129">
        <f t="shared" si="69"/>
        <v>73</v>
      </c>
      <c r="K730" s="130">
        <f aca="true" t="shared" si="71" ref="K730:K793">H730/I730</f>
        <v>2.5616438356164384</v>
      </c>
      <c r="L730" s="154">
        <f>35864.5+53058.5+35303.5+15734.5+12778.5+9687.5+8045+13953.5+10307+6140.75+1296+667+231+755+1970+2246+752.5+591.5+130+445+2051+750+1477+2060+1816+47+72+84+378+2301+1280+700+256+1780+92+200+187</f>
        <v>225488.25</v>
      </c>
      <c r="M730" s="153">
        <f>3971+5771+3969+2398+2257+2131+1634+2509+1783+912+230+126+48+181+472+311+114+91+20+78+493+183+365+462+452+9+24+28+94+494+182+115+64+445+35+80+73</f>
        <v>32604</v>
      </c>
      <c r="N730" s="133">
        <f t="shared" si="70"/>
        <v>6.915968899521531</v>
      </c>
      <c r="O730" s="149"/>
      <c r="P730" s="334"/>
      <c r="Q730" s="83"/>
      <c r="R730" s="83"/>
      <c r="S730" s="83"/>
      <c r="T730" s="83"/>
    </row>
    <row r="731" spans="1:20" ht="12" customHeight="1">
      <c r="A731" s="290">
        <v>727</v>
      </c>
      <c r="B731" s="151" t="s">
        <v>392</v>
      </c>
      <c r="C731" s="139">
        <v>39926</v>
      </c>
      <c r="D731" s="145" t="s">
        <v>338</v>
      </c>
      <c r="E731" s="146">
        <v>40</v>
      </c>
      <c r="F731" s="146">
        <v>1</v>
      </c>
      <c r="G731" s="146">
        <v>43</v>
      </c>
      <c r="H731" s="137">
        <v>122.5</v>
      </c>
      <c r="I731" s="135">
        <v>35</v>
      </c>
      <c r="J731" s="129">
        <f t="shared" si="69"/>
        <v>35</v>
      </c>
      <c r="K731" s="130">
        <f t="shared" si="71"/>
        <v>3.5</v>
      </c>
      <c r="L731" s="138">
        <f>35864.5+53058.5+35303.5+15734.5+12778.5+9687.5+8045+13953.5+10307+6140.75+1296+667+231+755+1970+2246+752.5+591.5+130+445+2051+750+1477+2060+1816+47+72+84+378+2301+1280+700+256+1780+92+200+187+6592.5+2601.5+325.5+274.5+250.5+1365+122.5</f>
        <v>237020.25</v>
      </c>
      <c r="M731" s="136">
        <f>3971+5771+3969+2398+2257+2131+1634+2509+1783+912+230+126+48+181+472+311+114+91+20+78+493+183+365+462+452+9+24+28+94+494+182+115+64+445+35+80+73+1697+671+84+61+68+336+35</f>
        <v>35556</v>
      </c>
      <c r="N731" s="133">
        <f t="shared" si="70"/>
        <v>6.66611120485994</v>
      </c>
      <c r="O731" s="170"/>
      <c r="P731" s="334"/>
      <c r="Q731" s="83"/>
      <c r="R731" s="83"/>
      <c r="S731" s="83"/>
      <c r="T731" s="83"/>
    </row>
    <row r="732" spans="1:20" ht="12" customHeight="1">
      <c r="A732" s="290">
        <v>728</v>
      </c>
      <c r="B732" s="183" t="s">
        <v>392</v>
      </c>
      <c r="C732" s="139">
        <v>39926</v>
      </c>
      <c r="D732" s="145" t="s">
        <v>326</v>
      </c>
      <c r="E732" s="156">
        <v>40</v>
      </c>
      <c r="F732" s="156">
        <v>1</v>
      </c>
      <c r="G732" s="156">
        <v>34</v>
      </c>
      <c r="H732" s="157">
        <v>92</v>
      </c>
      <c r="I732" s="158">
        <v>35</v>
      </c>
      <c r="J732" s="129">
        <f t="shared" si="69"/>
        <v>35</v>
      </c>
      <c r="K732" s="130">
        <f t="shared" si="71"/>
        <v>2.6285714285714286</v>
      </c>
      <c r="L732" s="154">
        <f>35864.5+53058.5+35303.5+15734.5+12778.5+9687.5+8045+13953.5+10307+6140.75+1296+667+231+755+1970+2246+752.5+591.5+130+445+2051+750+1477+2060+1816+47+72+84+378+2301+1280+700+256+1780+92</f>
        <v>225101.25</v>
      </c>
      <c r="M732" s="153">
        <f>3971+5771+3969+2398+2257+2131+1634+2509+1783+912+230+126+48+181+472+311+114+91+20+78+493+183+365+462+452+9+24+28+94+494+182+115+64+445+35</f>
        <v>32451</v>
      </c>
      <c r="N732" s="133">
        <f t="shared" si="70"/>
        <v>6.936650642507165</v>
      </c>
      <c r="O732" s="149"/>
      <c r="P732" s="334"/>
      <c r="Q732" s="83"/>
      <c r="R732" s="83"/>
      <c r="S732" s="83"/>
      <c r="T732" s="83"/>
    </row>
    <row r="733" spans="1:20" ht="12" customHeight="1">
      <c r="A733" s="290">
        <v>729</v>
      </c>
      <c r="B733" s="183" t="s">
        <v>392</v>
      </c>
      <c r="C733" s="139">
        <v>39926</v>
      </c>
      <c r="D733" s="125" t="s">
        <v>326</v>
      </c>
      <c r="E733" s="146">
        <v>40</v>
      </c>
      <c r="F733" s="146">
        <v>1</v>
      </c>
      <c r="G733" s="146">
        <v>49</v>
      </c>
      <c r="H733" s="141">
        <v>84.5</v>
      </c>
      <c r="I733" s="142">
        <v>13</v>
      </c>
      <c r="J733" s="129">
        <f aca="true" t="shared" si="72" ref="J733:J764">I733/F733</f>
        <v>13</v>
      </c>
      <c r="K733" s="130">
        <f t="shared" si="71"/>
        <v>6.5</v>
      </c>
      <c r="L733" s="144">
        <f>35864.5+53058.5+35303.5+15734.5+12778.5+9687.5+8045+13953.5+10307+6140.75+1296+667+231+755+1970+2246+752.5+591.5+130+445+2051+750+1477+2060+1816+47+72+84+378+2301+1280+700+256+1780+92+200+187+6592.5+2601.5+325.5+274.5+250.5+1365+122.5+3435+71.5+299+201.5+277+84.5</f>
        <v>241388.75</v>
      </c>
      <c r="M733" s="143">
        <f>3971+5771+3969+2398+2257+2131+1634+2509+1783+912+230+126+48+181+472+311+114+91+20+78+493+183+365+462+452+9+24+28+94+494+182+115+64+445+35+80+73+1697+671+84+61+68+336+35+599+11+46+31+42+13</f>
        <v>36298</v>
      </c>
      <c r="N733" s="133">
        <f aca="true" t="shared" si="73" ref="N733:N764">+L733/M733</f>
        <v>6.650194225577167</v>
      </c>
      <c r="O733" s="108"/>
      <c r="P733" s="334"/>
      <c r="Q733" s="83"/>
      <c r="R733" s="83"/>
      <c r="S733" s="83"/>
      <c r="T733" s="83"/>
    </row>
    <row r="734" spans="1:20" ht="12" customHeight="1">
      <c r="A734" s="290">
        <v>730</v>
      </c>
      <c r="B734" s="183" t="s">
        <v>392</v>
      </c>
      <c r="C734" s="139">
        <v>39926</v>
      </c>
      <c r="D734" s="125" t="s">
        <v>326</v>
      </c>
      <c r="E734" s="146">
        <v>40</v>
      </c>
      <c r="F734" s="146">
        <v>1</v>
      </c>
      <c r="G734" s="146">
        <v>45</v>
      </c>
      <c r="H734" s="141">
        <v>71.5</v>
      </c>
      <c r="I734" s="142">
        <v>11</v>
      </c>
      <c r="J734" s="129">
        <f t="shared" si="72"/>
        <v>11</v>
      </c>
      <c r="K734" s="130">
        <f t="shared" si="71"/>
        <v>6.5</v>
      </c>
      <c r="L734" s="144">
        <f>35864.5+53058.5+35303.5+15734.5+12778.5+9687.5+8045+13953.5+10307+6140.75+1296+667+231+755+1970+2246+752.5+591.5+130+445+2051+750+1477+2060+1816+47+72+84+378+2301+1280+700+256+1780+92+200+187+6592.5+2601.5+325.5+274.5+250.5+1365+122.5+3435+71.5</f>
        <v>240526.75</v>
      </c>
      <c r="M734" s="143">
        <f>3971+5771+3969+2398+2257+2131+1634+2509+1783+912+230+126+48+181+472+311+114+91+20+78+493+183+365+462+452+9+24+28+94+494+182+115+64+445+35+80+73+1697+671+84+61+68+336+35+599+11</f>
        <v>36166</v>
      </c>
      <c r="N734" s="133">
        <f t="shared" si="73"/>
        <v>6.650631808881269</v>
      </c>
      <c r="O734" s="149"/>
      <c r="P734" s="334"/>
      <c r="Q734" s="83"/>
      <c r="R734" s="83"/>
      <c r="S734" s="83"/>
      <c r="T734" s="83"/>
    </row>
    <row r="735" spans="1:20" ht="12" customHeight="1">
      <c r="A735" s="290">
        <v>731</v>
      </c>
      <c r="B735" s="183" t="s">
        <v>392</v>
      </c>
      <c r="C735" s="139">
        <v>39926</v>
      </c>
      <c r="D735" s="125" t="s">
        <v>326</v>
      </c>
      <c r="E735" s="146">
        <v>40</v>
      </c>
      <c r="F735" s="146">
        <v>1</v>
      </c>
      <c r="G735" s="146">
        <v>52</v>
      </c>
      <c r="H735" s="141">
        <v>45.5</v>
      </c>
      <c r="I735" s="142">
        <v>7</v>
      </c>
      <c r="J735" s="129">
        <f t="shared" si="72"/>
        <v>7</v>
      </c>
      <c r="K735" s="130">
        <f t="shared" si="71"/>
        <v>6.5</v>
      </c>
      <c r="L735" s="144">
        <f>35864.5+53058.5+35303.5+15734.5+12778.5+9687.5+8045+13953.5+10307+6140.75+1296+667+231+755+1970+2246+752.5+591.5+130+445+2051+750+1477+2060+1816+47+72+84+378+2301+1280+700+256+1780+92+200+187+6592.5+2601.5+325.5+274.5+250.5+1365+122.5+3435+71.5+299+201.5+277+84.5+3065.5+890.5+45.5</f>
        <v>245390.25</v>
      </c>
      <c r="M735" s="143">
        <f>3971+5771+3969+2398+2257+2131+1634+2509+1783+912+230+126+48+181+472+311+114+91+20+78+493+183+365+462+452+9+24+28+94+494+182+115+64+445+35+80+73+1697+671+84+61+68+336+35+599+11+46+31+42+13+757+149+7</f>
        <v>37211</v>
      </c>
      <c r="N735" s="133">
        <f t="shared" si="73"/>
        <v>6.594562091854559</v>
      </c>
      <c r="O735" s="149"/>
      <c r="P735" s="334"/>
      <c r="Q735" s="83"/>
      <c r="R735" s="83"/>
      <c r="S735" s="83"/>
      <c r="T735" s="83"/>
    </row>
    <row r="736" spans="1:20" ht="12" customHeight="1">
      <c r="A736" s="290">
        <v>732</v>
      </c>
      <c r="B736" s="183" t="s">
        <v>392</v>
      </c>
      <c r="C736" s="139">
        <v>39926</v>
      </c>
      <c r="D736" s="125" t="s">
        <v>326</v>
      </c>
      <c r="E736" s="146">
        <v>40</v>
      </c>
      <c r="F736" s="146">
        <v>1</v>
      </c>
      <c r="G736" s="146">
        <v>54</v>
      </c>
      <c r="H736" s="141">
        <v>13</v>
      </c>
      <c r="I736" s="142">
        <v>2</v>
      </c>
      <c r="J736" s="129">
        <f t="shared" si="72"/>
        <v>2</v>
      </c>
      <c r="K736" s="130">
        <f t="shared" si="71"/>
        <v>6.5</v>
      </c>
      <c r="L736" s="144">
        <f>35864.5+53058.5+35303.5+15734.5+12778.5+9687.5+8045+13953.5+10307+6140.75+1296+667+231+755+1970+2246+752.5+591.5+130+445+2051+750+1477+2060+1816+47+72+84+378+2301+1280+700+256+1780+92+200+187+6592.5+2601.5+325.5+274.5+250.5+1365+122.5+3435+71.5+299+201.5+277+84.5+3065.5+890.5+45.5+13+13</f>
        <v>245416.25</v>
      </c>
      <c r="M736" s="143">
        <f>3971+5771+3969+2398+2257+2131+1634+2509+1783+912+230+126+48+181+472+311+114+91+20+78+493+183+365+462+452+9+24+28+94+494+182+115+64+445+35+80+73+1697+671+84+61+68+336+35+599+11+46+31+42+13+757+149+7+2+2</f>
        <v>37215</v>
      </c>
      <c r="N736" s="133">
        <f t="shared" si="73"/>
        <v>6.594551927986027</v>
      </c>
      <c r="O736" s="149"/>
      <c r="P736" s="334"/>
      <c r="Q736" s="83"/>
      <c r="R736" s="83"/>
      <c r="S736" s="83"/>
      <c r="T736" s="83"/>
    </row>
    <row r="737" spans="1:20" ht="12" customHeight="1">
      <c r="A737" s="290">
        <v>733</v>
      </c>
      <c r="B737" s="183" t="s">
        <v>392</v>
      </c>
      <c r="C737" s="139">
        <v>39926</v>
      </c>
      <c r="D737" s="125" t="s">
        <v>326</v>
      </c>
      <c r="E737" s="146">
        <v>40</v>
      </c>
      <c r="F737" s="146">
        <v>1</v>
      </c>
      <c r="G737" s="146">
        <v>53</v>
      </c>
      <c r="H737" s="141">
        <v>13</v>
      </c>
      <c r="I737" s="142">
        <v>2</v>
      </c>
      <c r="J737" s="129">
        <f t="shared" si="72"/>
        <v>2</v>
      </c>
      <c r="K737" s="130">
        <f t="shared" si="71"/>
        <v>6.5</v>
      </c>
      <c r="L737" s="144">
        <f>35864.5+53058.5+35303.5+15734.5+12778.5+9687.5+8045+13953.5+10307+6140.75+1296+667+231+755+1970+2246+752.5+591.5+130+445+2051+750+1477+2060+1816+47+72+84+378+2301+1280+700+256+1780+92+200+187+6592.5+2601.5+325.5+274.5+250.5+1365+122.5+3435+71.5+299+201.5+277+84.5+3065.5+890.5+45.5+13</f>
        <v>245403.25</v>
      </c>
      <c r="M737" s="143">
        <f>3971+5771+3969+2398+2257+2131+1634+2509+1783+912+230+126+48+181+472+311+114+91+20+78+493+183+365+462+452+9+24+28+94+494+182+115+64+445+35+80+73+1697+671+84+61+68+336+35+599+11+46+31+42+13+757+149+7+2</f>
        <v>37213</v>
      </c>
      <c r="N737" s="133">
        <f t="shared" si="73"/>
        <v>6.594557009647167</v>
      </c>
      <c r="O737" s="166"/>
      <c r="P737" s="334"/>
      <c r="Q737" s="83"/>
      <c r="R737" s="83"/>
      <c r="S737" s="83"/>
      <c r="T737" s="83"/>
    </row>
    <row r="738" spans="1:20" ht="12" customHeight="1">
      <c r="A738" s="290">
        <v>734</v>
      </c>
      <c r="B738" s="151" t="s">
        <v>433</v>
      </c>
      <c r="C738" s="139">
        <v>40053</v>
      </c>
      <c r="D738" s="145" t="s">
        <v>326</v>
      </c>
      <c r="E738" s="146">
        <v>14</v>
      </c>
      <c r="F738" s="146">
        <v>1</v>
      </c>
      <c r="G738" s="146">
        <v>9</v>
      </c>
      <c r="H738" s="150">
        <v>83</v>
      </c>
      <c r="I738" s="152">
        <v>20</v>
      </c>
      <c r="J738" s="129">
        <f t="shared" si="72"/>
        <v>20</v>
      </c>
      <c r="K738" s="130">
        <f t="shared" si="71"/>
        <v>4.15</v>
      </c>
      <c r="L738" s="154">
        <f>46744+27773.5+29652+15092+1850+3126+1717.5+468+83</f>
        <v>126506</v>
      </c>
      <c r="M738" s="153">
        <f>3724+2772+2752+1903+308+472+380+135+20</f>
        <v>12466</v>
      </c>
      <c r="N738" s="133">
        <f t="shared" si="73"/>
        <v>10.148082785175678</v>
      </c>
      <c r="O738" s="149"/>
      <c r="P738" s="334"/>
      <c r="Q738" s="83"/>
      <c r="R738" s="83"/>
      <c r="S738" s="83"/>
      <c r="T738" s="83"/>
    </row>
    <row r="739" spans="1:20" ht="12" customHeight="1">
      <c r="A739" s="290">
        <v>735</v>
      </c>
      <c r="B739" s="151" t="s">
        <v>433</v>
      </c>
      <c r="C739" s="171">
        <v>40053</v>
      </c>
      <c r="D739" s="145" t="s">
        <v>326</v>
      </c>
      <c r="E739" s="156">
        <v>14</v>
      </c>
      <c r="F739" s="156">
        <v>1</v>
      </c>
      <c r="G739" s="156">
        <v>10</v>
      </c>
      <c r="H739" s="157">
        <v>54</v>
      </c>
      <c r="I739" s="158">
        <v>18</v>
      </c>
      <c r="J739" s="129">
        <f t="shared" si="72"/>
        <v>18</v>
      </c>
      <c r="K739" s="130">
        <f t="shared" si="71"/>
        <v>3</v>
      </c>
      <c r="L739" s="154">
        <f>46744+27773.5+29652+15092+1850+3126+1717.5+468+83+54</f>
        <v>126560</v>
      </c>
      <c r="M739" s="153">
        <f>3724+2772+2752+1903+308+472+380+135+20+18</f>
        <v>12484</v>
      </c>
      <c r="N739" s="133">
        <f t="shared" si="73"/>
        <v>10.137776353732779</v>
      </c>
      <c r="O739" s="108"/>
      <c r="P739" s="334"/>
      <c r="Q739" s="83"/>
      <c r="R739" s="83"/>
      <c r="S739" s="83"/>
      <c r="T739" s="83"/>
    </row>
    <row r="740" spans="1:20" ht="12" customHeight="1">
      <c r="A740" s="290">
        <v>736</v>
      </c>
      <c r="B740" s="123" t="s">
        <v>151</v>
      </c>
      <c r="C740" s="124">
        <v>40165</v>
      </c>
      <c r="D740" s="125" t="s">
        <v>325</v>
      </c>
      <c r="E740" s="126">
        <v>36</v>
      </c>
      <c r="F740" s="126">
        <v>8</v>
      </c>
      <c r="G740" s="126">
        <v>4</v>
      </c>
      <c r="H740" s="127">
        <v>7119</v>
      </c>
      <c r="I740" s="135">
        <v>1206</v>
      </c>
      <c r="J740" s="129">
        <f t="shared" si="72"/>
        <v>150.75</v>
      </c>
      <c r="K740" s="130">
        <f t="shared" si="71"/>
        <v>5.902985074626866</v>
      </c>
      <c r="L740" s="131">
        <f>119500+7119</f>
        <v>126619</v>
      </c>
      <c r="M740" s="136">
        <f>13046+1206</f>
        <v>14252</v>
      </c>
      <c r="N740" s="133">
        <f t="shared" si="73"/>
        <v>8.884296940780242</v>
      </c>
      <c r="O740" s="149"/>
      <c r="P740" s="334"/>
      <c r="Q740" s="83"/>
      <c r="R740" s="83"/>
      <c r="S740" s="83"/>
      <c r="T740" s="83"/>
    </row>
    <row r="741" spans="1:20" ht="12" customHeight="1">
      <c r="A741" s="290">
        <v>737</v>
      </c>
      <c r="B741" s="182" t="s">
        <v>151</v>
      </c>
      <c r="C741" s="171">
        <v>40165</v>
      </c>
      <c r="D741" s="125" t="s">
        <v>325</v>
      </c>
      <c r="E741" s="156">
        <v>36</v>
      </c>
      <c r="F741" s="156">
        <v>1</v>
      </c>
      <c r="G741" s="156">
        <v>9</v>
      </c>
      <c r="H741" s="157">
        <v>3250</v>
      </c>
      <c r="I741" s="158">
        <v>650</v>
      </c>
      <c r="J741" s="129">
        <f t="shared" si="72"/>
        <v>650</v>
      </c>
      <c r="K741" s="130">
        <f t="shared" si="71"/>
        <v>5</v>
      </c>
      <c r="L741" s="154">
        <f>129416+3250</f>
        <v>132666</v>
      </c>
      <c r="M741" s="153">
        <f>14700+650</f>
        <v>15350</v>
      </c>
      <c r="N741" s="133">
        <f t="shared" si="73"/>
        <v>8.642736156351791</v>
      </c>
      <c r="O741" s="159">
        <v>1</v>
      </c>
      <c r="P741" s="334"/>
      <c r="Q741" s="83"/>
      <c r="R741" s="83"/>
      <c r="S741" s="83"/>
      <c r="T741" s="83"/>
    </row>
    <row r="742" spans="1:20" ht="12" customHeight="1">
      <c r="A742" s="290">
        <v>738</v>
      </c>
      <c r="B742" s="123" t="s">
        <v>151</v>
      </c>
      <c r="C742" s="124">
        <v>40165</v>
      </c>
      <c r="D742" s="125" t="s">
        <v>325</v>
      </c>
      <c r="E742" s="126">
        <v>36</v>
      </c>
      <c r="F742" s="126">
        <v>5</v>
      </c>
      <c r="G742" s="126">
        <v>5</v>
      </c>
      <c r="H742" s="137">
        <v>1825</v>
      </c>
      <c r="I742" s="135">
        <v>307</v>
      </c>
      <c r="J742" s="129">
        <f t="shared" si="72"/>
        <v>61.4</v>
      </c>
      <c r="K742" s="130">
        <f t="shared" si="71"/>
        <v>5.944625407166124</v>
      </c>
      <c r="L742" s="138">
        <f>119500+7119+1825</f>
        <v>128444</v>
      </c>
      <c r="M742" s="136">
        <f>13046+1206+307</f>
        <v>14559</v>
      </c>
      <c r="N742" s="133">
        <f t="shared" si="73"/>
        <v>8.822309224534653</v>
      </c>
      <c r="O742" s="149">
        <v>1</v>
      </c>
      <c r="P742" s="334"/>
      <c r="Q742" s="83"/>
      <c r="R742" s="83"/>
      <c r="S742" s="83"/>
      <c r="T742" s="83"/>
    </row>
    <row r="743" spans="1:20" ht="12" customHeight="1">
      <c r="A743" s="290">
        <v>739</v>
      </c>
      <c r="B743" s="123" t="s">
        <v>151</v>
      </c>
      <c r="C743" s="124">
        <v>40165</v>
      </c>
      <c r="D743" s="125" t="s">
        <v>325</v>
      </c>
      <c r="E743" s="126">
        <v>36</v>
      </c>
      <c r="F743" s="126">
        <v>1</v>
      </c>
      <c r="G743" s="126">
        <v>10</v>
      </c>
      <c r="H743" s="127">
        <v>1180</v>
      </c>
      <c r="I743" s="135">
        <v>237</v>
      </c>
      <c r="J743" s="129">
        <f t="shared" si="72"/>
        <v>237</v>
      </c>
      <c r="K743" s="130">
        <f t="shared" si="71"/>
        <v>4.9789029535864975</v>
      </c>
      <c r="L743" s="131">
        <f>129416+3250+1180</f>
        <v>133846</v>
      </c>
      <c r="M743" s="136">
        <f>14700+650+237</f>
        <v>15587</v>
      </c>
      <c r="N743" s="133">
        <f t="shared" si="73"/>
        <v>8.587027651247835</v>
      </c>
      <c r="O743" s="149">
        <v>1</v>
      </c>
      <c r="P743" s="334"/>
      <c r="Q743" s="83"/>
      <c r="R743" s="83"/>
      <c r="S743" s="83"/>
      <c r="T743" s="83"/>
    </row>
    <row r="744" spans="1:20" ht="12" customHeight="1">
      <c r="A744" s="290">
        <v>740</v>
      </c>
      <c r="B744" s="123" t="s">
        <v>152</v>
      </c>
      <c r="C744" s="124">
        <v>40165</v>
      </c>
      <c r="D744" s="125" t="s">
        <v>325</v>
      </c>
      <c r="E744" s="126">
        <v>36</v>
      </c>
      <c r="F744" s="126">
        <v>1</v>
      </c>
      <c r="G744" s="126">
        <v>3</v>
      </c>
      <c r="H744" s="127">
        <v>852</v>
      </c>
      <c r="I744" s="128">
        <v>142</v>
      </c>
      <c r="J744" s="129">
        <f t="shared" si="72"/>
        <v>142</v>
      </c>
      <c r="K744" s="130">
        <f t="shared" si="71"/>
        <v>6</v>
      </c>
      <c r="L744" s="131">
        <v>119500</v>
      </c>
      <c r="M744" s="132">
        <v>13046</v>
      </c>
      <c r="N744" s="133">
        <f t="shared" si="73"/>
        <v>9.159895753487659</v>
      </c>
      <c r="O744" s="149">
        <v>1</v>
      </c>
      <c r="P744" s="334"/>
      <c r="Q744" s="83"/>
      <c r="R744" s="83"/>
      <c r="S744" s="83"/>
      <c r="T744" s="83"/>
    </row>
    <row r="745" spans="1:20" ht="12" customHeight="1">
      <c r="A745" s="290">
        <v>741</v>
      </c>
      <c r="B745" s="123" t="s">
        <v>151</v>
      </c>
      <c r="C745" s="139">
        <v>40165</v>
      </c>
      <c r="D745" s="125" t="s">
        <v>325</v>
      </c>
      <c r="E745" s="146">
        <v>36</v>
      </c>
      <c r="F745" s="146">
        <v>2</v>
      </c>
      <c r="G745" s="146">
        <v>6</v>
      </c>
      <c r="H745" s="141">
        <v>755</v>
      </c>
      <c r="I745" s="142">
        <v>100</v>
      </c>
      <c r="J745" s="129">
        <f t="shared" si="72"/>
        <v>50</v>
      </c>
      <c r="K745" s="130">
        <f t="shared" si="71"/>
        <v>7.55</v>
      </c>
      <c r="L745" s="144">
        <f>119500+7119+1825+755</f>
        <v>129199</v>
      </c>
      <c r="M745" s="143">
        <f>13046+1206+307+100</f>
        <v>14659</v>
      </c>
      <c r="N745" s="133">
        <f t="shared" si="73"/>
        <v>8.813629851968074</v>
      </c>
      <c r="O745" s="149">
        <v>1</v>
      </c>
      <c r="P745" s="334"/>
      <c r="Q745" s="83"/>
      <c r="R745" s="83"/>
      <c r="S745" s="83"/>
      <c r="T745" s="83"/>
    </row>
    <row r="746" spans="1:20" ht="12" customHeight="1">
      <c r="A746" s="290">
        <v>742</v>
      </c>
      <c r="B746" s="151" t="s">
        <v>151</v>
      </c>
      <c r="C746" s="139">
        <v>40165</v>
      </c>
      <c r="D746" s="125" t="s">
        <v>325</v>
      </c>
      <c r="E746" s="146">
        <v>36</v>
      </c>
      <c r="F746" s="146">
        <v>1</v>
      </c>
      <c r="G746" s="146">
        <v>7</v>
      </c>
      <c r="H746" s="141">
        <v>124</v>
      </c>
      <c r="I746" s="142">
        <v>24</v>
      </c>
      <c r="J746" s="129">
        <f t="shared" si="72"/>
        <v>24</v>
      </c>
      <c r="K746" s="130">
        <f t="shared" si="71"/>
        <v>5.166666666666667</v>
      </c>
      <c r="L746" s="144">
        <f>129199+124</f>
        <v>129323</v>
      </c>
      <c r="M746" s="143">
        <f>14659+24</f>
        <v>14683</v>
      </c>
      <c r="N746" s="133">
        <f t="shared" si="73"/>
        <v>8.807668732547844</v>
      </c>
      <c r="O746" s="109">
        <v>1</v>
      </c>
      <c r="P746" s="334"/>
      <c r="Q746" s="83"/>
      <c r="R746" s="83"/>
      <c r="S746" s="83"/>
      <c r="T746" s="83"/>
    </row>
    <row r="747" spans="1:20" ht="12" customHeight="1">
      <c r="A747" s="290">
        <v>743</v>
      </c>
      <c r="B747" s="151" t="s">
        <v>151</v>
      </c>
      <c r="C747" s="139">
        <v>40165</v>
      </c>
      <c r="D747" s="125" t="s">
        <v>325</v>
      </c>
      <c r="E747" s="146">
        <v>36</v>
      </c>
      <c r="F747" s="146">
        <v>1</v>
      </c>
      <c r="G747" s="146">
        <v>8</v>
      </c>
      <c r="H747" s="150">
        <v>93</v>
      </c>
      <c r="I747" s="152">
        <v>17</v>
      </c>
      <c r="J747" s="129">
        <f t="shared" si="72"/>
        <v>17</v>
      </c>
      <c r="K747" s="130">
        <f t="shared" si="71"/>
        <v>5.470588235294118</v>
      </c>
      <c r="L747" s="154">
        <v>129416</v>
      </c>
      <c r="M747" s="153">
        <v>14700</v>
      </c>
      <c r="N747" s="133">
        <f t="shared" si="73"/>
        <v>8.803809523809523</v>
      </c>
      <c r="O747" s="108">
        <v>1</v>
      </c>
      <c r="P747" s="334"/>
      <c r="Q747" s="83"/>
      <c r="R747" s="83"/>
      <c r="S747" s="83"/>
      <c r="T747" s="83"/>
    </row>
    <row r="748" spans="1:20" ht="12" customHeight="1">
      <c r="A748" s="290">
        <v>744</v>
      </c>
      <c r="B748" s="151" t="s">
        <v>176</v>
      </c>
      <c r="C748" s="139">
        <v>40088</v>
      </c>
      <c r="D748" s="155" t="s">
        <v>169</v>
      </c>
      <c r="E748" s="146">
        <v>5</v>
      </c>
      <c r="F748" s="146">
        <v>4</v>
      </c>
      <c r="G748" s="146">
        <v>6</v>
      </c>
      <c r="H748" s="141">
        <v>898</v>
      </c>
      <c r="I748" s="142">
        <v>104</v>
      </c>
      <c r="J748" s="129">
        <f t="shared" si="72"/>
        <v>26</v>
      </c>
      <c r="K748" s="130">
        <f t="shared" si="71"/>
        <v>8.634615384615385</v>
      </c>
      <c r="L748" s="144">
        <v>11637</v>
      </c>
      <c r="M748" s="143">
        <v>939</v>
      </c>
      <c r="N748" s="133">
        <f t="shared" si="73"/>
        <v>12.39297124600639</v>
      </c>
      <c r="O748" s="170">
        <v>1</v>
      </c>
      <c r="P748" s="334"/>
      <c r="Q748" s="83"/>
      <c r="R748" s="83"/>
      <c r="S748" s="83"/>
      <c r="T748" s="83"/>
    </row>
    <row r="749" spans="1:20" ht="12" customHeight="1">
      <c r="A749" s="290">
        <v>745</v>
      </c>
      <c r="B749" s="123" t="s">
        <v>153</v>
      </c>
      <c r="C749" s="139">
        <v>39703</v>
      </c>
      <c r="D749" s="145" t="s">
        <v>326</v>
      </c>
      <c r="E749" s="156">
        <v>6</v>
      </c>
      <c r="F749" s="156">
        <v>1</v>
      </c>
      <c r="G749" s="156">
        <v>20</v>
      </c>
      <c r="H749" s="157">
        <v>226.58</v>
      </c>
      <c r="I749" s="158">
        <v>57</v>
      </c>
      <c r="J749" s="129">
        <f t="shared" si="72"/>
        <v>57</v>
      </c>
      <c r="K749" s="130">
        <f t="shared" si="71"/>
        <v>3.9750877192982457</v>
      </c>
      <c r="L749" s="154">
        <f>18453+18044+4959+3105.5+2221+2795+1156+907+1188+3416+108+86+53+73+1664+1508+46+2020+75.88+226.58</f>
        <v>62104.96</v>
      </c>
      <c r="M749" s="153">
        <f>1896+1808+596+485+314+510+270+216+297+854+33+15+9+11+416+377+4+505+18+57</f>
        <v>8691</v>
      </c>
      <c r="N749" s="133">
        <f t="shared" si="73"/>
        <v>7.1458934529973535</v>
      </c>
      <c r="O749" s="108"/>
      <c r="P749" s="334"/>
      <c r="Q749" s="83"/>
      <c r="R749" s="83"/>
      <c r="S749" s="83"/>
      <c r="T749" s="83"/>
    </row>
    <row r="750" spans="1:20" ht="12" customHeight="1">
      <c r="A750" s="290">
        <v>746</v>
      </c>
      <c r="B750" s="123" t="s">
        <v>153</v>
      </c>
      <c r="C750" s="139">
        <v>39703</v>
      </c>
      <c r="D750" s="145" t="s">
        <v>326</v>
      </c>
      <c r="E750" s="156">
        <v>6</v>
      </c>
      <c r="F750" s="156">
        <v>1</v>
      </c>
      <c r="G750" s="156">
        <v>21</v>
      </c>
      <c r="H750" s="157">
        <v>109.64</v>
      </c>
      <c r="I750" s="184">
        <v>27</v>
      </c>
      <c r="J750" s="129">
        <f t="shared" si="72"/>
        <v>27</v>
      </c>
      <c r="K750" s="130">
        <f t="shared" si="71"/>
        <v>4.060740740740741</v>
      </c>
      <c r="L750" s="144">
        <f>18453+18044+4959+3105.5+2221+2795+1156+907+1188+3416+108+86+53+73+1664+1508+46+2020+75.88+226.58+109.64</f>
        <v>62214.6</v>
      </c>
      <c r="M750" s="143">
        <f>1896+1808+596+485+314+510+270+216+297+854+33+15+9+11+416+377+4+505+18+57+27</f>
        <v>8718</v>
      </c>
      <c r="N750" s="133">
        <f t="shared" si="73"/>
        <v>7.136338609772883</v>
      </c>
      <c r="O750" s="149">
        <v>1</v>
      </c>
      <c r="P750" s="334"/>
      <c r="Q750" s="83"/>
      <c r="R750" s="83"/>
      <c r="S750" s="83"/>
      <c r="T750" s="83"/>
    </row>
    <row r="751" spans="1:20" ht="12" customHeight="1">
      <c r="A751" s="290">
        <v>747</v>
      </c>
      <c r="B751" s="123" t="s">
        <v>153</v>
      </c>
      <c r="C751" s="139">
        <v>39703</v>
      </c>
      <c r="D751" s="145" t="s">
        <v>326</v>
      </c>
      <c r="E751" s="156">
        <v>6</v>
      </c>
      <c r="F751" s="156">
        <v>1</v>
      </c>
      <c r="G751" s="156">
        <v>19</v>
      </c>
      <c r="H751" s="157">
        <v>75.88</v>
      </c>
      <c r="I751" s="158">
        <v>18</v>
      </c>
      <c r="J751" s="129">
        <f t="shared" si="72"/>
        <v>18</v>
      </c>
      <c r="K751" s="130">
        <f t="shared" si="71"/>
        <v>4.2155555555555555</v>
      </c>
      <c r="L751" s="154">
        <f>18453+18044+4959+3105.5+2221+2795+1156+907+1188+3416+108+86+53+73+1664+1508+46+2020+75.88</f>
        <v>61878.38</v>
      </c>
      <c r="M751" s="153">
        <f>1896+1808+596+485+314+510+270+216+297+854+33+15+9+11+416+377+4+505+18</f>
        <v>8634</v>
      </c>
      <c r="N751" s="133">
        <f t="shared" si="73"/>
        <v>7.166826499884179</v>
      </c>
      <c r="O751" s="147">
        <v>1</v>
      </c>
      <c r="P751" s="334"/>
      <c r="Q751" s="83"/>
      <c r="R751" s="83"/>
      <c r="S751" s="83"/>
      <c r="T751" s="83"/>
    </row>
    <row r="752" spans="1:20" ht="12" customHeight="1">
      <c r="A752" s="290">
        <v>748</v>
      </c>
      <c r="B752" s="182" t="s">
        <v>382</v>
      </c>
      <c r="C752" s="139">
        <v>39164</v>
      </c>
      <c r="D752" s="190" t="s">
        <v>423</v>
      </c>
      <c r="E752" s="156">
        <v>118</v>
      </c>
      <c r="F752" s="156">
        <v>1</v>
      </c>
      <c r="G752" s="156">
        <v>32</v>
      </c>
      <c r="H752" s="157">
        <v>150</v>
      </c>
      <c r="I752" s="158">
        <v>30</v>
      </c>
      <c r="J752" s="129">
        <f t="shared" si="72"/>
        <v>30</v>
      </c>
      <c r="K752" s="130">
        <f t="shared" si="71"/>
        <v>5</v>
      </c>
      <c r="L752" s="154">
        <v>1513549.5</v>
      </c>
      <c r="M752" s="153">
        <v>202489</v>
      </c>
      <c r="N752" s="133">
        <f t="shared" si="73"/>
        <v>7.474724552938678</v>
      </c>
      <c r="O752" s="149">
        <v>1</v>
      </c>
      <c r="P752" s="334"/>
      <c r="Q752" s="83"/>
      <c r="R752" s="83"/>
      <c r="S752" s="83"/>
      <c r="T752" s="83"/>
    </row>
    <row r="753" spans="1:20" ht="12" customHeight="1">
      <c r="A753" s="290">
        <v>749</v>
      </c>
      <c r="B753" s="151" t="s">
        <v>352</v>
      </c>
      <c r="C753" s="139">
        <v>40046</v>
      </c>
      <c r="D753" s="194" t="s">
        <v>324</v>
      </c>
      <c r="E753" s="146">
        <v>55</v>
      </c>
      <c r="F753" s="146">
        <v>2</v>
      </c>
      <c r="G753" s="146">
        <v>12</v>
      </c>
      <c r="H753" s="150">
        <v>2059</v>
      </c>
      <c r="I753" s="152">
        <v>466</v>
      </c>
      <c r="J753" s="129">
        <f t="shared" si="72"/>
        <v>233</v>
      </c>
      <c r="K753" s="130">
        <f t="shared" si="71"/>
        <v>4.418454935622318</v>
      </c>
      <c r="L753" s="154">
        <v>189359</v>
      </c>
      <c r="M753" s="153">
        <v>19405</v>
      </c>
      <c r="N753" s="133">
        <f t="shared" si="73"/>
        <v>9.758258180881215</v>
      </c>
      <c r="O753" s="159"/>
      <c r="P753" s="334"/>
      <c r="Q753" s="83"/>
      <c r="R753" s="83"/>
      <c r="S753" s="83"/>
      <c r="T753" s="83"/>
    </row>
    <row r="754" spans="1:20" ht="12" customHeight="1">
      <c r="A754" s="290">
        <v>750</v>
      </c>
      <c r="B754" s="195" t="s">
        <v>352</v>
      </c>
      <c r="C754" s="196">
        <v>40046</v>
      </c>
      <c r="D754" s="194" t="s">
        <v>324</v>
      </c>
      <c r="E754" s="197">
        <v>55</v>
      </c>
      <c r="F754" s="197">
        <v>1</v>
      </c>
      <c r="G754" s="197">
        <v>11</v>
      </c>
      <c r="H754" s="198">
        <v>650</v>
      </c>
      <c r="I754" s="199">
        <v>100</v>
      </c>
      <c r="J754" s="129">
        <f t="shared" si="72"/>
        <v>100</v>
      </c>
      <c r="K754" s="130">
        <f t="shared" si="71"/>
        <v>6.5</v>
      </c>
      <c r="L754" s="201">
        <v>187300</v>
      </c>
      <c r="M754" s="200">
        <v>18939</v>
      </c>
      <c r="N754" s="133">
        <f t="shared" si="73"/>
        <v>9.889645704630656</v>
      </c>
      <c r="O754" s="108"/>
      <c r="P754" s="334"/>
      <c r="Q754" s="83"/>
      <c r="R754" s="83"/>
      <c r="S754" s="83"/>
      <c r="T754" s="83"/>
    </row>
    <row r="755" spans="1:20" ht="12" customHeight="1">
      <c r="A755" s="290">
        <v>751</v>
      </c>
      <c r="B755" s="151" t="s">
        <v>352</v>
      </c>
      <c r="C755" s="139">
        <v>40046</v>
      </c>
      <c r="D755" s="194" t="s">
        <v>324</v>
      </c>
      <c r="E755" s="146">
        <v>55</v>
      </c>
      <c r="F755" s="146">
        <v>1</v>
      </c>
      <c r="G755" s="146">
        <v>13</v>
      </c>
      <c r="H755" s="150">
        <v>146</v>
      </c>
      <c r="I755" s="142">
        <v>19</v>
      </c>
      <c r="J755" s="129">
        <f t="shared" si="72"/>
        <v>19</v>
      </c>
      <c r="K755" s="130">
        <f t="shared" si="71"/>
        <v>7.684210526315789</v>
      </c>
      <c r="L755" s="154">
        <v>189505</v>
      </c>
      <c r="M755" s="143">
        <v>19424</v>
      </c>
      <c r="N755" s="133">
        <f t="shared" si="73"/>
        <v>9.756229406919275</v>
      </c>
      <c r="O755" s="108"/>
      <c r="P755" s="334"/>
      <c r="Q755" s="83"/>
      <c r="R755" s="83"/>
      <c r="S755" s="83"/>
      <c r="T755" s="83"/>
    </row>
    <row r="756" spans="1:20" ht="12" customHeight="1">
      <c r="A756" s="290">
        <v>752</v>
      </c>
      <c r="B756" s="172" t="s">
        <v>356</v>
      </c>
      <c r="C756" s="124">
        <v>40130</v>
      </c>
      <c r="D756" s="205" t="s">
        <v>169</v>
      </c>
      <c r="E756" s="173">
        <v>17</v>
      </c>
      <c r="F756" s="173">
        <v>10</v>
      </c>
      <c r="G756" s="173">
        <v>9</v>
      </c>
      <c r="H756" s="206">
        <v>5776</v>
      </c>
      <c r="I756" s="207">
        <v>991</v>
      </c>
      <c r="J756" s="129">
        <f t="shared" si="72"/>
        <v>99.1</v>
      </c>
      <c r="K756" s="130">
        <f t="shared" si="71"/>
        <v>5.8284561049445</v>
      </c>
      <c r="L756" s="208">
        <v>60978</v>
      </c>
      <c r="M756" s="209">
        <v>5997</v>
      </c>
      <c r="N756" s="133">
        <f t="shared" si="73"/>
        <v>10.168084042021011</v>
      </c>
      <c r="O756" s="149"/>
      <c r="P756" s="334"/>
      <c r="Q756" s="83"/>
      <c r="R756" s="83"/>
      <c r="S756" s="83"/>
      <c r="T756" s="83"/>
    </row>
    <row r="757" spans="1:20" ht="12" customHeight="1">
      <c r="A757" s="290">
        <v>753</v>
      </c>
      <c r="B757" s="172" t="s">
        <v>356</v>
      </c>
      <c r="C757" s="124">
        <v>40130</v>
      </c>
      <c r="D757" s="205" t="s">
        <v>169</v>
      </c>
      <c r="E757" s="173">
        <v>17</v>
      </c>
      <c r="F757" s="173">
        <v>8</v>
      </c>
      <c r="G757" s="173">
        <v>8</v>
      </c>
      <c r="H757" s="206">
        <v>3794</v>
      </c>
      <c r="I757" s="212">
        <v>543</v>
      </c>
      <c r="J757" s="129">
        <f t="shared" si="72"/>
        <v>67.875</v>
      </c>
      <c r="K757" s="130">
        <f t="shared" si="71"/>
        <v>6.987108655616943</v>
      </c>
      <c r="L757" s="208">
        <v>55202</v>
      </c>
      <c r="M757" s="213">
        <v>5006</v>
      </c>
      <c r="N757" s="133">
        <f t="shared" si="73"/>
        <v>11.027167399121055</v>
      </c>
      <c r="O757" s="149"/>
      <c r="P757" s="334"/>
      <c r="Q757" s="83"/>
      <c r="R757" s="83"/>
      <c r="S757" s="83"/>
      <c r="T757" s="83"/>
    </row>
    <row r="758" spans="1:20" ht="12" customHeight="1">
      <c r="A758" s="290">
        <v>754</v>
      </c>
      <c r="B758" s="151" t="s">
        <v>356</v>
      </c>
      <c r="C758" s="139">
        <v>40130</v>
      </c>
      <c r="D758" s="155" t="s">
        <v>169</v>
      </c>
      <c r="E758" s="146">
        <v>17</v>
      </c>
      <c r="F758" s="146">
        <v>2</v>
      </c>
      <c r="G758" s="146">
        <v>12</v>
      </c>
      <c r="H758" s="141">
        <v>1939</v>
      </c>
      <c r="I758" s="142">
        <v>254</v>
      </c>
      <c r="J758" s="129">
        <f t="shared" si="72"/>
        <v>127</v>
      </c>
      <c r="K758" s="130">
        <f t="shared" si="71"/>
        <v>7.633858267716535</v>
      </c>
      <c r="L758" s="144">
        <v>64500</v>
      </c>
      <c r="M758" s="143">
        <v>6555</v>
      </c>
      <c r="N758" s="133">
        <f t="shared" si="73"/>
        <v>9.839816933638444</v>
      </c>
      <c r="O758" s="159"/>
      <c r="P758" s="334"/>
      <c r="Q758" s="83"/>
      <c r="R758" s="83"/>
      <c r="S758" s="83"/>
      <c r="T758" s="83"/>
    </row>
    <row r="759" spans="1:20" ht="12" customHeight="1">
      <c r="A759" s="290">
        <v>755</v>
      </c>
      <c r="B759" s="172" t="s">
        <v>356</v>
      </c>
      <c r="C759" s="139">
        <v>40130</v>
      </c>
      <c r="D759" s="155" t="s">
        <v>169</v>
      </c>
      <c r="E759" s="146">
        <v>17</v>
      </c>
      <c r="F759" s="146">
        <v>4</v>
      </c>
      <c r="G759" s="146">
        <v>11</v>
      </c>
      <c r="H759" s="141">
        <v>1442</v>
      </c>
      <c r="I759" s="142">
        <v>266</v>
      </c>
      <c r="J759" s="129">
        <f t="shared" si="72"/>
        <v>66.5</v>
      </c>
      <c r="K759" s="130">
        <f t="shared" si="71"/>
        <v>5.421052631578948</v>
      </c>
      <c r="L759" s="144">
        <v>62561</v>
      </c>
      <c r="M759" s="143">
        <v>6301</v>
      </c>
      <c r="N759" s="133">
        <f t="shared" si="73"/>
        <v>9.928741469608</v>
      </c>
      <c r="O759" s="181"/>
      <c r="P759" s="334"/>
      <c r="Q759" s="83"/>
      <c r="R759" s="83"/>
      <c r="S759" s="83"/>
      <c r="T759" s="83"/>
    </row>
    <row r="760" spans="1:20" ht="12" customHeight="1">
      <c r="A760" s="290">
        <v>756</v>
      </c>
      <c r="B760" s="172" t="s">
        <v>356</v>
      </c>
      <c r="C760" s="124">
        <v>40130</v>
      </c>
      <c r="D760" s="214" t="s">
        <v>169</v>
      </c>
      <c r="E760" s="173">
        <v>17</v>
      </c>
      <c r="F760" s="173">
        <v>2</v>
      </c>
      <c r="G760" s="173">
        <v>7</v>
      </c>
      <c r="H760" s="206">
        <v>254</v>
      </c>
      <c r="I760" s="212">
        <v>41</v>
      </c>
      <c r="J760" s="129">
        <f t="shared" si="72"/>
        <v>20.5</v>
      </c>
      <c r="K760" s="130">
        <f t="shared" si="71"/>
        <v>6.195121951219512</v>
      </c>
      <c r="L760" s="208">
        <v>51408</v>
      </c>
      <c r="M760" s="213">
        <v>4463</v>
      </c>
      <c r="N760" s="133">
        <f t="shared" si="73"/>
        <v>11.518709388303831</v>
      </c>
      <c r="O760" s="149"/>
      <c r="P760" s="334"/>
      <c r="Q760" s="83"/>
      <c r="R760" s="83"/>
      <c r="S760" s="83"/>
      <c r="T760" s="83"/>
    </row>
    <row r="761" spans="1:20" ht="12" customHeight="1">
      <c r="A761" s="290">
        <v>757</v>
      </c>
      <c r="B761" s="172" t="s">
        <v>356</v>
      </c>
      <c r="C761" s="124">
        <v>40130</v>
      </c>
      <c r="D761" s="134" t="s">
        <v>169</v>
      </c>
      <c r="E761" s="126">
        <v>17</v>
      </c>
      <c r="F761" s="126">
        <v>1</v>
      </c>
      <c r="G761" s="126">
        <v>10</v>
      </c>
      <c r="H761" s="137">
        <v>141</v>
      </c>
      <c r="I761" s="135">
        <v>38</v>
      </c>
      <c r="J761" s="129">
        <f t="shared" si="72"/>
        <v>38</v>
      </c>
      <c r="K761" s="130">
        <f t="shared" si="71"/>
        <v>3.710526315789474</v>
      </c>
      <c r="L761" s="138">
        <v>61119</v>
      </c>
      <c r="M761" s="136">
        <v>6035</v>
      </c>
      <c r="N761" s="133">
        <f t="shared" si="73"/>
        <v>10.127423363711682</v>
      </c>
      <c r="O761" s="108"/>
      <c r="P761" s="334"/>
      <c r="Q761" s="83"/>
      <c r="R761" s="83"/>
      <c r="S761" s="83"/>
      <c r="T761" s="83"/>
    </row>
    <row r="762" spans="1:20" ht="12" customHeight="1">
      <c r="A762" s="290">
        <v>758</v>
      </c>
      <c r="B762" s="182" t="s">
        <v>282</v>
      </c>
      <c r="C762" s="171">
        <v>39472</v>
      </c>
      <c r="D762" s="155" t="s">
        <v>328</v>
      </c>
      <c r="E762" s="156">
        <v>70</v>
      </c>
      <c r="F762" s="156">
        <v>1</v>
      </c>
      <c r="G762" s="156">
        <v>32</v>
      </c>
      <c r="H762" s="157">
        <v>472</v>
      </c>
      <c r="I762" s="158">
        <v>94</v>
      </c>
      <c r="J762" s="129">
        <f t="shared" si="72"/>
        <v>94</v>
      </c>
      <c r="K762" s="130">
        <f t="shared" si="71"/>
        <v>5.0212765957446805</v>
      </c>
      <c r="L762" s="154">
        <v>883089</v>
      </c>
      <c r="M762" s="153">
        <v>112072</v>
      </c>
      <c r="N762" s="133">
        <f t="shared" si="73"/>
        <v>7.879657720037119</v>
      </c>
      <c r="O762" s="351"/>
      <c r="P762" s="334"/>
      <c r="Q762" s="83"/>
      <c r="R762" s="83"/>
      <c r="S762" s="83"/>
      <c r="T762" s="83"/>
    </row>
    <row r="763" spans="1:20" ht="12" customHeight="1">
      <c r="A763" s="290">
        <v>759</v>
      </c>
      <c r="B763" s="151" t="s">
        <v>154</v>
      </c>
      <c r="C763" s="139">
        <v>40144</v>
      </c>
      <c r="D763" s="194" t="s">
        <v>324</v>
      </c>
      <c r="E763" s="146">
        <v>128</v>
      </c>
      <c r="F763" s="146">
        <v>17</v>
      </c>
      <c r="G763" s="146">
        <v>10</v>
      </c>
      <c r="H763" s="141">
        <v>28138</v>
      </c>
      <c r="I763" s="142">
        <v>5971</v>
      </c>
      <c r="J763" s="129">
        <f t="shared" si="72"/>
        <v>351.2352941176471</v>
      </c>
      <c r="K763" s="130">
        <f t="shared" si="71"/>
        <v>4.712443476804555</v>
      </c>
      <c r="L763" s="144">
        <v>2607621</v>
      </c>
      <c r="M763" s="143">
        <v>315121</v>
      </c>
      <c r="N763" s="133">
        <f t="shared" si="73"/>
        <v>8.274983260398386</v>
      </c>
      <c r="O763" s="149"/>
      <c r="P763" s="334"/>
      <c r="Q763" s="83"/>
      <c r="R763" s="83"/>
      <c r="S763" s="83"/>
      <c r="T763" s="83"/>
    </row>
    <row r="764" spans="1:20" ht="12" customHeight="1">
      <c r="A764" s="290">
        <v>760</v>
      </c>
      <c r="B764" s="151" t="s">
        <v>251</v>
      </c>
      <c r="C764" s="139">
        <v>40144</v>
      </c>
      <c r="D764" s="194" t="s">
        <v>324</v>
      </c>
      <c r="E764" s="146">
        <v>128</v>
      </c>
      <c r="F764" s="146">
        <v>9</v>
      </c>
      <c r="G764" s="146">
        <v>11</v>
      </c>
      <c r="H764" s="141">
        <v>7572</v>
      </c>
      <c r="I764" s="142">
        <v>1526</v>
      </c>
      <c r="J764" s="129">
        <f t="shared" si="72"/>
        <v>169.55555555555554</v>
      </c>
      <c r="K764" s="130">
        <f t="shared" si="71"/>
        <v>4.961992136304063</v>
      </c>
      <c r="L764" s="144">
        <v>2615193</v>
      </c>
      <c r="M764" s="143">
        <v>316647</v>
      </c>
      <c r="N764" s="133">
        <f t="shared" si="73"/>
        <v>8.259017138959157</v>
      </c>
      <c r="O764" s="149">
        <v>1</v>
      </c>
      <c r="P764" s="334"/>
      <c r="Q764" s="83"/>
      <c r="R764" s="83"/>
      <c r="S764" s="83"/>
      <c r="T764" s="83"/>
    </row>
    <row r="765" spans="1:20" ht="12" customHeight="1">
      <c r="A765" s="290">
        <v>761</v>
      </c>
      <c r="B765" s="151" t="s">
        <v>154</v>
      </c>
      <c r="C765" s="139">
        <v>40144</v>
      </c>
      <c r="D765" s="194" t="s">
        <v>324</v>
      </c>
      <c r="E765" s="146">
        <v>128</v>
      </c>
      <c r="F765" s="146">
        <v>6</v>
      </c>
      <c r="G765" s="146">
        <v>8</v>
      </c>
      <c r="H765" s="150">
        <v>4834</v>
      </c>
      <c r="I765" s="142">
        <v>783</v>
      </c>
      <c r="J765" s="129">
        <f aca="true" t="shared" si="74" ref="J765:J796">I765/F765</f>
        <v>130.5</v>
      </c>
      <c r="K765" s="130">
        <f t="shared" si="71"/>
        <v>6.173690932311622</v>
      </c>
      <c r="L765" s="154">
        <v>2577332</v>
      </c>
      <c r="M765" s="143">
        <v>308696</v>
      </c>
      <c r="N765" s="133">
        <f aca="true" t="shared" si="75" ref="N765:N796">+L765/M765</f>
        <v>8.349094254541685</v>
      </c>
      <c r="O765" s="109">
        <v>1</v>
      </c>
      <c r="P765" s="334"/>
      <c r="Q765" s="83"/>
      <c r="R765" s="83"/>
      <c r="S765" s="83"/>
      <c r="T765" s="83"/>
    </row>
    <row r="766" spans="1:20" ht="12" customHeight="1">
      <c r="A766" s="290">
        <v>762</v>
      </c>
      <c r="B766" s="151" t="s">
        <v>154</v>
      </c>
      <c r="C766" s="139">
        <v>40144</v>
      </c>
      <c r="D766" s="194" t="s">
        <v>324</v>
      </c>
      <c r="E766" s="146">
        <v>128</v>
      </c>
      <c r="F766" s="146">
        <v>5</v>
      </c>
      <c r="G766" s="146">
        <v>7</v>
      </c>
      <c r="H766" s="150">
        <v>2478</v>
      </c>
      <c r="I766" s="152">
        <v>419</v>
      </c>
      <c r="J766" s="129">
        <f t="shared" si="74"/>
        <v>83.8</v>
      </c>
      <c r="K766" s="130">
        <f t="shared" si="71"/>
        <v>5.914081145584726</v>
      </c>
      <c r="L766" s="154">
        <v>2572498</v>
      </c>
      <c r="M766" s="153">
        <v>307913</v>
      </c>
      <c r="N766" s="133">
        <f t="shared" si="75"/>
        <v>8.35462614439793</v>
      </c>
      <c r="O766" s="354">
        <v>1</v>
      </c>
      <c r="P766" s="334"/>
      <c r="Q766" s="83"/>
      <c r="R766" s="83"/>
      <c r="S766" s="83"/>
      <c r="T766" s="83"/>
    </row>
    <row r="767" spans="1:20" ht="12" customHeight="1">
      <c r="A767" s="290">
        <v>763</v>
      </c>
      <c r="B767" s="195" t="s">
        <v>154</v>
      </c>
      <c r="C767" s="196">
        <v>40144</v>
      </c>
      <c r="D767" s="194" t="s">
        <v>324</v>
      </c>
      <c r="E767" s="197">
        <v>128</v>
      </c>
      <c r="F767" s="197">
        <v>7</v>
      </c>
      <c r="G767" s="197">
        <v>6</v>
      </c>
      <c r="H767" s="198">
        <v>1964</v>
      </c>
      <c r="I767" s="199">
        <v>269</v>
      </c>
      <c r="J767" s="129">
        <f t="shared" si="74"/>
        <v>38.42857142857143</v>
      </c>
      <c r="K767" s="130">
        <f t="shared" si="71"/>
        <v>7.301115241635688</v>
      </c>
      <c r="L767" s="201">
        <v>2570020</v>
      </c>
      <c r="M767" s="200">
        <v>307494</v>
      </c>
      <c r="N767" s="133">
        <f t="shared" si="75"/>
        <v>8.357951699870567</v>
      </c>
      <c r="O767" s="352">
        <v>1</v>
      </c>
      <c r="P767" s="334"/>
      <c r="Q767" s="83"/>
      <c r="R767" s="83"/>
      <c r="S767" s="83"/>
      <c r="T767" s="83"/>
    </row>
    <row r="768" spans="1:20" ht="12" customHeight="1">
      <c r="A768" s="290">
        <v>764</v>
      </c>
      <c r="B768" s="151" t="s">
        <v>154</v>
      </c>
      <c r="C768" s="139">
        <v>40144</v>
      </c>
      <c r="D768" s="194" t="s">
        <v>324</v>
      </c>
      <c r="E768" s="146">
        <v>128</v>
      </c>
      <c r="F768" s="146">
        <v>4</v>
      </c>
      <c r="G768" s="146">
        <v>9</v>
      </c>
      <c r="H768" s="141">
        <v>1890</v>
      </c>
      <c r="I768" s="142">
        <v>334</v>
      </c>
      <c r="J768" s="129">
        <f t="shared" si="74"/>
        <v>83.5</v>
      </c>
      <c r="K768" s="130">
        <f t="shared" si="71"/>
        <v>5.658682634730539</v>
      </c>
      <c r="L768" s="144">
        <v>2579222</v>
      </c>
      <c r="M768" s="143">
        <v>309030</v>
      </c>
      <c r="N768" s="133">
        <f t="shared" si="75"/>
        <v>8.346186454389542</v>
      </c>
      <c r="O768" s="181">
        <v>1</v>
      </c>
      <c r="P768" s="334"/>
      <c r="Q768" s="83"/>
      <c r="R768" s="83"/>
      <c r="S768" s="83"/>
      <c r="T768" s="83"/>
    </row>
    <row r="769" spans="1:20" ht="12" customHeight="1">
      <c r="A769" s="290">
        <v>765</v>
      </c>
      <c r="B769" s="182" t="s">
        <v>154</v>
      </c>
      <c r="C769" s="171">
        <v>40144</v>
      </c>
      <c r="D769" s="194" t="s">
        <v>324</v>
      </c>
      <c r="E769" s="156">
        <v>128</v>
      </c>
      <c r="F769" s="156">
        <v>1</v>
      </c>
      <c r="G769" s="156">
        <v>16</v>
      </c>
      <c r="H769" s="157">
        <v>1218</v>
      </c>
      <c r="I769" s="158">
        <v>560</v>
      </c>
      <c r="J769" s="129">
        <f t="shared" si="74"/>
        <v>560</v>
      </c>
      <c r="K769" s="130">
        <f t="shared" si="71"/>
        <v>2.175</v>
      </c>
      <c r="L769" s="154">
        <v>2616897</v>
      </c>
      <c r="M769" s="153">
        <v>317322</v>
      </c>
      <c r="N769" s="133">
        <f t="shared" si="75"/>
        <v>8.246818688902755</v>
      </c>
      <c r="O769" s="108">
        <v>1</v>
      </c>
      <c r="P769" s="334"/>
      <c r="Q769" s="83"/>
      <c r="R769" s="83"/>
      <c r="S769" s="83"/>
      <c r="T769" s="83"/>
    </row>
    <row r="770" spans="1:20" ht="12" customHeight="1">
      <c r="A770" s="290">
        <v>766</v>
      </c>
      <c r="B770" s="182" t="s">
        <v>154</v>
      </c>
      <c r="C770" s="171">
        <v>40144</v>
      </c>
      <c r="D770" s="194" t="s">
        <v>324</v>
      </c>
      <c r="E770" s="156">
        <v>128</v>
      </c>
      <c r="F770" s="156">
        <v>1</v>
      </c>
      <c r="G770" s="156">
        <v>17</v>
      </c>
      <c r="H770" s="157">
        <v>609</v>
      </c>
      <c r="I770" s="158">
        <v>280</v>
      </c>
      <c r="J770" s="129">
        <f t="shared" si="74"/>
        <v>280</v>
      </c>
      <c r="K770" s="130">
        <f t="shared" si="71"/>
        <v>2.175</v>
      </c>
      <c r="L770" s="154">
        <v>2617506</v>
      </c>
      <c r="M770" s="153">
        <v>317602</v>
      </c>
      <c r="N770" s="133">
        <f t="shared" si="75"/>
        <v>8.241465733842986</v>
      </c>
      <c r="O770" s="351">
        <v>1</v>
      </c>
      <c r="P770" s="334"/>
      <c r="Q770" s="83"/>
      <c r="R770" s="83"/>
      <c r="S770" s="83"/>
      <c r="T770" s="83"/>
    </row>
    <row r="771" spans="1:20" ht="12" customHeight="1">
      <c r="A771" s="290">
        <v>767</v>
      </c>
      <c r="B771" s="151" t="s">
        <v>251</v>
      </c>
      <c r="C771" s="139">
        <v>40144</v>
      </c>
      <c r="D771" s="194" t="s">
        <v>324</v>
      </c>
      <c r="E771" s="146">
        <v>128</v>
      </c>
      <c r="F771" s="146">
        <v>1</v>
      </c>
      <c r="G771" s="146">
        <v>12</v>
      </c>
      <c r="H771" s="150">
        <v>546</v>
      </c>
      <c r="I771" s="152">
        <v>127</v>
      </c>
      <c r="J771" s="129">
        <f t="shared" si="74"/>
        <v>127</v>
      </c>
      <c r="K771" s="130">
        <f t="shared" si="71"/>
        <v>4.299212598425197</v>
      </c>
      <c r="L771" s="154">
        <v>2615739</v>
      </c>
      <c r="M771" s="153">
        <v>316774</v>
      </c>
      <c r="N771" s="133">
        <f t="shared" si="75"/>
        <v>8.257429587024188</v>
      </c>
      <c r="O771" s="149">
        <v>1</v>
      </c>
      <c r="P771" s="334"/>
      <c r="Q771" s="83"/>
      <c r="R771" s="83"/>
      <c r="S771" s="83"/>
      <c r="T771" s="83"/>
    </row>
    <row r="772" spans="1:20" ht="12" customHeight="1">
      <c r="A772" s="290">
        <v>768</v>
      </c>
      <c r="B772" s="161" t="s">
        <v>183</v>
      </c>
      <c r="C772" s="139">
        <v>39829</v>
      </c>
      <c r="D772" s="145" t="s">
        <v>326</v>
      </c>
      <c r="E772" s="146">
        <v>80</v>
      </c>
      <c r="F772" s="146">
        <v>4</v>
      </c>
      <c r="G772" s="146">
        <v>39</v>
      </c>
      <c r="H772" s="127">
        <v>1450</v>
      </c>
      <c r="I772" s="128">
        <v>290</v>
      </c>
      <c r="J772" s="129">
        <f t="shared" si="74"/>
        <v>72.5</v>
      </c>
      <c r="K772" s="130">
        <f t="shared" si="71"/>
        <v>5</v>
      </c>
      <c r="L772" s="131">
        <f>783409.5+672566+392418+168504+54411+64946+58601+64120+20152+13919+28038+18395+13488+12795+8277+3206+3326.5+2899+422+2494+2511+191208.5+52491.25+20983+9705.5+4052+4553+3287+2148+4646.5+4535.5+5023+5448+1873+1975.25+1426+176+100+1450</f>
        <v>2703979.5</v>
      </c>
      <c r="M772" s="132">
        <f>86363+71043+43171+22546+8141+10573+9585+10952+3417+2596+4707+3339+2364+2380+1458+540+671+701+80+511+492+23153+7937+3484+2007+768+830+670+362+791+720+747+935+313+335+201+22+25+290</f>
        <v>329220</v>
      </c>
      <c r="N772" s="133">
        <f t="shared" si="75"/>
        <v>8.213290504829597</v>
      </c>
      <c r="O772" s="149"/>
      <c r="P772" s="334"/>
      <c r="Q772" s="83"/>
      <c r="R772" s="83"/>
      <c r="S772" s="83"/>
      <c r="T772" s="83"/>
    </row>
    <row r="773" spans="1:20" ht="12" customHeight="1">
      <c r="A773" s="290">
        <v>769</v>
      </c>
      <c r="B773" s="161" t="s">
        <v>215</v>
      </c>
      <c r="C773" s="139">
        <v>40137</v>
      </c>
      <c r="D773" s="145" t="s">
        <v>326</v>
      </c>
      <c r="E773" s="146">
        <v>147</v>
      </c>
      <c r="F773" s="146">
        <v>146</v>
      </c>
      <c r="G773" s="146">
        <v>23</v>
      </c>
      <c r="H773" s="127">
        <v>107573</v>
      </c>
      <c r="I773" s="128">
        <v>12631</v>
      </c>
      <c r="J773" s="129">
        <f t="shared" si="74"/>
        <v>86.51369863013699</v>
      </c>
      <c r="K773" s="130">
        <f t="shared" si="71"/>
        <v>8.51658617686644</v>
      </c>
      <c r="L773" s="131">
        <f>4499732.5+3362984.5+1262292.25+664013.75+490740.5+244990+87796+33908+25213+8908+4440+435+625+2349+3362+4879+291+2014+126+373.5+718+1821+107573</f>
        <v>10809585</v>
      </c>
      <c r="M773" s="132">
        <f>493806+365411+142937+78728+74756+40294+15922+6247+4692+1746+904+107+157+579+840+1220+56+504+21+69+99+305+12631</f>
        <v>1242031</v>
      </c>
      <c r="N773" s="133">
        <f t="shared" si="75"/>
        <v>8.703152336777423</v>
      </c>
      <c r="O773" s="149"/>
      <c r="P773" s="334"/>
      <c r="Q773" s="83"/>
      <c r="R773" s="83"/>
      <c r="S773" s="83"/>
      <c r="T773" s="83"/>
    </row>
    <row r="774" spans="1:20" ht="12" customHeight="1">
      <c r="A774" s="290">
        <v>770</v>
      </c>
      <c r="B774" s="151" t="s">
        <v>215</v>
      </c>
      <c r="C774" s="139">
        <v>40137</v>
      </c>
      <c r="D774" s="145" t="s">
        <v>326</v>
      </c>
      <c r="E774" s="146">
        <v>147</v>
      </c>
      <c r="F774" s="146">
        <v>57</v>
      </c>
      <c r="G774" s="146">
        <v>7</v>
      </c>
      <c r="H774" s="127">
        <v>87796</v>
      </c>
      <c r="I774" s="128">
        <v>15922</v>
      </c>
      <c r="J774" s="129">
        <f t="shared" si="74"/>
        <v>279.3333333333333</v>
      </c>
      <c r="K774" s="130">
        <f t="shared" si="71"/>
        <v>5.514131390528828</v>
      </c>
      <c r="L774" s="131">
        <f>4499732.5+3362984.5+1262292.25+664013.75+490740.5+244990+87796</f>
        <v>10612549.5</v>
      </c>
      <c r="M774" s="132">
        <f>493806+365411+142937+78728+74756+40294+15922</f>
        <v>1211854</v>
      </c>
      <c r="N774" s="133">
        <f t="shared" si="75"/>
        <v>8.757283880731507</v>
      </c>
      <c r="O774" s="108"/>
      <c r="P774" s="334"/>
      <c r="Q774" s="83"/>
      <c r="R774" s="83"/>
      <c r="S774" s="83"/>
      <c r="T774" s="83"/>
    </row>
    <row r="775" spans="1:20" ht="12" customHeight="1">
      <c r="A775" s="290">
        <v>771</v>
      </c>
      <c r="B775" s="151" t="s">
        <v>215</v>
      </c>
      <c r="C775" s="139">
        <v>40137</v>
      </c>
      <c r="D775" s="145" t="s">
        <v>326</v>
      </c>
      <c r="E775" s="146">
        <v>147</v>
      </c>
      <c r="F775" s="146">
        <v>32</v>
      </c>
      <c r="G775" s="146">
        <v>8</v>
      </c>
      <c r="H775" s="127">
        <v>33908</v>
      </c>
      <c r="I775" s="128">
        <v>6247</v>
      </c>
      <c r="J775" s="129">
        <f t="shared" si="74"/>
        <v>195.21875</v>
      </c>
      <c r="K775" s="130">
        <f t="shared" si="71"/>
        <v>5.427885384984792</v>
      </c>
      <c r="L775" s="131">
        <f>4499732.5+3362984.5+1262292.25+664013.75+490740.5+244990+87796+33908</f>
        <v>10646457.5</v>
      </c>
      <c r="M775" s="132">
        <f>493806+365411+142937+78728+74756+40294+15922+6247</f>
        <v>1218101</v>
      </c>
      <c r="N775" s="133">
        <f t="shared" si="75"/>
        <v>8.740209145218664</v>
      </c>
      <c r="O775" s="149"/>
      <c r="P775" s="334"/>
      <c r="Q775" s="83"/>
      <c r="R775" s="83"/>
      <c r="S775" s="83"/>
      <c r="T775" s="83"/>
    </row>
    <row r="776" spans="1:20" ht="12" customHeight="1">
      <c r="A776" s="290">
        <v>772</v>
      </c>
      <c r="B776" s="167" t="s">
        <v>215</v>
      </c>
      <c r="C776" s="168">
        <v>40137</v>
      </c>
      <c r="D776" s="145" t="s">
        <v>326</v>
      </c>
      <c r="E776" s="169">
        <v>147</v>
      </c>
      <c r="F776" s="169">
        <v>18</v>
      </c>
      <c r="G776" s="169">
        <v>9</v>
      </c>
      <c r="H776" s="127">
        <v>25213</v>
      </c>
      <c r="I776" s="135">
        <v>4692</v>
      </c>
      <c r="J776" s="129">
        <f t="shared" si="74"/>
        <v>260.6666666666667</v>
      </c>
      <c r="K776" s="130">
        <f t="shared" si="71"/>
        <v>5.373614663256607</v>
      </c>
      <c r="L776" s="131">
        <f>4499732.5+3362984.5+1262292.25+664013.75+490740.5+244990+87796+33908+25213</f>
        <v>10671670.5</v>
      </c>
      <c r="M776" s="136">
        <f>493806+365411+142937+78728+74756+40294+15922+6247+4692</f>
        <v>1222793</v>
      </c>
      <c r="N776" s="133">
        <f t="shared" si="75"/>
        <v>8.727291127770604</v>
      </c>
      <c r="O776" s="149"/>
      <c r="P776" s="334"/>
      <c r="Q776" s="83"/>
      <c r="R776" s="83"/>
      <c r="S776" s="83"/>
      <c r="T776" s="83"/>
    </row>
    <row r="777" spans="1:20" ht="12" customHeight="1">
      <c r="A777" s="290">
        <v>773</v>
      </c>
      <c r="B777" s="151" t="s">
        <v>215</v>
      </c>
      <c r="C777" s="139">
        <v>40137</v>
      </c>
      <c r="D777" s="145" t="s">
        <v>326</v>
      </c>
      <c r="E777" s="146">
        <v>147</v>
      </c>
      <c r="F777" s="146">
        <v>10</v>
      </c>
      <c r="G777" s="146">
        <v>10</v>
      </c>
      <c r="H777" s="137">
        <v>8908</v>
      </c>
      <c r="I777" s="135">
        <v>1746</v>
      </c>
      <c r="J777" s="129">
        <f t="shared" si="74"/>
        <v>174.6</v>
      </c>
      <c r="K777" s="130">
        <f t="shared" si="71"/>
        <v>5.101947308132875</v>
      </c>
      <c r="L777" s="138">
        <f>4499732.5+3362984.5+1262292.25+664013.75+490740.5+244990+87796+33908+25213+8908</f>
        <v>10680578.5</v>
      </c>
      <c r="M777" s="136">
        <f>493806+365411+142937+78728+74756+40294+15922+6247+4692+1746</f>
        <v>1224539</v>
      </c>
      <c r="N777" s="133">
        <f t="shared" si="75"/>
        <v>8.722121957732664</v>
      </c>
      <c r="O777" s="109"/>
      <c r="P777" s="334"/>
      <c r="Q777" s="83"/>
      <c r="R777" s="83"/>
      <c r="S777" s="83"/>
      <c r="T777" s="83"/>
    </row>
    <row r="778" spans="1:20" ht="12" customHeight="1">
      <c r="A778" s="290">
        <v>774</v>
      </c>
      <c r="B778" s="123" t="s">
        <v>215</v>
      </c>
      <c r="C778" s="124">
        <v>40137</v>
      </c>
      <c r="D778" s="145" t="s">
        <v>326</v>
      </c>
      <c r="E778" s="126">
        <v>147</v>
      </c>
      <c r="F778" s="126">
        <v>2</v>
      </c>
      <c r="G778" s="126">
        <v>16</v>
      </c>
      <c r="H778" s="127">
        <v>4879</v>
      </c>
      <c r="I778" s="135">
        <v>1220</v>
      </c>
      <c r="J778" s="129">
        <f t="shared" si="74"/>
        <v>610</v>
      </c>
      <c r="K778" s="130">
        <f t="shared" si="71"/>
        <v>3.9991803278688525</v>
      </c>
      <c r="L778" s="131">
        <f>4499732.5+3362984.5+1262292.25+664013.75+490740.5+244990+87796+33908+25213+8908+4440+435+625+2349+3362+4879</f>
        <v>10696668.5</v>
      </c>
      <c r="M778" s="136">
        <f>493806+365411+142937+78728+74756+40294+15922+6247+4692+1746+904+107+157+579+840+1220</f>
        <v>1228346</v>
      </c>
      <c r="N778" s="133">
        <f t="shared" si="75"/>
        <v>8.708188490864952</v>
      </c>
      <c r="O778" s="181"/>
      <c r="P778" s="334"/>
      <c r="Q778" s="83"/>
      <c r="R778" s="83"/>
      <c r="S778" s="83"/>
      <c r="T778" s="83"/>
    </row>
    <row r="779" spans="1:20" ht="12" customHeight="1">
      <c r="A779" s="290">
        <v>775</v>
      </c>
      <c r="B779" s="167" t="s">
        <v>215</v>
      </c>
      <c r="C779" s="168">
        <v>40137</v>
      </c>
      <c r="D779" s="145" t="s">
        <v>326</v>
      </c>
      <c r="E779" s="169">
        <v>147</v>
      </c>
      <c r="F779" s="169">
        <v>7</v>
      </c>
      <c r="G779" s="169">
        <v>11</v>
      </c>
      <c r="H779" s="137">
        <v>4440</v>
      </c>
      <c r="I779" s="135">
        <v>904</v>
      </c>
      <c r="J779" s="129">
        <f t="shared" si="74"/>
        <v>129.14285714285714</v>
      </c>
      <c r="K779" s="130">
        <f t="shared" si="71"/>
        <v>4.911504424778761</v>
      </c>
      <c r="L779" s="138">
        <f>4499732.5+3362984.5+1262292.25+664013.75+490740.5+244990+87796+33908+25213+8908+4440</f>
        <v>10685018.5</v>
      </c>
      <c r="M779" s="136">
        <f>493806+365411+142937+78728+74756+40294+15922+6247+4692+1746+904</f>
        <v>1225443</v>
      </c>
      <c r="N779" s="133">
        <f t="shared" si="75"/>
        <v>8.719310894101154</v>
      </c>
      <c r="O779" s="149"/>
      <c r="P779" s="334"/>
      <c r="Q779" s="83"/>
      <c r="R779" s="83"/>
      <c r="S779" s="83"/>
      <c r="T779" s="83"/>
    </row>
    <row r="780" spans="1:20" ht="12" customHeight="1">
      <c r="A780" s="290">
        <v>776</v>
      </c>
      <c r="B780" s="151" t="s">
        <v>215</v>
      </c>
      <c r="C780" s="171">
        <v>40137</v>
      </c>
      <c r="D780" s="145" t="s">
        <v>326</v>
      </c>
      <c r="E780" s="156">
        <v>147</v>
      </c>
      <c r="F780" s="156">
        <v>3</v>
      </c>
      <c r="G780" s="156">
        <v>15</v>
      </c>
      <c r="H780" s="157">
        <v>3362</v>
      </c>
      <c r="I780" s="158">
        <v>840</v>
      </c>
      <c r="J780" s="129">
        <f t="shared" si="74"/>
        <v>280</v>
      </c>
      <c r="K780" s="130">
        <f t="shared" si="71"/>
        <v>4.002380952380952</v>
      </c>
      <c r="L780" s="154">
        <f>4499732.5+3362984.5+1262292.25+664013.75+490740.5+244990+87796+33908+25213+8908+4440+435+625+2349+3362</f>
        <v>10691789.5</v>
      </c>
      <c r="M780" s="153">
        <f>493806+365411+142937+78728+74756+40294+15922+6247+4692+1746+904+107+157+579+840</f>
        <v>1227126</v>
      </c>
      <c r="N780" s="133">
        <f t="shared" si="75"/>
        <v>8.712870153513169</v>
      </c>
      <c r="O780" s="149"/>
      <c r="P780" s="334"/>
      <c r="Q780" s="83"/>
      <c r="R780" s="83"/>
      <c r="S780" s="83"/>
      <c r="T780" s="83"/>
    </row>
    <row r="781" spans="1:20" ht="12" customHeight="1">
      <c r="A781" s="290">
        <v>777</v>
      </c>
      <c r="B781" s="151" t="s">
        <v>215</v>
      </c>
      <c r="C781" s="139">
        <v>40137</v>
      </c>
      <c r="D781" s="145" t="s">
        <v>326</v>
      </c>
      <c r="E781" s="146">
        <v>147</v>
      </c>
      <c r="F781" s="146">
        <v>2</v>
      </c>
      <c r="G781" s="146">
        <v>14</v>
      </c>
      <c r="H781" s="150">
        <v>2349</v>
      </c>
      <c r="I781" s="152">
        <v>579</v>
      </c>
      <c r="J781" s="129">
        <f t="shared" si="74"/>
        <v>289.5</v>
      </c>
      <c r="K781" s="130">
        <f t="shared" si="71"/>
        <v>4.05699481865285</v>
      </c>
      <c r="L781" s="154">
        <f>4499732.5+3362984.5+1262292.25+664013.75+490740.5+244990+87796+33908+25213+8908+4440+435+625+2349</f>
        <v>10688427.5</v>
      </c>
      <c r="M781" s="153">
        <f>493806+365411+142937+78728+74756+40294+15922+6247+4692+1746+904+107+157+579</f>
        <v>1226286</v>
      </c>
      <c r="N781" s="133">
        <f t="shared" si="75"/>
        <v>8.716096815914069</v>
      </c>
      <c r="O781" s="166"/>
      <c r="P781" s="334"/>
      <c r="Q781" s="83"/>
      <c r="R781" s="83"/>
      <c r="S781" s="83"/>
      <c r="T781" s="83"/>
    </row>
    <row r="782" spans="1:20" ht="12" customHeight="1">
      <c r="A782" s="290">
        <v>778</v>
      </c>
      <c r="B782" s="182" t="s">
        <v>215</v>
      </c>
      <c r="C782" s="139">
        <v>40137</v>
      </c>
      <c r="D782" s="145" t="s">
        <v>326</v>
      </c>
      <c r="E782" s="156">
        <v>147</v>
      </c>
      <c r="F782" s="156">
        <v>1</v>
      </c>
      <c r="G782" s="156">
        <v>18</v>
      </c>
      <c r="H782" s="157">
        <v>2014</v>
      </c>
      <c r="I782" s="158">
        <v>504</v>
      </c>
      <c r="J782" s="129">
        <f t="shared" si="74"/>
        <v>504</v>
      </c>
      <c r="K782" s="130">
        <f t="shared" si="71"/>
        <v>3.996031746031746</v>
      </c>
      <c r="L782" s="154">
        <f>4499732.5+3362984.5+1262292.25+664013.75+490740.5+244990+87796+33908+25213+8908+4440+435+625+2349+3362+4879+291+2014</f>
        <v>10698973.5</v>
      </c>
      <c r="M782" s="153">
        <f>493806+365411+142937+78728+74756+40294+15922+6247+4692+1746+904+107+157+579+840+1220+56+504</f>
        <v>1228906</v>
      </c>
      <c r="N782" s="133">
        <f t="shared" si="75"/>
        <v>8.70609590969529</v>
      </c>
      <c r="O782" s="159">
        <v>1</v>
      </c>
      <c r="P782" s="334"/>
      <c r="Q782" s="83"/>
      <c r="R782" s="83"/>
      <c r="S782" s="83"/>
      <c r="T782" s="83"/>
    </row>
    <row r="783" spans="1:20" ht="12" customHeight="1">
      <c r="A783" s="290">
        <v>779</v>
      </c>
      <c r="B783" s="123" t="s">
        <v>215</v>
      </c>
      <c r="C783" s="124">
        <v>40137</v>
      </c>
      <c r="D783" s="125" t="s">
        <v>338</v>
      </c>
      <c r="E783" s="126">
        <v>147</v>
      </c>
      <c r="F783" s="126">
        <v>3</v>
      </c>
      <c r="G783" s="126">
        <v>22</v>
      </c>
      <c r="H783" s="127">
        <v>1821</v>
      </c>
      <c r="I783" s="128">
        <v>305</v>
      </c>
      <c r="J783" s="129">
        <f t="shared" si="74"/>
        <v>101.66666666666667</v>
      </c>
      <c r="K783" s="130">
        <f t="shared" si="71"/>
        <v>5.970491803278689</v>
      </c>
      <c r="L783" s="131">
        <f>4499732.5+3362984.5+1262292.25+664013.75+490740.5+244990+87796+33908+25213+8908+4440+435+625+2349+3362+4879+291+2014+126+373.5+718+1821</f>
        <v>10702012</v>
      </c>
      <c r="M783" s="132">
        <f>493806+365411+142937+78728+74756+40294+15922+6247+4692+1746+904+107+157+579+840+1220+56+504+21+69+99+305</f>
        <v>1229400</v>
      </c>
      <c r="N783" s="133">
        <f t="shared" si="75"/>
        <v>8.705069139417603</v>
      </c>
      <c r="O783" s="108"/>
      <c r="P783" s="334"/>
      <c r="Q783" s="83"/>
      <c r="R783" s="83"/>
      <c r="S783" s="83"/>
      <c r="T783" s="83"/>
    </row>
    <row r="784" spans="1:20" ht="12" customHeight="1">
      <c r="A784" s="290">
        <v>780</v>
      </c>
      <c r="B784" s="151" t="s">
        <v>215</v>
      </c>
      <c r="C784" s="139">
        <v>40137</v>
      </c>
      <c r="D784" s="140" t="s">
        <v>326</v>
      </c>
      <c r="E784" s="146">
        <v>147</v>
      </c>
      <c r="F784" s="146">
        <v>1</v>
      </c>
      <c r="G784" s="146">
        <v>30</v>
      </c>
      <c r="H784" s="186">
        <v>1782</v>
      </c>
      <c r="I784" s="187">
        <v>445</v>
      </c>
      <c r="J784" s="129">
        <f t="shared" si="74"/>
        <v>445</v>
      </c>
      <c r="K784" s="130">
        <f t="shared" si="71"/>
        <v>4.004494382022472</v>
      </c>
      <c r="L784" s="188">
        <f>10813638+1782+94+1782</f>
        <v>10817296</v>
      </c>
      <c r="M784" s="189">
        <f>1242823+446+17+445</f>
        <v>1243731</v>
      </c>
      <c r="N784" s="133">
        <f t="shared" si="75"/>
        <v>8.697456282749243</v>
      </c>
      <c r="O784" s="149"/>
      <c r="P784" s="334"/>
      <c r="Q784" s="83"/>
      <c r="R784" s="83"/>
      <c r="S784" s="83"/>
      <c r="T784" s="83"/>
    </row>
    <row r="785" spans="1:20" ht="12" customHeight="1">
      <c r="A785" s="290">
        <v>781</v>
      </c>
      <c r="B785" s="123" t="s">
        <v>215</v>
      </c>
      <c r="C785" s="139">
        <v>40137</v>
      </c>
      <c r="D785" s="125" t="s">
        <v>326</v>
      </c>
      <c r="E785" s="146">
        <v>147</v>
      </c>
      <c r="F785" s="146">
        <v>1</v>
      </c>
      <c r="G785" s="146">
        <v>28</v>
      </c>
      <c r="H785" s="141">
        <v>1782</v>
      </c>
      <c r="I785" s="142">
        <v>446</v>
      </c>
      <c r="J785" s="129">
        <f t="shared" si="74"/>
        <v>446</v>
      </c>
      <c r="K785" s="130">
        <f t="shared" si="71"/>
        <v>3.995515695067265</v>
      </c>
      <c r="L785" s="144">
        <f>10813638+1782</f>
        <v>10815420</v>
      </c>
      <c r="M785" s="143">
        <f>1242823+446</f>
        <v>1243269</v>
      </c>
      <c r="N785" s="133">
        <f t="shared" si="75"/>
        <v>8.69917934091496</v>
      </c>
      <c r="O785" s="149"/>
      <c r="P785" s="334"/>
      <c r="Q785" s="83"/>
      <c r="R785" s="83"/>
      <c r="S785" s="83"/>
      <c r="T785" s="83"/>
    </row>
    <row r="786" spans="1:20" ht="12" customHeight="1">
      <c r="A786" s="290">
        <v>782</v>
      </c>
      <c r="B786" s="123" t="s">
        <v>215</v>
      </c>
      <c r="C786" s="124">
        <v>40137</v>
      </c>
      <c r="D786" s="125" t="s">
        <v>326</v>
      </c>
      <c r="E786" s="126">
        <v>147</v>
      </c>
      <c r="F786" s="126">
        <v>2</v>
      </c>
      <c r="G786" s="126">
        <v>25</v>
      </c>
      <c r="H786" s="137">
        <v>752</v>
      </c>
      <c r="I786" s="135">
        <v>92</v>
      </c>
      <c r="J786" s="129">
        <f t="shared" si="74"/>
        <v>46</v>
      </c>
      <c r="K786" s="130">
        <f t="shared" si="71"/>
        <v>8.173913043478262</v>
      </c>
      <c r="L786" s="138">
        <f>4499732.5+3362984.5+1262292.25+664013.75+490740.5+244990+87796+33908+25213+8908+4440+435+625+2349+3362+4879+291+2014+126+373.5+718+1821+107573+2907+752</f>
        <v>10813244</v>
      </c>
      <c r="M786" s="136">
        <f>493806+365411+142937+78728+74756+40294+15922+6247+4692+1746+904+107+157+579+840+1220+56+504+21+69+99+305+12631+649+92</f>
        <v>1242772</v>
      </c>
      <c r="N786" s="133">
        <f t="shared" si="75"/>
        <v>8.700907326524897</v>
      </c>
      <c r="O786" s="149"/>
      <c r="P786" s="334"/>
      <c r="Q786" s="83"/>
      <c r="R786" s="83"/>
      <c r="S786" s="83"/>
      <c r="T786" s="83"/>
    </row>
    <row r="787" spans="1:20" ht="12" customHeight="1">
      <c r="A787" s="290">
        <v>783</v>
      </c>
      <c r="B787" s="151" t="s">
        <v>215</v>
      </c>
      <c r="C787" s="139">
        <v>40137</v>
      </c>
      <c r="D787" s="145" t="s">
        <v>338</v>
      </c>
      <c r="E787" s="146">
        <v>147</v>
      </c>
      <c r="F787" s="146">
        <v>1</v>
      </c>
      <c r="G787" s="146">
        <v>21</v>
      </c>
      <c r="H787" s="137">
        <v>718</v>
      </c>
      <c r="I787" s="135">
        <v>99</v>
      </c>
      <c r="J787" s="129">
        <f t="shared" si="74"/>
        <v>99</v>
      </c>
      <c r="K787" s="130">
        <f t="shared" si="71"/>
        <v>7.252525252525253</v>
      </c>
      <c r="L787" s="138">
        <f>4499732.5+3362984.5+1262292.25+664013.75+490740.5+244990+87796+33908+25213+8908+4440+435+625+2349+3362+4879+291+2014+126+373.5+718</f>
        <v>10700191</v>
      </c>
      <c r="M787" s="136">
        <f>493806+365411+142937+78728+74756+40294+15922+6247+4692+1746+904+107+157+579+840+1220+56+504+21+69+99</f>
        <v>1229095</v>
      </c>
      <c r="N787" s="133">
        <f t="shared" si="75"/>
        <v>8.705747724952099</v>
      </c>
      <c r="O787" s="108"/>
      <c r="P787" s="334"/>
      <c r="Q787" s="83"/>
      <c r="R787" s="83"/>
      <c r="S787" s="83"/>
      <c r="T787" s="83"/>
    </row>
    <row r="788" spans="1:20" ht="12" customHeight="1">
      <c r="A788" s="290">
        <v>784</v>
      </c>
      <c r="B788" s="151" t="s">
        <v>215</v>
      </c>
      <c r="C788" s="139">
        <v>40137</v>
      </c>
      <c r="D788" s="145" t="s">
        <v>326</v>
      </c>
      <c r="E788" s="146">
        <v>147</v>
      </c>
      <c r="F788" s="146">
        <v>1</v>
      </c>
      <c r="G788" s="146">
        <v>13</v>
      </c>
      <c r="H788" s="150">
        <v>625</v>
      </c>
      <c r="I788" s="152">
        <v>157</v>
      </c>
      <c r="J788" s="129">
        <f t="shared" si="74"/>
        <v>157</v>
      </c>
      <c r="K788" s="130">
        <f t="shared" si="71"/>
        <v>3.9808917197452227</v>
      </c>
      <c r="L788" s="154">
        <f>4499732.5+3362984.5+1262292.25+664013.75+490740.5+244990+87796+33908+25213+8908+4440+435+625</f>
        <v>10686078.5</v>
      </c>
      <c r="M788" s="153">
        <f>493806+365411+142937+78728+74756+40294+15922+6247+4692+1746+904+107+157</f>
        <v>1225707</v>
      </c>
      <c r="N788" s="133">
        <f t="shared" si="75"/>
        <v>8.718297684520037</v>
      </c>
      <c r="O788" s="149"/>
      <c r="P788" s="334"/>
      <c r="Q788" s="83"/>
      <c r="R788" s="83"/>
      <c r="S788" s="83"/>
      <c r="T788" s="83"/>
    </row>
    <row r="789" spans="1:20" ht="12" customHeight="1">
      <c r="A789" s="290">
        <v>785</v>
      </c>
      <c r="B789" s="151" t="s">
        <v>215</v>
      </c>
      <c r="C789" s="139">
        <v>40137</v>
      </c>
      <c r="D789" s="145" t="s">
        <v>326</v>
      </c>
      <c r="E789" s="146">
        <v>147</v>
      </c>
      <c r="F789" s="146">
        <v>1</v>
      </c>
      <c r="G789" s="146">
        <v>12</v>
      </c>
      <c r="H789" s="141">
        <v>435</v>
      </c>
      <c r="I789" s="142">
        <v>107</v>
      </c>
      <c r="J789" s="129">
        <f t="shared" si="74"/>
        <v>107</v>
      </c>
      <c r="K789" s="130">
        <f t="shared" si="71"/>
        <v>4.065420560747664</v>
      </c>
      <c r="L789" s="144">
        <f>4499732.5+3362984.5+1262292.25+664013.75+490740.5+244990+87796+33908+25213+8908+4440+435</f>
        <v>10685453.5</v>
      </c>
      <c r="M789" s="143">
        <f>493806+365411+142937+78728+74756+40294+15922+6247+4692+1746+904+107</f>
        <v>1225550</v>
      </c>
      <c r="N789" s="133">
        <f t="shared" si="75"/>
        <v>8.718904573456815</v>
      </c>
      <c r="O789" s="110"/>
      <c r="P789" s="334"/>
      <c r="Q789" s="83"/>
      <c r="R789" s="83"/>
      <c r="S789" s="83"/>
      <c r="T789" s="83"/>
    </row>
    <row r="790" spans="1:20" ht="12" customHeight="1">
      <c r="A790" s="290">
        <v>786</v>
      </c>
      <c r="B790" s="123" t="s">
        <v>215</v>
      </c>
      <c r="C790" s="139">
        <v>40137</v>
      </c>
      <c r="D790" s="145" t="s">
        <v>326</v>
      </c>
      <c r="E790" s="146">
        <v>147</v>
      </c>
      <c r="F790" s="146">
        <v>2</v>
      </c>
      <c r="G790" s="146">
        <v>20</v>
      </c>
      <c r="H790" s="137">
        <v>373.5</v>
      </c>
      <c r="I790" s="135">
        <v>69</v>
      </c>
      <c r="J790" s="129">
        <f t="shared" si="74"/>
        <v>34.5</v>
      </c>
      <c r="K790" s="130">
        <f t="shared" si="71"/>
        <v>5.413043478260869</v>
      </c>
      <c r="L790" s="144">
        <f>4499732.5+3362984.5+1262292.25+664013.75+490740.5+244990+87796+33908+25213+8908+4440+435+625+2349+3362+4879+291+2014+126+373.5</f>
        <v>10699473</v>
      </c>
      <c r="M790" s="143">
        <f>493806+365411+142937+78728+74756+40294+15922+6247+4692+1746+904+107+157+579+840+1220+56+504+21+69</f>
        <v>1228996</v>
      </c>
      <c r="N790" s="133">
        <f t="shared" si="75"/>
        <v>8.705864787192148</v>
      </c>
      <c r="O790" s="110"/>
      <c r="P790" s="334"/>
      <c r="Q790" s="83"/>
      <c r="R790" s="83"/>
      <c r="S790" s="83"/>
      <c r="T790" s="83"/>
    </row>
    <row r="791" spans="1:20" ht="12" customHeight="1">
      <c r="A791" s="290">
        <v>787</v>
      </c>
      <c r="B791" s="123" t="s">
        <v>215</v>
      </c>
      <c r="C791" s="124">
        <v>40137</v>
      </c>
      <c r="D791" s="145" t="s">
        <v>326</v>
      </c>
      <c r="E791" s="126">
        <v>147</v>
      </c>
      <c r="F791" s="126">
        <v>1</v>
      </c>
      <c r="G791" s="126">
        <v>17</v>
      </c>
      <c r="H791" s="127">
        <v>291</v>
      </c>
      <c r="I791" s="128">
        <v>56</v>
      </c>
      <c r="J791" s="129">
        <f t="shared" si="74"/>
        <v>56</v>
      </c>
      <c r="K791" s="130">
        <f t="shared" si="71"/>
        <v>5.196428571428571</v>
      </c>
      <c r="L791" s="131">
        <f>4499732.5+3362984.5+1262292.25+664013.75+490740.5+244990+87796+33908+25213+8908+4440+435+625+2349+3362+4879+291</f>
        <v>10696959.5</v>
      </c>
      <c r="M791" s="132">
        <f>493806+365411+142937+78728+74756+40294+15922+6247+4692+1746+904+107+157+579+840+1220+56</f>
        <v>1228402</v>
      </c>
      <c r="N791" s="133">
        <f t="shared" si="75"/>
        <v>8.708028397869752</v>
      </c>
      <c r="O791" s="149"/>
      <c r="P791" s="334"/>
      <c r="Q791" s="83"/>
      <c r="R791" s="83"/>
      <c r="S791" s="83"/>
      <c r="T791" s="83"/>
    </row>
    <row r="792" spans="1:20" ht="12" customHeight="1">
      <c r="A792" s="290">
        <v>788</v>
      </c>
      <c r="B792" s="151" t="s">
        <v>215</v>
      </c>
      <c r="C792" s="139">
        <v>40137</v>
      </c>
      <c r="D792" s="125" t="s">
        <v>326</v>
      </c>
      <c r="E792" s="146">
        <v>147</v>
      </c>
      <c r="F792" s="146">
        <v>1</v>
      </c>
      <c r="G792" s="146">
        <v>27</v>
      </c>
      <c r="H792" s="150">
        <v>220</v>
      </c>
      <c r="I792" s="152">
        <v>22</v>
      </c>
      <c r="J792" s="129">
        <f t="shared" si="74"/>
        <v>22</v>
      </c>
      <c r="K792" s="130">
        <f t="shared" si="71"/>
        <v>10</v>
      </c>
      <c r="L792" s="154">
        <v>10813638</v>
      </c>
      <c r="M792" s="153">
        <v>1242823</v>
      </c>
      <c r="N792" s="133">
        <f t="shared" si="75"/>
        <v>8.700867299687888</v>
      </c>
      <c r="O792" s="147"/>
      <c r="P792" s="334"/>
      <c r="Q792" s="83"/>
      <c r="R792" s="83"/>
      <c r="S792" s="83"/>
      <c r="T792" s="83"/>
    </row>
    <row r="793" spans="1:20" ht="12" customHeight="1">
      <c r="A793" s="290">
        <v>789</v>
      </c>
      <c r="B793" s="123" t="s">
        <v>215</v>
      </c>
      <c r="C793" s="139">
        <v>40137</v>
      </c>
      <c r="D793" s="125" t="s">
        <v>326</v>
      </c>
      <c r="E793" s="146">
        <v>147</v>
      </c>
      <c r="F793" s="146">
        <v>1</v>
      </c>
      <c r="G793" s="146">
        <v>26</v>
      </c>
      <c r="H793" s="141">
        <v>174</v>
      </c>
      <c r="I793" s="142">
        <v>29</v>
      </c>
      <c r="J793" s="129">
        <f t="shared" si="74"/>
        <v>29</v>
      </c>
      <c r="K793" s="130">
        <f t="shared" si="71"/>
        <v>6</v>
      </c>
      <c r="L793" s="144">
        <f>4499732.5+3362984.5+1262292.25+664013.75+490740.5+244990+87796+33908+25213+8908+4440+435+625+2349+3362+4879+291+2014+126+373.5+718+1821+107573+2907+752+174</f>
        <v>10813418</v>
      </c>
      <c r="M793" s="143">
        <f>493806+365411+142937+78728+74756+40294+15922+6247+4692+1746+904+107+157+579+840+1220+56+504+21+69+99+305+12631+649+92+29</f>
        <v>1242801</v>
      </c>
      <c r="N793" s="133">
        <f t="shared" si="75"/>
        <v>8.700844302506999</v>
      </c>
      <c r="O793" s="149"/>
      <c r="P793" s="334"/>
      <c r="Q793" s="83"/>
      <c r="R793" s="83"/>
      <c r="S793" s="83"/>
      <c r="T793" s="83"/>
    </row>
    <row r="794" spans="1:20" ht="12" customHeight="1">
      <c r="A794" s="290">
        <v>790</v>
      </c>
      <c r="B794" s="123" t="s">
        <v>215</v>
      </c>
      <c r="C794" s="124">
        <v>40137</v>
      </c>
      <c r="D794" s="125" t="s">
        <v>326</v>
      </c>
      <c r="E794" s="126">
        <v>147</v>
      </c>
      <c r="F794" s="126">
        <v>1</v>
      </c>
      <c r="G794" s="126">
        <v>19</v>
      </c>
      <c r="H794" s="127">
        <v>126</v>
      </c>
      <c r="I794" s="128">
        <v>21</v>
      </c>
      <c r="J794" s="129">
        <f t="shared" si="74"/>
        <v>21</v>
      </c>
      <c r="K794" s="130">
        <f aca="true" t="shared" si="76" ref="K794:K859">H794/I794</f>
        <v>6</v>
      </c>
      <c r="L794" s="131">
        <f>4499732.5+3362984.5+1262292.25+664013.75+490740.5+244990+87796+33908+25213+8908+4440+435+625+2349+3362+4879+291+2014+126</f>
        <v>10699099.5</v>
      </c>
      <c r="M794" s="132">
        <f>493806+365411+142937+78728+74756+40294+15922+6247+4692+1746+904+107+157+579+840+1220+56+504+21</f>
        <v>1228927</v>
      </c>
      <c r="N794" s="133">
        <f t="shared" si="75"/>
        <v>8.706049667718261</v>
      </c>
      <c r="O794" s="108"/>
      <c r="P794" s="334"/>
      <c r="Q794" s="83"/>
      <c r="R794" s="83"/>
      <c r="S794" s="83"/>
      <c r="T794" s="83"/>
    </row>
    <row r="795" spans="1:20" ht="12" customHeight="1">
      <c r="A795" s="290">
        <v>791</v>
      </c>
      <c r="B795" s="123" t="s">
        <v>215</v>
      </c>
      <c r="C795" s="139">
        <v>40137</v>
      </c>
      <c r="D795" s="145" t="s">
        <v>326</v>
      </c>
      <c r="E795" s="146">
        <v>147</v>
      </c>
      <c r="F795" s="146">
        <v>1</v>
      </c>
      <c r="G795" s="146">
        <v>29</v>
      </c>
      <c r="H795" s="137">
        <v>94</v>
      </c>
      <c r="I795" s="135">
        <v>17</v>
      </c>
      <c r="J795" s="129">
        <f t="shared" si="74"/>
        <v>17</v>
      </c>
      <c r="K795" s="130">
        <f t="shared" si="76"/>
        <v>5.529411764705882</v>
      </c>
      <c r="L795" s="144">
        <f>10813638+1782+94</f>
        <v>10815514</v>
      </c>
      <c r="M795" s="143">
        <f>1242823+446+17</f>
        <v>1243286</v>
      </c>
      <c r="N795" s="133">
        <f t="shared" si="75"/>
        <v>8.69913599927933</v>
      </c>
      <c r="O795" s="108">
        <v>1</v>
      </c>
      <c r="P795" s="334"/>
      <c r="Q795" s="83"/>
      <c r="R795" s="83"/>
      <c r="S795" s="83"/>
      <c r="T795" s="83"/>
    </row>
    <row r="796" spans="1:20" ht="12" customHeight="1">
      <c r="A796" s="290">
        <v>792</v>
      </c>
      <c r="B796" s="123" t="s">
        <v>448</v>
      </c>
      <c r="C796" s="124">
        <v>40081</v>
      </c>
      <c r="D796" s="125" t="s">
        <v>325</v>
      </c>
      <c r="E796" s="126">
        <v>70</v>
      </c>
      <c r="F796" s="126">
        <v>1</v>
      </c>
      <c r="G796" s="126">
        <v>13</v>
      </c>
      <c r="H796" s="127">
        <v>1671</v>
      </c>
      <c r="I796" s="135">
        <v>278</v>
      </c>
      <c r="J796" s="129">
        <f t="shared" si="74"/>
        <v>278</v>
      </c>
      <c r="K796" s="130">
        <f t="shared" si="76"/>
        <v>6.010791366906475</v>
      </c>
      <c r="L796" s="131">
        <f>1392975+803+1671</f>
        <v>1395449</v>
      </c>
      <c r="M796" s="136">
        <f>137156+132+278</f>
        <v>137566</v>
      </c>
      <c r="N796" s="133">
        <f t="shared" si="75"/>
        <v>10.143850951543259</v>
      </c>
      <c r="O796" s="109"/>
      <c r="P796" s="334"/>
      <c r="Q796" s="83"/>
      <c r="R796" s="83"/>
      <c r="S796" s="83"/>
      <c r="T796" s="83"/>
    </row>
    <row r="797" spans="1:20" ht="12" customHeight="1">
      <c r="A797" s="290">
        <v>793</v>
      </c>
      <c r="B797" s="123" t="s">
        <v>448</v>
      </c>
      <c r="C797" s="124">
        <v>40081</v>
      </c>
      <c r="D797" s="125" t="s">
        <v>325</v>
      </c>
      <c r="E797" s="126">
        <v>70</v>
      </c>
      <c r="F797" s="126">
        <v>1</v>
      </c>
      <c r="G797" s="126">
        <v>12</v>
      </c>
      <c r="H797" s="127">
        <v>803</v>
      </c>
      <c r="I797" s="128">
        <v>132</v>
      </c>
      <c r="J797" s="129">
        <f aca="true" t="shared" si="77" ref="J797:J828">I797/F797</f>
        <v>132</v>
      </c>
      <c r="K797" s="130">
        <f t="shared" si="76"/>
        <v>6.083333333333333</v>
      </c>
      <c r="L797" s="131">
        <f>1392975+803</f>
        <v>1393778</v>
      </c>
      <c r="M797" s="132">
        <f>137156+132</f>
        <v>137288</v>
      </c>
      <c r="N797" s="133">
        <f aca="true" t="shared" si="78" ref="N797:N828">+L797/M797</f>
        <v>10.15222015034089</v>
      </c>
      <c r="O797" s="149"/>
      <c r="P797" s="334"/>
      <c r="Q797" s="83"/>
      <c r="R797" s="83"/>
      <c r="S797" s="83"/>
      <c r="T797" s="83"/>
    </row>
    <row r="798" spans="1:20" ht="12" customHeight="1">
      <c r="A798" s="290">
        <v>794</v>
      </c>
      <c r="B798" s="202" t="s">
        <v>252</v>
      </c>
      <c r="C798" s="139">
        <v>39871</v>
      </c>
      <c r="D798" s="190" t="s">
        <v>353</v>
      </c>
      <c r="E798" s="146">
        <v>192</v>
      </c>
      <c r="F798" s="146">
        <v>1</v>
      </c>
      <c r="G798" s="146">
        <v>22</v>
      </c>
      <c r="H798" s="150">
        <v>1918</v>
      </c>
      <c r="I798" s="152">
        <v>319</v>
      </c>
      <c r="J798" s="129">
        <f t="shared" si="77"/>
        <v>319</v>
      </c>
      <c r="K798" s="130">
        <f t="shared" si="76"/>
        <v>6.012539184952978</v>
      </c>
      <c r="L798" s="154">
        <f>568084.5+439199.5+199559+109980+164256.5-20+26773.5+13463+1383+6404+0.5+715+335+85+378+1008+757+6618+713+0.75+243+1525+380+105+2395+1918</f>
        <v>1546259.25</v>
      </c>
      <c r="M798" s="153">
        <f>79686+62524+31158+18444+26844-3+5195+2619+207+1137+130+77+14+84+252+149+1160+124+32+241+76+21+342+319</f>
        <v>230832</v>
      </c>
      <c r="N798" s="133">
        <f t="shared" si="78"/>
        <v>6.698634721355791</v>
      </c>
      <c r="O798" s="159"/>
      <c r="P798" s="334"/>
      <c r="Q798" s="83"/>
      <c r="R798" s="83"/>
      <c r="S798" s="83"/>
      <c r="T798" s="83"/>
    </row>
    <row r="799" spans="1:20" ht="12" customHeight="1">
      <c r="A799" s="290">
        <v>795</v>
      </c>
      <c r="B799" s="151" t="s">
        <v>350</v>
      </c>
      <c r="C799" s="139">
        <v>40102</v>
      </c>
      <c r="D799" s="194" t="s">
        <v>324</v>
      </c>
      <c r="E799" s="146">
        <v>99</v>
      </c>
      <c r="F799" s="146">
        <v>1</v>
      </c>
      <c r="G799" s="146">
        <v>19</v>
      </c>
      <c r="H799" s="150">
        <v>5600</v>
      </c>
      <c r="I799" s="152">
        <v>1400</v>
      </c>
      <c r="J799" s="129">
        <f t="shared" si="77"/>
        <v>1400</v>
      </c>
      <c r="K799" s="130">
        <f t="shared" si="76"/>
        <v>4</v>
      </c>
      <c r="L799" s="154">
        <v>2602082</v>
      </c>
      <c r="M799" s="153">
        <v>278190</v>
      </c>
      <c r="N799" s="133">
        <f t="shared" si="78"/>
        <v>9.353614436176715</v>
      </c>
      <c r="O799" s="149"/>
      <c r="P799" s="334"/>
      <c r="Q799" s="83"/>
      <c r="R799" s="83"/>
      <c r="S799" s="83"/>
      <c r="T799" s="83"/>
    </row>
    <row r="800" spans="1:20" ht="12" customHeight="1">
      <c r="A800" s="290">
        <v>796</v>
      </c>
      <c r="B800" s="151" t="s">
        <v>350</v>
      </c>
      <c r="C800" s="171">
        <v>40102</v>
      </c>
      <c r="D800" s="194" t="s">
        <v>324</v>
      </c>
      <c r="E800" s="156">
        <v>99</v>
      </c>
      <c r="F800" s="156">
        <v>1</v>
      </c>
      <c r="G800" s="156">
        <v>20</v>
      </c>
      <c r="H800" s="157">
        <v>5600</v>
      </c>
      <c r="I800" s="158">
        <v>1400</v>
      </c>
      <c r="J800" s="129">
        <f t="shared" si="77"/>
        <v>1400</v>
      </c>
      <c r="K800" s="130">
        <f t="shared" si="76"/>
        <v>4</v>
      </c>
      <c r="L800" s="154">
        <v>2607682</v>
      </c>
      <c r="M800" s="153">
        <v>279590</v>
      </c>
      <c r="N800" s="133">
        <f t="shared" si="78"/>
        <v>9.326807110411675</v>
      </c>
      <c r="O800" s="149"/>
      <c r="P800" s="334"/>
      <c r="Q800" s="83"/>
      <c r="R800" s="83"/>
      <c r="S800" s="83"/>
      <c r="T800" s="83"/>
    </row>
    <row r="801" spans="1:20" ht="12" customHeight="1">
      <c r="A801" s="290">
        <v>797</v>
      </c>
      <c r="B801" s="151" t="s">
        <v>350</v>
      </c>
      <c r="C801" s="139">
        <v>40102</v>
      </c>
      <c r="D801" s="194" t="s">
        <v>324</v>
      </c>
      <c r="E801" s="146">
        <v>99</v>
      </c>
      <c r="F801" s="146">
        <v>2</v>
      </c>
      <c r="G801" s="146">
        <v>18</v>
      </c>
      <c r="H801" s="150">
        <v>5089</v>
      </c>
      <c r="I801" s="152">
        <v>1400</v>
      </c>
      <c r="J801" s="129">
        <f t="shared" si="77"/>
        <v>700</v>
      </c>
      <c r="K801" s="130">
        <f t="shared" si="76"/>
        <v>3.635</v>
      </c>
      <c r="L801" s="154">
        <v>2596482</v>
      </c>
      <c r="M801" s="153">
        <v>276790</v>
      </c>
      <c r="N801" s="133">
        <f t="shared" si="78"/>
        <v>9.380692944109253</v>
      </c>
      <c r="O801" s="149"/>
      <c r="P801" s="334"/>
      <c r="Q801" s="83"/>
      <c r="R801" s="83"/>
      <c r="S801" s="83"/>
      <c r="T801" s="83"/>
    </row>
    <row r="802" spans="1:20" ht="12" customHeight="1">
      <c r="A802" s="290">
        <v>798</v>
      </c>
      <c r="B802" s="182" t="s">
        <v>350</v>
      </c>
      <c r="C802" s="171">
        <v>40102</v>
      </c>
      <c r="D802" s="194" t="s">
        <v>324</v>
      </c>
      <c r="E802" s="156">
        <v>99</v>
      </c>
      <c r="F802" s="156">
        <v>1</v>
      </c>
      <c r="G802" s="156">
        <v>22</v>
      </c>
      <c r="H802" s="157">
        <v>4830</v>
      </c>
      <c r="I802" s="158">
        <v>1610</v>
      </c>
      <c r="J802" s="129">
        <f t="shared" si="77"/>
        <v>1610</v>
      </c>
      <c r="K802" s="130">
        <f t="shared" si="76"/>
        <v>3</v>
      </c>
      <c r="L802" s="154">
        <v>2612860</v>
      </c>
      <c r="M802" s="153">
        <v>282507</v>
      </c>
      <c r="N802" s="133">
        <f t="shared" si="78"/>
        <v>9.248832772285288</v>
      </c>
      <c r="O802" s="149"/>
      <c r="P802" s="334"/>
      <c r="Q802" s="83"/>
      <c r="R802" s="83"/>
      <c r="S802" s="83"/>
      <c r="T802" s="83"/>
    </row>
    <row r="803" spans="1:20" ht="12" customHeight="1">
      <c r="A803" s="290">
        <v>799</v>
      </c>
      <c r="B803" s="151" t="s">
        <v>350</v>
      </c>
      <c r="C803" s="139">
        <v>40102</v>
      </c>
      <c r="D803" s="194" t="s">
        <v>324</v>
      </c>
      <c r="E803" s="146">
        <v>99</v>
      </c>
      <c r="F803" s="146">
        <v>8</v>
      </c>
      <c r="G803" s="146">
        <v>15</v>
      </c>
      <c r="H803" s="141">
        <v>4479</v>
      </c>
      <c r="I803" s="142">
        <v>839</v>
      </c>
      <c r="J803" s="129">
        <f t="shared" si="77"/>
        <v>104.875</v>
      </c>
      <c r="K803" s="130">
        <f t="shared" si="76"/>
        <v>5.33849821215733</v>
      </c>
      <c r="L803" s="144">
        <v>2584656</v>
      </c>
      <c r="M803" s="143">
        <v>273934</v>
      </c>
      <c r="N803" s="133">
        <f t="shared" si="78"/>
        <v>9.435323837128651</v>
      </c>
      <c r="O803" s="108"/>
      <c r="P803" s="334"/>
      <c r="Q803" s="83"/>
      <c r="R803" s="83"/>
      <c r="S803" s="83"/>
      <c r="T803" s="83"/>
    </row>
    <row r="804" spans="1:20" ht="12" customHeight="1">
      <c r="A804" s="290">
        <v>800</v>
      </c>
      <c r="B804" s="151" t="s">
        <v>350</v>
      </c>
      <c r="C804" s="139">
        <v>40102</v>
      </c>
      <c r="D804" s="194" t="s">
        <v>324</v>
      </c>
      <c r="E804" s="146">
        <v>99</v>
      </c>
      <c r="F804" s="146">
        <v>5</v>
      </c>
      <c r="G804" s="146">
        <v>16</v>
      </c>
      <c r="H804" s="141">
        <v>3974</v>
      </c>
      <c r="I804" s="142">
        <v>755</v>
      </c>
      <c r="J804" s="129">
        <f t="shared" si="77"/>
        <v>151</v>
      </c>
      <c r="K804" s="130">
        <f t="shared" si="76"/>
        <v>5.263576158940397</v>
      </c>
      <c r="L804" s="144">
        <v>2588630</v>
      </c>
      <c r="M804" s="143">
        <v>274689</v>
      </c>
      <c r="N804" s="133">
        <f t="shared" si="78"/>
        <v>9.423857526147753</v>
      </c>
      <c r="O804" s="352"/>
      <c r="P804" s="334"/>
      <c r="Q804" s="83"/>
      <c r="R804" s="83"/>
      <c r="S804" s="83"/>
      <c r="T804" s="83"/>
    </row>
    <row r="805" spans="1:20" ht="12" customHeight="1">
      <c r="A805" s="290">
        <v>801</v>
      </c>
      <c r="B805" s="123" t="s">
        <v>350</v>
      </c>
      <c r="C805" s="139">
        <v>40102</v>
      </c>
      <c r="D805" s="194" t="s">
        <v>324</v>
      </c>
      <c r="E805" s="156">
        <v>99</v>
      </c>
      <c r="F805" s="156">
        <v>3</v>
      </c>
      <c r="G805" s="156">
        <v>28</v>
      </c>
      <c r="H805" s="157">
        <v>3828</v>
      </c>
      <c r="I805" s="158">
        <v>1060</v>
      </c>
      <c r="J805" s="129">
        <f t="shared" si="77"/>
        <v>353.3333333333333</v>
      </c>
      <c r="K805" s="130">
        <f t="shared" si="76"/>
        <v>3.611320754716981</v>
      </c>
      <c r="L805" s="154">
        <v>2617843</v>
      </c>
      <c r="M805" s="153">
        <v>283876</v>
      </c>
      <c r="N805" s="133">
        <f t="shared" si="78"/>
        <v>9.221783454747847</v>
      </c>
      <c r="O805" s="149"/>
      <c r="P805" s="334"/>
      <c r="Q805" s="83"/>
      <c r="R805" s="83"/>
      <c r="S805" s="83"/>
      <c r="T805" s="83"/>
    </row>
    <row r="806" spans="1:20" ht="12" customHeight="1">
      <c r="A806" s="290">
        <v>802</v>
      </c>
      <c r="B806" s="151" t="s">
        <v>350</v>
      </c>
      <c r="C806" s="139">
        <v>40102</v>
      </c>
      <c r="D806" s="194" t="s">
        <v>324</v>
      </c>
      <c r="E806" s="146">
        <v>99</v>
      </c>
      <c r="F806" s="146">
        <v>9</v>
      </c>
      <c r="G806" s="146">
        <v>14</v>
      </c>
      <c r="H806" s="150">
        <v>3375</v>
      </c>
      <c r="I806" s="142">
        <v>911</v>
      </c>
      <c r="J806" s="129">
        <f t="shared" si="77"/>
        <v>101.22222222222223</v>
      </c>
      <c r="K806" s="130">
        <f t="shared" si="76"/>
        <v>3.7047200878155873</v>
      </c>
      <c r="L806" s="154">
        <v>2580177</v>
      </c>
      <c r="M806" s="143">
        <v>273095</v>
      </c>
      <c r="N806" s="133">
        <f t="shared" si="78"/>
        <v>9.447910067925081</v>
      </c>
      <c r="O806" s="108"/>
      <c r="P806" s="334"/>
      <c r="Q806" s="83"/>
      <c r="R806" s="83"/>
      <c r="S806" s="83"/>
      <c r="T806" s="83"/>
    </row>
    <row r="807" spans="1:20" ht="12" customHeight="1">
      <c r="A807" s="290">
        <v>803</v>
      </c>
      <c r="B807" s="151" t="s">
        <v>350</v>
      </c>
      <c r="C807" s="139">
        <v>40102</v>
      </c>
      <c r="D807" s="194" t="s">
        <v>324</v>
      </c>
      <c r="E807" s="146">
        <v>99</v>
      </c>
      <c r="F807" s="146">
        <v>5</v>
      </c>
      <c r="G807" s="146">
        <v>17</v>
      </c>
      <c r="H807" s="141">
        <v>2763</v>
      </c>
      <c r="I807" s="142">
        <v>701</v>
      </c>
      <c r="J807" s="129">
        <f t="shared" si="77"/>
        <v>140.2</v>
      </c>
      <c r="K807" s="130">
        <f t="shared" si="76"/>
        <v>3.94151212553495</v>
      </c>
      <c r="L807" s="144">
        <v>2591393</v>
      </c>
      <c r="M807" s="143">
        <v>275390</v>
      </c>
      <c r="N807" s="133">
        <f t="shared" si="78"/>
        <v>9.409902320345692</v>
      </c>
      <c r="O807" s="149"/>
      <c r="P807" s="334"/>
      <c r="Q807" s="83"/>
      <c r="R807" s="83"/>
      <c r="S807" s="83"/>
      <c r="T807" s="83"/>
    </row>
    <row r="808" spans="1:20" ht="12" customHeight="1">
      <c r="A808" s="290">
        <v>804</v>
      </c>
      <c r="B808" s="195" t="s">
        <v>350</v>
      </c>
      <c r="C808" s="196">
        <v>40102</v>
      </c>
      <c r="D808" s="194" t="s">
        <v>324</v>
      </c>
      <c r="E808" s="197">
        <v>99</v>
      </c>
      <c r="F808" s="197">
        <v>15</v>
      </c>
      <c r="G808" s="197">
        <v>12</v>
      </c>
      <c r="H808" s="198">
        <v>2194</v>
      </c>
      <c r="I808" s="199">
        <v>315</v>
      </c>
      <c r="J808" s="129">
        <f t="shared" si="77"/>
        <v>21</v>
      </c>
      <c r="K808" s="130">
        <f t="shared" si="76"/>
        <v>6.965079365079365</v>
      </c>
      <c r="L808" s="201">
        <v>2575565</v>
      </c>
      <c r="M808" s="200">
        <v>271966</v>
      </c>
      <c r="N808" s="133">
        <f t="shared" si="78"/>
        <v>9.470172742181008</v>
      </c>
      <c r="O808" s="352"/>
      <c r="P808" s="334"/>
      <c r="Q808" s="83"/>
      <c r="R808" s="83"/>
      <c r="S808" s="83"/>
      <c r="T808" s="83"/>
    </row>
    <row r="809" spans="1:20" ht="12" customHeight="1">
      <c r="A809" s="290">
        <v>805</v>
      </c>
      <c r="B809" s="151" t="s">
        <v>350</v>
      </c>
      <c r="C809" s="171">
        <v>40102</v>
      </c>
      <c r="D809" s="194" t="s">
        <v>324</v>
      </c>
      <c r="E809" s="156">
        <v>99</v>
      </c>
      <c r="F809" s="156">
        <v>1</v>
      </c>
      <c r="G809" s="156">
        <v>21</v>
      </c>
      <c r="H809" s="157">
        <v>1980</v>
      </c>
      <c r="I809" s="158">
        <v>1500</v>
      </c>
      <c r="J809" s="129">
        <f t="shared" si="77"/>
        <v>1500</v>
      </c>
      <c r="K809" s="130">
        <f t="shared" si="76"/>
        <v>1.32</v>
      </c>
      <c r="L809" s="154">
        <v>2609662</v>
      </c>
      <c r="M809" s="153">
        <v>281090</v>
      </c>
      <c r="N809" s="133">
        <f t="shared" si="78"/>
        <v>9.28407983208225</v>
      </c>
      <c r="O809" s="147"/>
      <c r="P809" s="334"/>
      <c r="Q809" s="83"/>
      <c r="R809" s="83"/>
      <c r="S809" s="83"/>
      <c r="T809" s="83"/>
    </row>
    <row r="810" spans="1:20" ht="12" customHeight="1">
      <c r="A810" s="290">
        <v>806</v>
      </c>
      <c r="B810" s="151" t="s">
        <v>350</v>
      </c>
      <c r="C810" s="139">
        <v>40102</v>
      </c>
      <c r="D810" s="194" t="s">
        <v>324</v>
      </c>
      <c r="E810" s="146">
        <v>99</v>
      </c>
      <c r="F810" s="146">
        <v>5</v>
      </c>
      <c r="G810" s="146">
        <v>13</v>
      </c>
      <c r="H810" s="150">
        <v>1237</v>
      </c>
      <c r="I810" s="152">
        <v>218</v>
      </c>
      <c r="J810" s="129">
        <f t="shared" si="77"/>
        <v>43.6</v>
      </c>
      <c r="K810" s="130">
        <f t="shared" si="76"/>
        <v>5.674311926605505</v>
      </c>
      <c r="L810" s="154">
        <v>2576802</v>
      </c>
      <c r="M810" s="153">
        <v>272184</v>
      </c>
      <c r="N810" s="133">
        <f t="shared" si="78"/>
        <v>9.467132527995767</v>
      </c>
      <c r="O810" s="149"/>
      <c r="P810" s="334"/>
      <c r="Q810" s="83"/>
      <c r="R810" s="83"/>
      <c r="S810" s="83"/>
      <c r="T810" s="83"/>
    </row>
    <row r="811" spans="1:20" ht="12" customHeight="1">
      <c r="A811" s="290">
        <v>807</v>
      </c>
      <c r="B811" s="123" t="s">
        <v>350</v>
      </c>
      <c r="C811" s="139">
        <v>40102</v>
      </c>
      <c r="D811" s="194" t="s">
        <v>324</v>
      </c>
      <c r="E811" s="156">
        <v>99</v>
      </c>
      <c r="F811" s="156">
        <v>1</v>
      </c>
      <c r="G811" s="156">
        <v>27</v>
      </c>
      <c r="H811" s="157">
        <v>1127</v>
      </c>
      <c r="I811" s="158">
        <v>307</v>
      </c>
      <c r="J811" s="129">
        <f t="shared" si="77"/>
        <v>307</v>
      </c>
      <c r="K811" s="130">
        <f t="shared" si="76"/>
        <v>3.6710097719869705</v>
      </c>
      <c r="L811" s="154">
        <v>2614015</v>
      </c>
      <c r="M811" s="153">
        <v>282816</v>
      </c>
      <c r="N811" s="133">
        <f t="shared" si="78"/>
        <v>9.242811580674362</v>
      </c>
      <c r="O811" s="149"/>
      <c r="P811" s="334"/>
      <c r="Q811" s="83"/>
      <c r="R811" s="83"/>
      <c r="S811" s="83"/>
      <c r="T811" s="83"/>
    </row>
    <row r="812" spans="1:20" ht="12" customHeight="1">
      <c r="A812" s="290">
        <v>808</v>
      </c>
      <c r="B812" s="123" t="s">
        <v>350</v>
      </c>
      <c r="C812" s="139">
        <v>40102</v>
      </c>
      <c r="D812" s="194" t="s">
        <v>324</v>
      </c>
      <c r="E812" s="156">
        <v>99</v>
      </c>
      <c r="F812" s="156">
        <v>1</v>
      </c>
      <c r="G812" s="156">
        <v>30</v>
      </c>
      <c r="H812" s="157">
        <v>609</v>
      </c>
      <c r="I812" s="184">
        <v>280</v>
      </c>
      <c r="J812" s="129">
        <f t="shared" si="77"/>
        <v>280</v>
      </c>
      <c r="K812" s="130">
        <f t="shared" si="76"/>
        <v>2.175</v>
      </c>
      <c r="L812" s="144">
        <v>2618452</v>
      </c>
      <c r="M812" s="143">
        <v>284156</v>
      </c>
      <c r="N812" s="133">
        <f t="shared" si="78"/>
        <v>9.214839735919707</v>
      </c>
      <c r="O812" s="110"/>
      <c r="P812" s="334"/>
      <c r="Q812" s="83"/>
      <c r="R812" s="83"/>
      <c r="S812" s="83"/>
      <c r="T812" s="83"/>
    </row>
    <row r="813" spans="1:20" ht="12" customHeight="1">
      <c r="A813" s="290">
        <v>809</v>
      </c>
      <c r="B813" s="123" t="s">
        <v>350</v>
      </c>
      <c r="C813" s="139">
        <v>40102</v>
      </c>
      <c r="D813" s="194" t="s">
        <v>324</v>
      </c>
      <c r="E813" s="146">
        <v>99</v>
      </c>
      <c r="F813" s="146">
        <v>1</v>
      </c>
      <c r="G813" s="146">
        <v>32</v>
      </c>
      <c r="H813" s="137">
        <v>609</v>
      </c>
      <c r="I813" s="135">
        <v>280</v>
      </c>
      <c r="J813" s="129">
        <f t="shared" si="77"/>
        <v>280</v>
      </c>
      <c r="K813" s="130">
        <f t="shared" si="76"/>
        <v>2.175</v>
      </c>
      <c r="L813" s="144">
        <v>2619061</v>
      </c>
      <c r="M813" s="143">
        <v>284436</v>
      </c>
      <c r="N813" s="133">
        <f t="shared" si="78"/>
        <v>9.20790968794386</v>
      </c>
      <c r="O813" s="109">
        <v>1</v>
      </c>
      <c r="P813" s="334"/>
      <c r="Q813" s="83"/>
      <c r="R813" s="83"/>
      <c r="S813" s="83"/>
      <c r="T813" s="83"/>
    </row>
    <row r="814" spans="1:20" ht="12" customHeight="1">
      <c r="A814" s="290">
        <v>810</v>
      </c>
      <c r="B814" s="123" t="s">
        <v>350</v>
      </c>
      <c r="C814" s="124">
        <v>40102</v>
      </c>
      <c r="D814" s="125" t="s">
        <v>324</v>
      </c>
      <c r="E814" s="126">
        <v>99</v>
      </c>
      <c r="F814" s="126">
        <v>1</v>
      </c>
      <c r="G814" s="126">
        <v>33</v>
      </c>
      <c r="H814" s="127">
        <v>608</v>
      </c>
      <c r="I814" s="128">
        <v>280</v>
      </c>
      <c r="J814" s="129">
        <f t="shared" si="77"/>
        <v>280</v>
      </c>
      <c r="K814" s="130">
        <f t="shared" si="76"/>
        <v>2.1714285714285713</v>
      </c>
      <c r="L814" s="131">
        <v>2619669</v>
      </c>
      <c r="M814" s="132">
        <v>284716</v>
      </c>
      <c r="N814" s="133">
        <f t="shared" si="78"/>
        <v>9.200989758215204</v>
      </c>
      <c r="O814" s="149">
        <v>1</v>
      </c>
      <c r="P814" s="334"/>
      <c r="Q814" s="83"/>
      <c r="R814" s="83"/>
      <c r="S814" s="83"/>
      <c r="T814" s="83"/>
    </row>
    <row r="815" spans="1:20" ht="12" customHeight="1">
      <c r="A815" s="290">
        <v>811</v>
      </c>
      <c r="B815" s="123" t="s">
        <v>350</v>
      </c>
      <c r="C815" s="124">
        <v>40102</v>
      </c>
      <c r="D815" s="125" t="s">
        <v>324</v>
      </c>
      <c r="E815" s="126">
        <v>99</v>
      </c>
      <c r="F815" s="126">
        <v>1</v>
      </c>
      <c r="G815" s="126">
        <v>40</v>
      </c>
      <c r="H815" s="127">
        <v>459</v>
      </c>
      <c r="I815" s="128">
        <v>51</v>
      </c>
      <c r="J815" s="129">
        <f t="shared" si="77"/>
        <v>51</v>
      </c>
      <c r="K815" s="130">
        <f t="shared" si="76"/>
        <v>9</v>
      </c>
      <c r="L815" s="131">
        <v>2620813</v>
      </c>
      <c r="M815" s="132">
        <v>284904</v>
      </c>
      <c r="N815" s="133">
        <f t="shared" si="78"/>
        <v>9.198933675904867</v>
      </c>
      <c r="O815" s="148">
        <v>1</v>
      </c>
      <c r="P815" s="334"/>
      <c r="Q815" s="83"/>
      <c r="R815" s="83"/>
      <c r="S815" s="83"/>
      <c r="T815" s="83"/>
    </row>
    <row r="816" spans="1:20" ht="12" customHeight="1">
      <c r="A816" s="290">
        <v>812</v>
      </c>
      <c r="B816" s="151" t="s">
        <v>253</v>
      </c>
      <c r="C816" s="139">
        <v>40095</v>
      </c>
      <c r="D816" s="145" t="s">
        <v>326</v>
      </c>
      <c r="E816" s="146">
        <v>52</v>
      </c>
      <c r="F816" s="146">
        <v>2</v>
      </c>
      <c r="G816" s="146">
        <v>8</v>
      </c>
      <c r="H816" s="137">
        <v>2968</v>
      </c>
      <c r="I816" s="135">
        <v>742</v>
      </c>
      <c r="J816" s="129">
        <f t="shared" si="77"/>
        <v>371</v>
      </c>
      <c r="K816" s="130">
        <f t="shared" si="76"/>
        <v>4</v>
      </c>
      <c r="L816" s="138">
        <f>108013.25+68864+27976+10214+2402+2209+1188+2968</f>
        <v>223834.25</v>
      </c>
      <c r="M816" s="136">
        <f>12202+8144+4339+1841+481+460+297+742</f>
        <v>28506</v>
      </c>
      <c r="N816" s="133">
        <f t="shared" si="78"/>
        <v>7.852180242755911</v>
      </c>
      <c r="O816" s="159">
        <v>1</v>
      </c>
      <c r="P816" s="334"/>
      <c r="Q816" s="83"/>
      <c r="R816" s="83"/>
      <c r="S816" s="83"/>
      <c r="T816" s="83"/>
    </row>
    <row r="817" spans="1:20" ht="12" customHeight="1">
      <c r="A817" s="290">
        <v>813</v>
      </c>
      <c r="B817" s="151" t="s">
        <v>253</v>
      </c>
      <c r="C817" s="139">
        <v>40095</v>
      </c>
      <c r="D817" s="145" t="s">
        <v>326</v>
      </c>
      <c r="E817" s="156">
        <v>52</v>
      </c>
      <c r="F817" s="156">
        <v>1</v>
      </c>
      <c r="G817" s="156">
        <v>11</v>
      </c>
      <c r="H817" s="157">
        <v>2427.4</v>
      </c>
      <c r="I817" s="158">
        <v>599</v>
      </c>
      <c r="J817" s="129">
        <f t="shared" si="77"/>
        <v>599</v>
      </c>
      <c r="K817" s="130">
        <f t="shared" si="76"/>
        <v>4.052420701168614</v>
      </c>
      <c r="L817" s="154">
        <f>108013.25+68864+27976+10214+2402+2209+1188+2968+1780+1780+2427.4</f>
        <v>229821.65</v>
      </c>
      <c r="M817" s="153">
        <f>12202+8144+4339+1841+481+460+297+742+445+445+599</f>
        <v>29995</v>
      </c>
      <c r="N817" s="133">
        <f t="shared" si="78"/>
        <v>7.661998666444407</v>
      </c>
      <c r="O817" s="149">
        <v>1</v>
      </c>
      <c r="P817" s="334"/>
      <c r="Q817" s="83"/>
      <c r="R817" s="83"/>
      <c r="S817" s="83"/>
      <c r="T817" s="83"/>
    </row>
    <row r="818" spans="1:20" ht="12" customHeight="1">
      <c r="A818" s="290">
        <v>814</v>
      </c>
      <c r="B818" s="151" t="s">
        <v>253</v>
      </c>
      <c r="C818" s="139">
        <v>40095</v>
      </c>
      <c r="D818" s="145" t="s">
        <v>326</v>
      </c>
      <c r="E818" s="146">
        <v>52</v>
      </c>
      <c r="F818" s="146">
        <v>1</v>
      </c>
      <c r="G818" s="146">
        <v>14</v>
      </c>
      <c r="H818" s="137">
        <v>1780</v>
      </c>
      <c r="I818" s="135">
        <v>445</v>
      </c>
      <c r="J818" s="129">
        <f t="shared" si="77"/>
        <v>445</v>
      </c>
      <c r="K818" s="130">
        <f t="shared" si="76"/>
        <v>4</v>
      </c>
      <c r="L818" s="144">
        <f>108013.25+68864+27976+10214+2402+2209+1188+2968+1780+1780+2427.4+364.82+248.58+1780</f>
        <v>232215.05</v>
      </c>
      <c r="M818" s="143">
        <f>12202+8144+4339+1841+481+460+297+742+445+445+599+87+57+445</f>
        <v>30584</v>
      </c>
      <c r="N818" s="133">
        <f t="shared" si="78"/>
        <v>7.592697161914726</v>
      </c>
      <c r="O818" s="108">
        <v>1</v>
      </c>
      <c r="P818" s="334"/>
      <c r="Q818" s="83"/>
      <c r="R818" s="83"/>
      <c r="S818" s="83"/>
      <c r="T818" s="83"/>
    </row>
    <row r="819" spans="1:20" ht="12" customHeight="1">
      <c r="A819" s="290">
        <v>815</v>
      </c>
      <c r="B819" s="151" t="s">
        <v>253</v>
      </c>
      <c r="C819" s="171">
        <v>40095</v>
      </c>
      <c r="D819" s="145" t="s">
        <v>326</v>
      </c>
      <c r="E819" s="156">
        <v>52</v>
      </c>
      <c r="F819" s="156">
        <v>1</v>
      </c>
      <c r="G819" s="156">
        <v>10</v>
      </c>
      <c r="H819" s="157">
        <v>1780</v>
      </c>
      <c r="I819" s="158">
        <v>445</v>
      </c>
      <c r="J819" s="129">
        <f t="shared" si="77"/>
        <v>445</v>
      </c>
      <c r="K819" s="130">
        <f t="shared" si="76"/>
        <v>4</v>
      </c>
      <c r="L819" s="154">
        <f>108013.25+68864+27976+10214+2402+2209+1188+2968+1780+1780</f>
        <v>227394.25</v>
      </c>
      <c r="M819" s="153">
        <f>12202+8144+4339+1841+481+460+297+742+445+445</f>
        <v>29396</v>
      </c>
      <c r="N819" s="133">
        <f t="shared" si="78"/>
        <v>7.73555075520479</v>
      </c>
      <c r="O819" s="149">
        <v>1</v>
      </c>
      <c r="P819" s="334"/>
      <c r="Q819" s="83"/>
      <c r="R819" s="83"/>
      <c r="S819" s="83"/>
      <c r="T819" s="83"/>
    </row>
    <row r="820" spans="1:20" ht="12" customHeight="1">
      <c r="A820" s="290">
        <v>816</v>
      </c>
      <c r="B820" s="151" t="s">
        <v>253</v>
      </c>
      <c r="C820" s="139">
        <v>40095</v>
      </c>
      <c r="D820" s="145" t="s">
        <v>326</v>
      </c>
      <c r="E820" s="146">
        <v>52</v>
      </c>
      <c r="F820" s="146">
        <v>1</v>
      </c>
      <c r="G820" s="146">
        <v>9</v>
      </c>
      <c r="H820" s="150">
        <v>1780</v>
      </c>
      <c r="I820" s="152">
        <v>445</v>
      </c>
      <c r="J820" s="129">
        <f t="shared" si="77"/>
        <v>445</v>
      </c>
      <c r="K820" s="130">
        <f t="shared" si="76"/>
        <v>4</v>
      </c>
      <c r="L820" s="154">
        <f>108013.25+68864+27976+10214+2402+2209+1188+2968+1780</f>
        <v>225614.25</v>
      </c>
      <c r="M820" s="153">
        <f>12202+8144+4339+1841+481+460+297+742+445</f>
        <v>28951</v>
      </c>
      <c r="N820" s="133">
        <f t="shared" si="78"/>
        <v>7.792969154778764</v>
      </c>
      <c r="O820" s="147">
        <v>1</v>
      </c>
      <c r="P820" s="334"/>
      <c r="Q820" s="83"/>
      <c r="R820" s="83"/>
      <c r="S820" s="83"/>
      <c r="T820" s="83"/>
    </row>
    <row r="821" spans="1:20" ht="12" customHeight="1">
      <c r="A821" s="290">
        <v>817</v>
      </c>
      <c r="B821" s="151" t="s">
        <v>253</v>
      </c>
      <c r="C821" s="139">
        <v>40095</v>
      </c>
      <c r="D821" s="145" t="s">
        <v>326</v>
      </c>
      <c r="E821" s="146">
        <v>52</v>
      </c>
      <c r="F821" s="146">
        <v>1</v>
      </c>
      <c r="G821" s="146">
        <v>7</v>
      </c>
      <c r="H821" s="127">
        <v>1188</v>
      </c>
      <c r="I821" s="135">
        <v>297</v>
      </c>
      <c r="J821" s="129">
        <f t="shared" si="77"/>
        <v>297</v>
      </c>
      <c r="K821" s="130">
        <f t="shared" si="76"/>
        <v>4</v>
      </c>
      <c r="L821" s="131">
        <f>108013.25+68864+27976+10214+2402+2209+1188</f>
        <v>220866.25</v>
      </c>
      <c r="M821" s="136">
        <f>12202+8144+4339+1841+481+460+297</f>
        <v>27764</v>
      </c>
      <c r="N821" s="133">
        <f t="shared" si="78"/>
        <v>7.955130744849446</v>
      </c>
      <c r="O821" s="149">
        <v>1</v>
      </c>
      <c r="P821" s="334"/>
      <c r="Q821" s="83"/>
      <c r="R821" s="83"/>
      <c r="S821" s="83"/>
      <c r="T821" s="83"/>
    </row>
    <row r="822" spans="1:20" ht="12" customHeight="1">
      <c r="A822" s="290">
        <v>818</v>
      </c>
      <c r="B822" s="151" t="s">
        <v>253</v>
      </c>
      <c r="C822" s="139">
        <v>40095</v>
      </c>
      <c r="D822" s="145" t="s">
        <v>326</v>
      </c>
      <c r="E822" s="156">
        <v>52</v>
      </c>
      <c r="F822" s="156">
        <v>1</v>
      </c>
      <c r="G822" s="156">
        <v>12</v>
      </c>
      <c r="H822" s="157">
        <v>364.82</v>
      </c>
      <c r="I822" s="158">
        <v>87</v>
      </c>
      <c r="J822" s="129">
        <f t="shared" si="77"/>
        <v>87</v>
      </c>
      <c r="K822" s="130">
        <f t="shared" si="76"/>
        <v>4.193333333333333</v>
      </c>
      <c r="L822" s="154">
        <f>108013.25+68864+27976+10214+2402+2209+1188+2968+1780+1780+2427.4+364.82</f>
        <v>230186.47</v>
      </c>
      <c r="M822" s="153">
        <f>12202+8144+4339+1841+481+460+297+742+445+445+599+87</f>
        <v>30082</v>
      </c>
      <c r="N822" s="133">
        <f t="shared" si="78"/>
        <v>7.651966956984243</v>
      </c>
      <c r="O822" s="149">
        <v>1</v>
      </c>
      <c r="P822" s="334"/>
      <c r="Q822" s="83"/>
      <c r="R822" s="83"/>
      <c r="S822" s="83"/>
      <c r="T822" s="83"/>
    </row>
    <row r="823" spans="1:20" ht="12" customHeight="1">
      <c r="A823" s="290">
        <v>819</v>
      </c>
      <c r="B823" s="151" t="s">
        <v>253</v>
      </c>
      <c r="C823" s="139">
        <v>40095</v>
      </c>
      <c r="D823" s="145" t="s">
        <v>326</v>
      </c>
      <c r="E823" s="156">
        <v>52</v>
      </c>
      <c r="F823" s="156">
        <v>1</v>
      </c>
      <c r="G823" s="156">
        <v>13</v>
      </c>
      <c r="H823" s="157">
        <v>248.58</v>
      </c>
      <c r="I823" s="184">
        <v>57</v>
      </c>
      <c r="J823" s="129">
        <f t="shared" si="77"/>
        <v>57</v>
      </c>
      <c r="K823" s="130">
        <f t="shared" si="76"/>
        <v>4.361052631578947</v>
      </c>
      <c r="L823" s="144">
        <f>108013.25+68864+27976+10214+2402+2209+1188+2968+1780+1780+2427.4+364.82+248.58</f>
        <v>230435.05</v>
      </c>
      <c r="M823" s="143">
        <f>12202+8144+4339+1841+481+460+297+742+445+445+599+87+57</f>
        <v>30139</v>
      </c>
      <c r="N823" s="133">
        <f t="shared" si="78"/>
        <v>7.645743057168453</v>
      </c>
      <c r="O823" s="170">
        <v>1</v>
      </c>
      <c r="P823" s="334"/>
      <c r="Q823" s="83"/>
      <c r="R823" s="83"/>
      <c r="S823" s="83"/>
      <c r="T823" s="83"/>
    </row>
    <row r="824" spans="1:20" ht="12" customHeight="1">
      <c r="A824" s="290">
        <v>820</v>
      </c>
      <c r="B824" s="151" t="s">
        <v>254</v>
      </c>
      <c r="C824" s="139">
        <v>39822</v>
      </c>
      <c r="D824" s="140" t="s">
        <v>423</v>
      </c>
      <c r="E824" s="146">
        <v>175</v>
      </c>
      <c r="F824" s="146">
        <v>1</v>
      </c>
      <c r="G824" s="146">
        <v>25</v>
      </c>
      <c r="H824" s="137">
        <v>30203</v>
      </c>
      <c r="I824" s="135">
        <v>6041</v>
      </c>
      <c r="J824" s="129">
        <f t="shared" si="77"/>
        <v>6041</v>
      </c>
      <c r="K824" s="130">
        <f t="shared" si="76"/>
        <v>4.999668928985267</v>
      </c>
      <c r="L824" s="138">
        <v>3549661</v>
      </c>
      <c r="M824" s="136">
        <v>486849</v>
      </c>
      <c r="N824" s="133">
        <f t="shared" si="78"/>
        <v>7.291092309935935</v>
      </c>
      <c r="O824" s="147">
        <v>1</v>
      </c>
      <c r="P824" s="334"/>
      <c r="Q824" s="83"/>
      <c r="R824" s="83"/>
      <c r="S824" s="83"/>
      <c r="T824" s="83"/>
    </row>
    <row r="825" spans="1:20" ht="12" customHeight="1">
      <c r="A825" s="290">
        <v>821</v>
      </c>
      <c r="B825" s="151" t="s">
        <v>255</v>
      </c>
      <c r="C825" s="139">
        <v>39822</v>
      </c>
      <c r="D825" s="155" t="s">
        <v>423</v>
      </c>
      <c r="E825" s="146">
        <v>175</v>
      </c>
      <c r="F825" s="146">
        <v>1</v>
      </c>
      <c r="G825" s="146">
        <v>26</v>
      </c>
      <c r="H825" s="150">
        <v>5700</v>
      </c>
      <c r="I825" s="152">
        <v>1140</v>
      </c>
      <c r="J825" s="129">
        <f t="shared" si="77"/>
        <v>1140</v>
      </c>
      <c r="K825" s="130">
        <f t="shared" si="76"/>
        <v>5</v>
      </c>
      <c r="L825" s="154">
        <v>3555361</v>
      </c>
      <c r="M825" s="153">
        <v>487989</v>
      </c>
      <c r="N825" s="133">
        <f t="shared" si="78"/>
        <v>7.285740047419102</v>
      </c>
      <c r="O825" s="149"/>
      <c r="P825" s="334"/>
      <c r="Q825" s="83"/>
      <c r="R825" s="83"/>
      <c r="S825" s="83"/>
      <c r="T825" s="83"/>
    </row>
    <row r="826" spans="1:20" ht="12" customHeight="1">
      <c r="A826" s="290">
        <v>822</v>
      </c>
      <c r="B826" s="123" t="s">
        <v>254</v>
      </c>
      <c r="C826" s="139">
        <v>39822</v>
      </c>
      <c r="D826" s="145" t="s">
        <v>423</v>
      </c>
      <c r="E826" s="146">
        <v>175</v>
      </c>
      <c r="F826" s="146">
        <v>1</v>
      </c>
      <c r="G826" s="146">
        <v>28</v>
      </c>
      <c r="H826" s="150">
        <v>2376</v>
      </c>
      <c r="I826" s="142">
        <v>475</v>
      </c>
      <c r="J826" s="129">
        <f t="shared" si="77"/>
        <v>475</v>
      </c>
      <c r="K826" s="130">
        <f t="shared" si="76"/>
        <v>5.002105263157895</v>
      </c>
      <c r="L826" s="144">
        <v>3559247</v>
      </c>
      <c r="M826" s="143">
        <v>488766</v>
      </c>
      <c r="N826" s="133">
        <f t="shared" si="78"/>
        <v>7.282108411796238</v>
      </c>
      <c r="O826" s="108">
        <v>1</v>
      </c>
      <c r="P826" s="334"/>
      <c r="Q826" s="83"/>
      <c r="R826" s="83"/>
      <c r="S826" s="83"/>
      <c r="T826" s="83"/>
    </row>
    <row r="827" spans="1:20" ht="12" customHeight="1">
      <c r="A827" s="290">
        <v>823</v>
      </c>
      <c r="B827" s="123" t="s">
        <v>254</v>
      </c>
      <c r="C827" s="139">
        <v>39822</v>
      </c>
      <c r="D827" s="190" t="s">
        <v>423</v>
      </c>
      <c r="E827" s="156">
        <v>175</v>
      </c>
      <c r="F827" s="156">
        <v>1</v>
      </c>
      <c r="G827" s="156">
        <v>27</v>
      </c>
      <c r="H827" s="157">
        <v>1510</v>
      </c>
      <c r="I827" s="184">
        <v>302</v>
      </c>
      <c r="J827" s="129">
        <f t="shared" si="77"/>
        <v>302</v>
      </c>
      <c r="K827" s="130">
        <f t="shared" si="76"/>
        <v>5</v>
      </c>
      <c r="L827" s="144">
        <v>3556871</v>
      </c>
      <c r="M827" s="143">
        <v>488291</v>
      </c>
      <c r="N827" s="133">
        <f t="shared" si="78"/>
        <v>7.284326354571352</v>
      </c>
      <c r="O827" s="149">
        <v>1</v>
      </c>
      <c r="P827" s="334"/>
      <c r="Q827" s="83"/>
      <c r="R827" s="83"/>
      <c r="S827" s="83"/>
      <c r="T827" s="83"/>
    </row>
    <row r="828" spans="1:20" ht="12" customHeight="1">
      <c r="A828" s="290">
        <v>824</v>
      </c>
      <c r="B828" s="123" t="s">
        <v>178</v>
      </c>
      <c r="C828" s="124">
        <v>39843</v>
      </c>
      <c r="D828" s="125" t="s">
        <v>338</v>
      </c>
      <c r="E828" s="126">
        <v>80</v>
      </c>
      <c r="F828" s="126">
        <v>1</v>
      </c>
      <c r="G828" s="126">
        <v>19</v>
      </c>
      <c r="H828" s="127">
        <v>2376</v>
      </c>
      <c r="I828" s="128">
        <v>594</v>
      </c>
      <c r="J828" s="129">
        <f t="shared" si="77"/>
        <v>594</v>
      </c>
      <c r="K828" s="130">
        <f t="shared" si="76"/>
        <v>4</v>
      </c>
      <c r="L828" s="131">
        <f>667928.5+422494.5+139288+71324.5+23049.5+32432+3540.5+7287+4043+3439+1920+354+1623+2298+1780+163+2200+1276.5+2376</f>
        <v>1388817</v>
      </c>
      <c r="M828" s="132">
        <f>67031+44640+16046+10311+3717+6651+677+1565+893+611+318+68+399+572+445+33+509+98+594</f>
        <v>155178</v>
      </c>
      <c r="N828" s="133">
        <f t="shared" si="78"/>
        <v>8.949831806054982</v>
      </c>
      <c r="O828" s="109">
        <v>1</v>
      </c>
      <c r="P828" s="334"/>
      <c r="Q828" s="83"/>
      <c r="R828" s="83"/>
      <c r="S828" s="83"/>
      <c r="T828" s="83"/>
    </row>
    <row r="829" spans="1:20" ht="12" customHeight="1">
      <c r="A829" s="290">
        <v>825</v>
      </c>
      <c r="B829" s="195" t="s">
        <v>256</v>
      </c>
      <c r="C829" s="196">
        <v>40165</v>
      </c>
      <c r="D829" s="194" t="s">
        <v>324</v>
      </c>
      <c r="E829" s="197">
        <v>109</v>
      </c>
      <c r="F829" s="197">
        <v>70</v>
      </c>
      <c r="G829" s="197">
        <v>3</v>
      </c>
      <c r="H829" s="198">
        <v>175077</v>
      </c>
      <c r="I829" s="199">
        <v>16879</v>
      </c>
      <c r="J829" s="129">
        <f aca="true" t="shared" si="79" ref="J829:J859">I829/F829</f>
        <v>241.12857142857143</v>
      </c>
      <c r="K829" s="130">
        <f t="shared" si="76"/>
        <v>10.372474672670181</v>
      </c>
      <c r="L829" s="201">
        <v>1207284</v>
      </c>
      <c r="M829" s="200">
        <v>120991</v>
      </c>
      <c r="N829" s="133">
        <f aca="true" t="shared" si="80" ref="N829:N859">+L829/M829</f>
        <v>9.97829590630708</v>
      </c>
      <c r="O829" s="159">
        <v>1</v>
      </c>
      <c r="P829" s="334"/>
      <c r="Q829" s="83"/>
      <c r="R829" s="83"/>
      <c r="S829" s="83"/>
      <c r="T829" s="83"/>
    </row>
    <row r="830" spans="1:20" ht="12" customHeight="1">
      <c r="A830" s="290">
        <v>826</v>
      </c>
      <c r="B830" s="151" t="s">
        <v>257</v>
      </c>
      <c r="C830" s="139">
        <v>40165</v>
      </c>
      <c r="D830" s="194" t="s">
        <v>324</v>
      </c>
      <c r="E830" s="146">
        <v>109</v>
      </c>
      <c r="F830" s="146">
        <v>39</v>
      </c>
      <c r="G830" s="146">
        <v>4</v>
      </c>
      <c r="H830" s="150">
        <v>54378</v>
      </c>
      <c r="I830" s="152">
        <v>5850</v>
      </c>
      <c r="J830" s="129">
        <f t="shared" si="79"/>
        <v>150</v>
      </c>
      <c r="K830" s="130">
        <f t="shared" si="76"/>
        <v>9.295384615384615</v>
      </c>
      <c r="L830" s="154">
        <v>1261662</v>
      </c>
      <c r="M830" s="153">
        <v>126841</v>
      </c>
      <c r="N830" s="133">
        <f t="shared" si="80"/>
        <v>9.946799536427497</v>
      </c>
      <c r="O830" s="149">
        <v>1</v>
      </c>
      <c r="P830" s="334"/>
      <c r="Q830" s="83"/>
      <c r="R830" s="83"/>
      <c r="S830" s="83"/>
      <c r="T830" s="83"/>
    </row>
    <row r="831" spans="1:20" ht="12" customHeight="1">
      <c r="A831" s="290">
        <v>827</v>
      </c>
      <c r="B831" s="151" t="s">
        <v>257</v>
      </c>
      <c r="C831" s="139">
        <v>40165</v>
      </c>
      <c r="D831" s="194" t="s">
        <v>324</v>
      </c>
      <c r="E831" s="146">
        <v>109</v>
      </c>
      <c r="F831" s="146">
        <v>19</v>
      </c>
      <c r="G831" s="146">
        <v>5</v>
      </c>
      <c r="H831" s="150">
        <v>16797</v>
      </c>
      <c r="I831" s="142">
        <v>3103</v>
      </c>
      <c r="J831" s="129">
        <f t="shared" si="79"/>
        <v>163.31578947368422</v>
      </c>
      <c r="K831" s="130">
        <f t="shared" si="76"/>
        <v>5.413148565903964</v>
      </c>
      <c r="L831" s="154">
        <v>1278459</v>
      </c>
      <c r="M831" s="143">
        <v>129944</v>
      </c>
      <c r="N831" s="133">
        <f t="shared" si="80"/>
        <v>9.838538139506248</v>
      </c>
      <c r="O831" s="149">
        <v>1</v>
      </c>
      <c r="P831" s="334"/>
      <c r="Q831" s="83"/>
      <c r="R831" s="83"/>
      <c r="S831" s="83"/>
      <c r="T831" s="83"/>
    </row>
    <row r="832" spans="1:20" ht="12" customHeight="1">
      <c r="A832" s="290">
        <v>828</v>
      </c>
      <c r="B832" s="151" t="s">
        <v>257</v>
      </c>
      <c r="C832" s="139">
        <v>40165</v>
      </c>
      <c r="D832" s="194" t="s">
        <v>324</v>
      </c>
      <c r="E832" s="146">
        <v>109</v>
      </c>
      <c r="F832" s="146">
        <v>3</v>
      </c>
      <c r="G832" s="146">
        <v>7</v>
      </c>
      <c r="H832" s="141">
        <v>3736</v>
      </c>
      <c r="I832" s="142">
        <v>537</v>
      </c>
      <c r="J832" s="129">
        <f t="shared" si="79"/>
        <v>179</v>
      </c>
      <c r="K832" s="130">
        <f t="shared" si="76"/>
        <v>6.957169459962756</v>
      </c>
      <c r="L832" s="144">
        <v>1285449</v>
      </c>
      <c r="M832" s="143">
        <v>130964</v>
      </c>
      <c r="N832" s="133">
        <f t="shared" si="80"/>
        <v>9.81528511652057</v>
      </c>
      <c r="O832" s="149">
        <v>1</v>
      </c>
      <c r="P832" s="334"/>
      <c r="Q832" s="83"/>
      <c r="R832" s="83"/>
      <c r="S832" s="83"/>
      <c r="T832" s="83"/>
    </row>
    <row r="833" spans="1:20" ht="12" customHeight="1">
      <c r="A833" s="290">
        <v>829</v>
      </c>
      <c r="B833" s="151" t="s">
        <v>257</v>
      </c>
      <c r="C833" s="139">
        <v>40165</v>
      </c>
      <c r="D833" s="194" t="s">
        <v>324</v>
      </c>
      <c r="E833" s="146">
        <v>109</v>
      </c>
      <c r="F833" s="146">
        <v>5</v>
      </c>
      <c r="G833" s="146">
        <v>6</v>
      </c>
      <c r="H833" s="141">
        <v>3254</v>
      </c>
      <c r="I833" s="142">
        <v>483</v>
      </c>
      <c r="J833" s="129">
        <f t="shared" si="79"/>
        <v>96.6</v>
      </c>
      <c r="K833" s="130">
        <f t="shared" si="76"/>
        <v>6.737060041407868</v>
      </c>
      <c r="L833" s="144">
        <v>1281713</v>
      </c>
      <c r="M833" s="143">
        <v>130427</v>
      </c>
      <c r="N833" s="133">
        <f t="shared" si="80"/>
        <v>9.827052680809954</v>
      </c>
      <c r="O833" s="149">
        <v>1</v>
      </c>
      <c r="P833" s="334"/>
      <c r="Q833" s="83"/>
      <c r="R833" s="83"/>
      <c r="S833" s="83"/>
      <c r="T833" s="83"/>
    </row>
    <row r="834" spans="1:20" ht="12" customHeight="1">
      <c r="A834" s="290">
        <v>830</v>
      </c>
      <c r="B834" s="151" t="s">
        <v>257</v>
      </c>
      <c r="C834" s="139">
        <v>40165</v>
      </c>
      <c r="D834" s="194" t="s">
        <v>324</v>
      </c>
      <c r="E834" s="146">
        <v>109</v>
      </c>
      <c r="F834" s="146">
        <v>1</v>
      </c>
      <c r="G834" s="146">
        <v>8</v>
      </c>
      <c r="H834" s="141">
        <v>1155</v>
      </c>
      <c r="I834" s="142">
        <v>165</v>
      </c>
      <c r="J834" s="129">
        <f t="shared" si="79"/>
        <v>165</v>
      </c>
      <c r="K834" s="130">
        <f t="shared" si="76"/>
        <v>7</v>
      </c>
      <c r="L834" s="144">
        <v>1286604</v>
      </c>
      <c r="M834" s="143">
        <v>131129</v>
      </c>
      <c r="N834" s="133">
        <f t="shared" si="80"/>
        <v>9.811742635115039</v>
      </c>
      <c r="O834" s="149">
        <v>1</v>
      </c>
      <c r="P834" s="334"/>
      <c r="Q834" s="83"/>
      <c r="R834" s="83"/>
      <c r="S834" s="83"/>
      <c r="T834" s="83"/>
    </row>
    <row r="835" spans="1:20" ht="12" customHeight="1">
      <c r="A835" s="290">
        <v>831</v>
      </c>
      <c r="B835" s="123" t="s">
        <v>256</v>
      </c>
      <c r="C835" s="139">
        <v>40165</v>
      </c>
      <c r="D835" s="194" t="s">
        <v>324</v>
      </c>
      <c r="E835" s="146">
        <v>109</v>
      </c>
      <c r="F835" s="146">
        <v>1</v>
      </c>
      <c r="G835" s="156">
        <v>17</v>
      </c>
      <c r="H835" s="157">
        <v>1028</v>
      </c>
      <c r="I835" s="158">
        <v>139</v>
      </c>
      <c r="J835" s="129">
        <f t="shared" si="79"/>
        <v>139</v>
      </c>
      <c r="K835" s="130">
        <f t="shared" si="76"/>
        <v>7.39568345323741</v>
      </c>
      <c r="L835" s="154">
        <v>1288732</v>
      </c>
      <c r="M835" s="153">
        <v>131421</v>
      </c>
      <c r="N835" s="133">
        <f t="shared" si="80"/>
        <v>9.806134483834395</v>
      </c>
      <c r="O835" s="170"/>
      <c r="P835" s="334"/>
      <c r="Q835" s="83"/>
      <c r="R835" s="83"/>
      <c r="S835" s="83"/>
      <c r="T835" s="83"/>
    </row>
    <row r="836" spans="1:20" ht="12" customHeight="1">
      <c r="A836" s="290">
        <v>832</v>
      </c>
      <c r="B836" s="151" t="s">
        <v>257</v>
      </c>
      <c r="C836" s="139">
        <v>40165</v>
      </c>
      <c r="D836" s="194" t="s">
        <v>324</v>
      </c>
      <c r="E836" s="146">
        <v>109</v>
      </c>
      <c r="F836" s="146">
        <v>1</v>
      </c>
      <c r="G836" s="146">
        <v>9</v>
      </c>
      <c r="H836" s="150">
        <v>749</v>
      </c>
      <c r="I836" s="152">
        <v>107</v>
      </c>
      <c r="J836" s="129">
        <f t="shared" si="79"/>
        <v>107</v>
      </c>
      <c r="K836" s="130">
        <f t="shared" si="76"/>
        <v>7</v>
      </c>
      <c r="L836" s="154">
        <v>1287353</v>
      </c>
      <c r="M836" s="153">
        <v>131236</v>
      </c>
      <c r="N836" s="133">
        <f t="shared" si="80"/>
        <v>9.809450150873236</v>
      </c>
      <c r="O836" s="147"/>
      <c r="P836" s="334"/>
      <c r="Q836" s="83"/>
      <c r="R836" s="83"/>
      <c r="S836" s="83"/>
      <c r="T836" s="83"/>
    </row>
    <row r="837" spans="1:20" ht="12" customHeight="1">
      <c r="A837" s="290">
        <v>833</v>
      </c>
      <c r="B837" s="151" t="s">
        <v>257</v>
      </c>
      <c r="C837" s="139">
        <v>40165</v>
      </c>
      <c r="D837" s="194" t="s">
        <v>324</v>
      </c>
      <c r="E837" s="146">
        <v>109</v>
      </c>
      <c r="F837" s="146">
        <v>1</v>
      </c>
      <c r="G837" s="146">
        <v>10</v>
      </c>
      <c r="H837" s="150">
        <v>308</v>
      </c>
      <c r="I837" s="152">
        <v>44</v>
      </c>
      <c r="J837" s="129">
        <f t="shared" si="79"/>
        <v>44</v>
      </c>
      <c r="K837" s="130">
        <f t="shared" si="76"/>
        <v>7</v>
      </c>
      <c r="L837" s="154">
        <v>1287661</v>
      </c>
      <c r="M837" s="153">
        <v>131280</v>
      </c>
      <c r="N837" s="133">
        <f t="shared" si="80"/>
        <v>9.808508531383303</v>
      </c>
      <c r="O837" s="149"/>
      <c r="P837" s="334"/>
      <c r="Q837" s="83"/>
      <c r="R837" s="83"/>
      <c r="S837" s="83"/>
      <c r="T837" s="83"/>
    </row>
    <row r="838" spans="1:20" ht="12" customHeight="1">
      <c r="A838" s="290">
        <v>834</v>
      </c>
      <c r="B838" s="183" t="s">
        <v>364</v>
      </c>
      <c r="C838" s="139">
        <v>40046</v>
      </c>
      <c r="D838" s="145" t="s">
        <v>326</v>
      </c>
      <c r="E838" s="146">
        <v>5</v>
      </c>
      <c r="F838" s="146">
        <v>1</v>
      </c>
      <c r="G838" s="146">
        <v>23</v>
      </c>
      <c r="H838" s="137">
        <v>1125</v>
      </c>
      <c r="I838" s="135">
        <v>180</v>
      </c>
      <c r="J838" s="129">
        <f t="shared" si="79"/>
        <v>180</v>
      </c>
      <c r="K838" s="130">
        <f t="shared" si="76"/>
        <v>6.25</v>
      </c>
      <c r="L838" s="138">
        <f>29266.75+13116.25+9279.25+8463+18147.5+3121+4110+6763+926+5173.5+9461.5+192+486+2002+382+72+487.5+555+468+186+222+822+1125</f>
        <v>114827.25</v>
      </c>
      <c r="M838" s="136">
        <f>2425+1257+1223+1013+2360+455+662+1253+138+745+1554+44+79+353+69+18+78+90+76+31+37+133+180</f>
        <v>14273</v>
      </c>
      <c r="N838" s="133">
        <f t="shared" si="80"/>
        <v>8.045067610173055</v>
      </c>
      <c r="O838" s="149"/>
      <c r="P838" s="334"/>
      <c r="Q838" s="83"/>
      <c r="R838" s="83"/>
      <c r="S838" s="83"/>
      <c r="T838" s="83"/>
    </row>
    <row r="839" spans="1:20" ht="12" customHeight="1">
      <c r="A839" s="290">
        <v>835</v>
      </c>
      <c r="B839" s="167" t="s">
        <v>364</v>
      </c>
      <c r="C839" s="139">
        <v>40046</v>
      </c>
      <c r="D839" s="145" t="s">
        <v>326</v>
      </c>
      <c r="E839" s="156">
        <v>5</v>
      </c>
      <c r="F839" s="156">
        <v>1</v>
      </c>
      <c r="G839" s="156">
        <v>22</v>
      </c>
      <c r="H839" s="157">
        <v>822</v>
      </c>
      <c r="I839" s="184">
        <v>133</v>
      </c>
      <c r="J839" s="129">
        <f t="shared" si="79"/>
        <v>133</v>
      </c>
      <c r="K839" s="130">
        <f t="shared" si="76"/>
        <v>6.180451127819549</v>
      </c>
      <c r="L839" s="144">
        <f>29266.75+13116.25+9279.25+8463+18147.5+3121+4110+6763+926+5173.5+9461.5+192+486+2002+382+72+487.5+555+468+186+222+822</f>
        <v>113702.25</v>
      </c>
      <c r="M839" s="143">
        <f>2425+1257+1223+1013+2360+455+662+1253+138+745+1554+44+79+353+69+18+78+90+76+31+37+133</f>
        <v>14093</v>
      </c>
      <c r="N839" s="133">
        <f t="shared" si="80"/>
        <v>8.067994749166253</v>
      </c>
      <c r="O839" s="149"/>
      <c r="P839" s="334"/>
      <c r="Q839" s="83"/>
      <c r="R839" s="83"/>
      <c r="S839" s="83"/>
      <c r="T839" s="83"/>
    </row>
    <row r="840" spans="1:20" ht="12" customHeight="1">
      <c r="A840" s="290">
        <v>836</v>
      </c>
      <c r="B840" s="167" t="s">
        <v>364</v>
      </c>
      <c r="C840" s="168">
        <v>40046</v>
      </c>
      <c r="D840" s="145" t="s">
        <v>326</v>
      </c>
      <c r="E840" s="169">
        <v>5</v>
      </c>
      <c r="F840" s="169">
        <v>1</v>
      </c>
      <c r="G840" s="169">
        <v>18</v>
      </c>
      <c r="H840" s="127">
        <v>555</v>
      </c>
      <c r="I840" s="135">
        <v>90</v>
      </c>
      <c r="J840" s="129">
        <f t="shared" si="79"/>
        <v>90</v>
      </c>
      <c r="K840" s="130">
        <f t="shared" si="76"/>
        <v>6.166666666666667</v>
      </c>
      <c r="L840" s="131">
        <f>29266.75+13116.25+9279.25+8463+18147.5+3121+4110+6763+926+5173.5+9461.5+192+486+2002+382+72+487.5+555</f>
        <v>112004.25</v>
      </c>
      <c r="M840" s="136">
        <f>2425+1257+1223+1013+2360+455+662+1253+138+745+1554+44+79+353+69+18+78+90</f>
        <v>13816</v>
      </c>
      <c r="N840" s="133">
        <f t="shared" si="80"/>
        <v>8.106850752750434</v>
      </c>
      <c r="O840" s="149"/>
      <c r="P840" s="334"/>
      <c r="Q840" s="83"/>
      <c r="R840" s="83"/>
      <c r="S840" s="83"/>
      <c r="T840" s="83"/>
    </row>
    <row r="841" spans="1:20" ht="12" customHeight="1">
      <c r="A841" s="290">
        <v>837</v>
      </c>
      <c r="B841" s="151" t="s">
        <v>364</v>
      </c>
      <c r="C841" s="139">
        <v>40046</v>
      </c>
      <c r="D841" s="145" t="s">
        <v>326</v>
      </c>
      <c r="E841" s="146">
        <v>5</v>
      </c>
      <c r="F841" s="146">
        <v>1</v>
      </c>
      <c r="G841" s="146">
        <v>17</v>
      </c>
      <c r="H841" s="127">
        <v>487.5</v>
      </c>
      <c r="I841" s="128">
        <v>78</v>
      </c>
      <c r="J841" s="129">
        <f t="shared" si="79"/>
        <v>78</v>
      </c>
      <c r="K841" s="130">
        <f t="shared" si="76"/>
        <v>6.25</v>
      </c>
      <c r="L841" s="131">
        <f>29266.75+13116.25+9279.25+8463+18147.5+3121+4110+6763+926+5173.5+9461.5+192+486+2002+382+72+487.5</f>
        <v>111449.25</v>
      </c>
      <c r="M841" s="132">
        <f>2425+1257+1223+1013+2360+455+662+1253+138+745+1554+44+79+353+69+18+78</f>
        <v>13726</v>
      </c>
      <c r="N841" s="133">
        <f t="shared" si="80"/>
        <v>8.119572344455777</v>
      </c>
      <c r="O841" s="149"/>
      <c r="P841" s="334"/>
      <c r="Q841" s="83"/>
      <c r="R841" s="83"/>
      <c r="S841" s="83"/>
      <c r="T841" s="83"/>
    </row>
    <row r="842" spans="1:20" ht="12" customHeight="1">
      <c r="A842" s="290">
        <v>838</v>
      </c>
      <c r="B842" s="151" t="s">
        <v>364</v>
      </c>
      <c r="C842" s="139">
        <v>40046</v>
      </c>
      <c r="D842" s="145" t="s">
        <v>326</v>
      </c>
      <c r="E842" s="146">
        <v>5</v>
      </c>
      <c r="F842" s="146">
        <v>1</v>
      </c>
      <c r="G842" s="146">
        <v>19</v>
      </c>
      <c r="H842" s="137">
        <v>468</v>
      </c>
      <c r="I842" s="135">
        <v>76</v>
      </c>
      <c r="J842" s="129">
        <f t="shared" si="79"/>
        <v>76</v>
      </c>
      <c r="K842" s="130">
        <f t="shared" si="76"/>
        <v>6.157894736842105</v>
      </c>
      <c r="L842" s="138">
        <f>29266.75+13116.25+9279.25+8463+18147.5+3121+4110+6763+926+5173.5+9461.5+192+486+2002+382+72+487.5+555+468</f>
        <v>112472.25</v>
      </c>
      <c r="M842" s="136">
        <f>2425+1257+1223+1013+2360+455+662+1253+138+745+1554+44+79+353+69+18+78+90+76</f>
        <v>13892</v>
      </c>
      <c r="N842" s="133">
        <f t="shared" si="80"/>
        <v>8.096188453786352</v>
      </c>
      <c r="O842" s="149"/>
      <c r="P842" s="334"/>
      <c r="Q842" s="83"/>
      <c r="R842" s="83"/>
      <c r="S842" s="83"/>
      <c r="T842" s="83"/>
    </row>
    <row r="843" spans="1:20" ht="12" customHeight="1">
      <c r="A843" s="290">
        <v>839</v>
      </c>
      <c r="B843" s="151" t="s">
        <v>364</v>
      </c>
      <c r="C843" s="139">
        <v>40046</v>
      </c>
      <c r="D843" s="145" t="s">
        <v>326</v>
      </c>
      <c r="E843" s="146">
        <v>5</v>
      </c>
      <c r="F843" s="146">
        <v>1</v>
      </c>
      <c r="G843" s="146">
        <v>21</v>
      </c>
      <c r="H843" s="141">
        <v>222</v>
      </c>
      <c r="I843" s="142">
        <v>37</v>
      </c>
      <c r="J843" s="129">
        <f t="shared" si="79"/>
        <v>37</v>
      </c>
      <c r="K843" s="130">
        <f t="shared" si="76"/>
        <v>6</v>
      </c>
      <c r="L843" s="144">
        <f>29266.75+13116.25+9279.25+8463+18147.5+3121+4110+6763+926+5173.5+9461.5+192+486+2002+382+72+487.5+555+468+186+222</f>
        <v>112880.25</v>
      </c>
      <c r="M843" s="143">
        <f>2425+1257+1223+1013+2360+455+662+1253+138+745+1554+44+79+353+69+18+78+90+76+31+37</f>
        <v>13960</v>
      </c>
      <c r="N843" s="133">
        <f t="shared" si="80"/>
        <v>8.085977793696275</v>
      </c>
      <c r="O843" s="149"/>
      <c r="P843" s="334"/>
      <c r="Q843" s="83"/>
      <c r="R843" s="83"/>
      <c r="S843" s="83"/>
      <c r="T843" s="83"/>
    </row>
    <row r="844" spans="1:20" ht="12" customHeight="1">
      <c r="A844" s="290">
        <v>840</v>
      </c>
      <c r="B844" s="167" t="s">
        <v>364</v>
      </c>
      <c r="C844" s="168">
        <v>40046</v>
      </c>
      <c r="D844" s="145" t="s">
        <v>326</v>
      </c>
      <c r="E844" s="169">
        <v>5</v>
      </c>
      <c r="F844" s="169">
        <v>1</v>
      </c>
      <c r="G844" s="169">
        <v>20</v>
      </c>
      <c r="H844" s="137">
        <v>186</v>
      </c>
      <c r="I844" s="135">
        <v>31</v>
      </c>
      <c r="J844" s="129">
        <f t="shared" si="79"/>
        <v>31</v>
      </c>
      <c r="K844" s="130">
        <f t="shared" si="76"/>
        <v>6</v>
      </c>
      <c r="L844" s="138">
        <f>29266.75+13116.25+9279.25+8463+18147.5+3121+4110+6763+926+5173.5+9461.5+192+486+2002+382+72+487.5+555+468+186</f>
        <v>112658.25</v>
      </c>
      <c r="M844" s="136">
        <f>2425+1257+1223+1013+2360+455+662+1253+138+745+1554+44+79+353+69+18+78+90+76+31</f>
        <v>13923</v>
      </c>
      <c r="N844" s="133">
        <f t="shared" si="80"/>
        <v>8.091521223874166</v>
      </c>
      <c r="O844" s="149"/>
      <c r="P844" s="334"/>
      <c r="Q844" s="83"/>
      <c r="R844" s="83"/>
      <c r="S844" s="83"/>
      <c r="T844" s="83"/>
    </row>
    <row r="845" spans="1:20" ht="12" customHeight="1">
      <c r="A845" s="290">
        <v>841</v>
      </c>
      <c r="B845" s="151" t="s">
        <v>364</v>
      </c>
      <c r="C845" s="139">
        <v>40046</v>
      </c>
      <c r="D845" s="145" t="s">
        <v>326</v>
      </c>
      <c r="E845" s="146">
        <v>5</v>
      </c>
      <c r="F845" s="146">
        <v>1</v>
      </c>
      <c r="G845" s="146">
        <v>16</v>
      </c>
      <c r="H845" s="127">
        <v>72</v>
      </c>
      <c r="I845" s="128">
        <v>18</v>
      </c>
      <c r="J845" s="129">
        <f t="shared" si="79"/>
        <v>18</v>
      </c>
      <c r="K845" s="130">
        <f t="shared" si="76"/>
        <v>4</v>
      </c>
      <c r="L845" s="131">
        <f>29266.75+13116.25+9279.25+8463+18147.5+3121+4110+6763+926+5173.5+9461.5+192+486+2002+382+72</f>
        <v>110961.75</v>
      </c>
      <c r="M845" s="132">
        <f>2425+1257+1223+1013+2360+455+662+1253+138+745+1554+44+79+353+69+18</f>
        <v>13648</v>
      </c>
      <c r="N845" s="133">
        <f t="shared" si="80"/>
        <v>8.130257180539273</v>
      </c>
      <c r="O845" s="149">
        <v>1</v>
      </c>
      <c r="P845" s="334"/>
      <c r="Q845" s="83"/>
      <c r="R845" s="83"/>
      <c r="S845" s="83"/>
      <c r="T845" s="83"/>
    </row>
    <row r="846" spans="1:20" ht="12" customHeight="1">
      <c r="A846" s="290">
        <v>842</v>
      </c>
      <c r="B846" s="151" t="s">
        <v>237</v>
      </c>
      <c r="C846" s="139">
        <v>40144</v>
      </c>
      <c r="D846" s="145" t="s">
        <v>238</v>
      </c>
      <c r="E846" s="146">
        <v>2</v>
      </c>
      <c r="F846" s="146">
        <v>1</v>
      </c>
      <c r="G846" s="146">
        <v>3</v>
      </c>
      <c r="H846" s="150">
        <v>6827</v>
      </c>
      <c r="I846" s="152">
        <v>1058</v>
      </c>
      <c r="J846" s="129">
        <f t="shared" si="79"/>
        <v>1058</v>
      </c>
      <c r="K846" s="130">
        <f t="shared" si="76"/>
        <v>6.452741020793951</v>
      </c>
      <c r="L846" s="154">
        <v>12004</v>
      </c>
      <c r="M846" s="153">
        <v>1817</v>
      </c>
      <c r="N846" s="133">
        <f t="shared" si="80"/>
        <v>6.606494221243809</v>
      </c>
      <c r="O846" s="149">
        <v>1</v>
      </c>
      <c r="P846" s="334"/>
      <c r="Q846" s="83"/>
      <c r="R846" s="83"/>
      <c r="S846" s="83"/>
      <c r="T846" s="83"/>
    </row>
    <row r="847" spans="1:20" ht="12" customHeight="1">
      <c r="A847" s="290">
        <v>843</v>
      </c>
      <c r="B847" s="151" t="s">
        <v>237</v>
      </c>
      <c r="C847" s="139">
        <v>40144</v>
      </c>
      <c r="D847" s="145" t="s">
        <v>238</v>
      </c>
      <c r="E847" s="146">
        <v>2</v>
      </c>
      <c r="F847" s="146">
        <v>1</v>
      </c>
      <c r="G847" s="146">
        <v>4</v>
      </c>
      <c r="H847" s="150">
        <v>1199</v>
      </c>
      <c r="I847" s="152">
        <v>221</v>
      </c>
      <c r="J847" s="129">
        <f t="shared" si="79"/>
        <v>221</v>
      </c>
      <c r="K847" s="130">
        <f t="shared" si="76"/>
        <v>5.425339366515837</v>
      </c>
      <c r="L847" s="154">
        <v>13203</v>
      </c>
      <c r="M847" s="153">
        <v>2038</v>
      </c>
      <c r="N847" s="133">
        <f t="shared" si="80"/>
        <v>6.478410206084397</v>
      </c>
      <c r="O847" s="149"/>
      <c r="P847" s="334"/>
      <c r="Q847" s="83"/>
      <c r="R847" s="83"/>
      <c r="S847" s="83"/>
      <c r="T847" s="83"/>
    </row>
    <row r="848" spans="1:20" ht="12" customHeight="1">
      <c r="A848" s="290">
        <v>844</v>
      </c>
      <c r="B848" s="123" t="s">
        <v>258</v>
      </c>
      <c r="C848" s="139">
        <v>39731</v>
      </c>
      <c r="D848" s="190" t="s">
        <v>423</v>
      </c>
      <c r="E848" s="156">
        <v>131</v>
      </c>
      <c r="F848" s="156">
        <v>1</v>
      </c>
      <c r="G848" s="156">
        <v>15</v>
      </c>
      <c r="H848" s="157">
        <v>80</v>
      </c>
      <c r="I848" s="158">
        <v>20</v>
      </c>
      <c r="J848" s="129">
        <f t="shared" si="79"/>
        <v>20</v>
      </c>
      <c r="K848" s="130">
        <f t="shared" si="76"/>
        <v>4</v>
      </c>
      <c r="L848" s="154">
        <v>1233664</v>
      </c>
      <c r="M848" s="153">
        <v>157861</v>
      </c>
      <c r="N848" s="133">
        <f t="shared" si="80"/>
        <v>7.814875111648855</v>
      </c>
      <c r="O848" s="357"/>
      <c r="P848" s="334"/>
      <c r="Q848" s="83"/>
      <c r="R848" s="83"/>
      <c r="S848" s="83"/>
      <c r="T848" s="83"/>
    </row>
    <row r="849" spans="1:20" ht="12" customHeight="1">
      <c r="A849" s="290">
        <v>845</v>
      </c>
      <c r="B849" s="123" t="s">
        <v>258</v>
      </c>
      <c r="C849" s="139">
        <v>39731</v>
      </c>
      <c r="D849" s="190" t="s">
        <v>423</v>
      </c>
      <c r="E849" s="156">
        <v>131</v>
      </c>
      <c r="F849" s="156">
        <v>1</v>
      </c>
      <c r="G849" s="156">
        <v>16</v>
      </c>
      <c r="H849" s="157">
        <v>64</v>
      </c>
      <c r="I849" s="158">
        <v>16</v>
      </c>
      <c r="J849" s="129">
        <f t="shared" si="79"/>
        <v>16</v>
      </c>
      <c r="K849" s="130">
        <f t="shared" si="76"/>
        <v>4</v>
      </c>
      <c r="L849" s="154">
        <v>1233728</v>
      </c>
      <c r="M849" s="153">
        <v>157877</v>
      </c>
      <c r="N849" s="133">
        <f t="shared" si="80"/>
        <v>7.814488494207516</v>
      </c>
      <c r="O849" s="108"/>
      <c r="P849" s="334"/>
      <c r="Q849" s="83"/>
      <c r="R849" s="83"/>
      <c r="S849" s="83"/>
      <c r="T849" s="83"/>
    </row>
    <row r="850" spans="1:20" ht="12" customHeight="1">
      <c r="A850" s="290">
        <v>846</v>
      </c>
      <c r="B850" s="182" t="s">
        <v>232</v>
      </c>
      <c r="C850" s="171">
        <v>39717</v>
      </c>
      <c r="D850" s="194" t="s">
        <v>324</v>
      </c>
      <c r="E850" s="156">
        <v>130</v>
      </c>
      <c r="F850" s="156">
        <v>1</v>
      </c>
      <c r="G850" s="156">
        <v>77</v>
      </c>
      <c r="H850" s="157">
        <v>5600</v>
      </c>
      <c r="I850" s="158">
        <v>1400</v>
      </c>
      <c r="J850" s="129">
        <f t="shared" si="79"/>
        <v>1400</v>
      </c>
      <c r="K850" s="130">
        <f t="shared" si="76"/>
        <v>4</v>
      </c>
      <c r="L850" s="154">
        <v>1488597</v>
      </c>
      <c r="M850" s="153">
        <v>174447</v>
      </c>
      <c r="N850" s="133">
        <f t="shared" si="80"/>
        <v>8.533233589571617</v>
      </c>
      <c r="O850" s="108"/>
      <c r="P850" s="334"/>
      <c r="Q850" s="83"/>
      <c r="R850" s="83"/>
      <c r="S850" s="83"/>
      <c r="T850" s="83"/>
    </row>
    <row r="851" spans="1:20" ht="12" customHeight="1">
      <c r="A851" s="290">
        <v>847</v>
      </c>
      <c r="B851" s="151" t="s">
        <v>232</v>
      </c>
      <c r="C851" s="171">
        <v>39717</v>
      </c>
      <c r="D851" s="194" t="s">
        <v>324</v>
      </c>
      <c r="E851" s="156">
        <v>130</v>
      </c>
      <c r="F851" s="156">
        <v>1</v>
      </c>
      <c r="G851" s="156">
        <v>76</v>
      </c>
      <c r="H851" s="157">
        <v>4480</v>
      </c>
      <c r="I851" s="158">
        <v>1120</v>
      </c>
      <c r="J851" s="129">
        <f t="shared" si="79"/>
        <v>1120</v>
      </c>
      <c r="K851" s="130">
        <f t="shared" si="76"/>
        <v>4</v>
      </c>
      <c r="L851" s="154">
        <v>1486065</v>
      </c>
      <c r="M851" s="153">
        <v>173364</v>
      </c>
      <c r="N851" s="133">
        <f t="shared" si="80"/>
        <v>8.571935349899633</v>
      </c>
      <c r="O851" s="108"/>
      <c r="P851" s="334"/>
      <c r="Q851" s="83"/>
      <c r="R851" s="83"/>
      <c r="S851" s="83"/>
      <c r="T851" s="83"/>
    </row>
    <row r="852" spans="1:20" ht="12" customHeight="1">
      <c r="A852" s="290">
        <v>848</v>
      </c>
      <c r="B852" s="123" t="s">
        <v>29</v>
      </c>
      <c r="C852" s="124">
        <v>39850</v>
      </c>
      <c r="D852" s="125" t="s">
        <v>326</v>
      </c>
      <c r="E852" s="134">
        <v>2</v>
      </c>
      <c r="F852" s="134">
        <v>1</v>
      </c>
      <c r="G852" s="134">
        <v>15</v>
      </c>
      <c r="H852" s="137">
        <v>1780</v>
      </c>
      <c r="I852" s="135">
        <v>445</v>
      </c>
      <c r="J852" s="129">
        <f t="shared" si="79"/>
        <v>445</v>
      </c>
      <c r="K852" s="130">
        <f t="shared" si="76"/>
        <v>4</v>
      </c>
      <c r="L852" s="138">
        <f>8077.5+3261+2251+2481+682+679+634+482+544+2140+204+1664+1377+127+1780</f>
        <v>26383.5</v>
      </c>
      <c r="M852" s="136">
        <f>773+379+260+266+71+198+101+110+127+535+34+416+320+14+445</f>
        <v>4049</v>
      </c>
      <c r="N852" s="133">
        <f t="shared" si="80"/>
        <v>6.51605334650531</v>
      </c>
      <c r="O852" s="108"/>
      <c r="P852" s="334"/>
      <c r="Q852" s="83"/>
      <c r="R852" s="83"/>
      <c r="S852" s="83"/>
      <c r="T852" s="83"/>
    </row>
    <row r="853" spans="1:20" ht="12" customHeight="1">
      <c r="A853" s="290">
        <v>849</v>
      </c>
      <c r="B853" s="210" t="s">
        <v>210</v>
      </c>
      <c r="C853" s="124">
        <v>39577</v>
      </c>
      <c r="D853" s="205" t="s">
        <v>386</v>
      </c>
      <c r="E853" s="215">
        <v>26</v>
      </c>
      <c r="F853" s="215">
        <v>1</v>
      </c>
      <c r="G853" s="215">
        <v>15</v>
      </c>
      <c r="H853" s="226">
        <v>1188</v>
      </c>
      <c r="I853" s="207">
        <v>198</v>
      </c>
      <c r="J853" s="129">
        <f t="shared" si="79"/>
        <v>198</v>
      </c>
      <c r="K853" s="130">
        <f t="shared" si="76"/>
        <v>6</v>
      </c>
      <c r="L853" s="227">
        <v>116774.42</v>
      </c>
      <c r="M853" s="209">
        <v>13697</v>
      </c>
      <c r="N853" s="133">
        <f t="shared" si="80"/>
        <v>8.525547200116813</v>
      </c>
      <c r="O853" s="583"/>
      <c r="P853" s="334"/>
      <c r="Q853" s="83"/>
      <c r="R853" s="83"/>
      <c r="S853" s="83"/>
      <c r="T853" s="83"/>
    </row>
    <row r="854" spans="1:20" ht="12" customHeight="1">
      <c r="A854" s="290">
        <v>850</v>
      </c>
      <c r="B854" s="172" t="s">
        <v>259</v>
      </c>
      <c r="C854" s="124">
        <v>40060</v>
      </c>
      <c r="D854" s="205" t="s">
        <v>169</v>
      </c>
      <c r="E854" s="215">
        <v>60</v>
      </c>
      <c r="F854" s="215">
        <v>1</v>
      </c>
      <c r="G854" s="215">
        <v>9</v>
      </c>
      <c r="H854" s="226">
        <v>722</v>
      </c>
      <c r="I854" s="207">
        <v>98</v>
      </c>
      <c r="J854" s="129">
        <f t="shared" si="79"/>
        <v>98</v>
      </c>
      <c r="K854" s="130">
        <f t="shared" si="76"/>
        <v>7.36734693877551</v>
      </c>
      <c r="L854" s="227">
        <v>31093</v>
      </c>
      <c r="M854" s="209">
        <v>4346</v>
      </c>
      <c r="N854" s="133">
        <f t="shared" si="80"/>
        <v>7.154394845835251</v>
      </c>
      <c r="O854" s="149">
        <v>1</v>
      </c>
      <c r="P854" s="334"/>
      <c r="Q854" s="83"/>
      <c r="R854" s="83"/>
      <c r="S854" s="83"/>
      <c r="T854" s="83"/>
    </row>
    <row r="855" spans="1:20" ht="12" customHeight="1">
      <c r="A855" s="290">
        <v>851</v>
      </c>
      <c r="B855" s="123" t="s">
        <v>224</v>
      </c>
      <c r="C855" s="124">
        <v>40172</v>
      </c>
      <c r="D855" s="125" t="s">
        <v>325</v>
      </c>
      <c r="E855" s="134">
        <v>40</v>
      </c>
      <c r="F855" s="134">
        <v>34</v>
      </c>
      <c r="G855" s="134">
        <v>2</v>
      </c>
      <c r="H855" s="137">
        <v>15275</v>
      </c>
      <c r="I855" s="135">
        <v>1524</v>
      </c>
      <c r="J855" s="129">
        <f t="shared" si="79"/>
        <v>44.8235294117647</v>
      </c>
      <c r="K855" s="130">
        <f t="shared" si="76"/>
        <v>10.022965879265092</v>
      </c>
      <c r="L855" s="138">
        <f>74576+15275</f>
        <v>89851</v>
      </c>
      <c r="M855" s="136">
        <f>7330+1524</f>
        <v>8854</v>
      </c>
      <c r="N855" s="133">
        <f t="shared" si="80"/>
        <v>10.148068669527897</v>
      </c>
      <c r="O855" s="149"/>
      <c r="P855" s="334"/>
      <c r="Q855" s="83"/>
      <c r="R855" s="83"/>
      <c r="S855" s="83"/>
      <c r="T855" s="83"/>
    </row>
    <row r="856" spans="1:20" ht="12" customHeight="1">
      <c r="A856" s="290">
        <v>852</v>
      </c>
      <c r="B856" s="123" t="s">
        <v>224</v>
      </c>
      <c r="C856" s="124">
        <v>40172</v>
      </c>
      <c r="D856" s="125" t="s">
        <v>325</v>
      </c>
      <c r="E856" s="126">
        <v>40</v>
      </c>
      <c r="F856" s="126">
        <v>8</v>
      </c>
      <c r="G856" s="126">
        <v>4</v>
      </c>
      <c r="H856" s="127">
        <v>5335</v>
      </c>
      <c r="I856" s="135">
        <v>870</v>
      </c>
      <c r="J856" s="129">
        <f t="shared" si="79"/>
        <v>108.75</v>
      </c>
      <c r="K856" s="130">
        <f t="shared" si="76"/>
        <v>6.132183908045977</v>
      </c>
      <c r="L856" s="131">
        <f>74576+15275+3431+38+5335</f>
        <v>98655</v>
      </c>
      <c r="M856" s="136">
        <f>7330+1524+499+4+870</f>
        <v>10227</v>
      </c>
      <c r="N856" s="133">
        <f t="shared" si="80"/>
        <v>9.646523907304195</v>
      </c>
      <c r="O856" s="149"/>
      <c r="P856" s="334"/>
      <c r="Q856" s="83"/>
      <c r="R856" s="83"/>
      <c r="S856" s="83"/>
      <c r="T856" s="83"/>
    </row>
    <row r="857" spans="1:20" ht="12" customHeight="1">
      <c r="A857" s="290">
        <v>853</v>
      </c>
      <c r="B857" s="123" t="s">
        <v>224</v>
      </c>
      <c r="C857" s="124">
        <v>40172</v>
      </c>
      <c r="D857" s="125" t="s">
        <v>325</v>
      </c>
      <c r="E857" s="126">
        <v>40</v>
      </c>
      <c r="F857" s="126">
        <v>10</v>
      </c>
      <c r="G857" s="126">
        <v>3</v>
      </c>
      <c r="H857" s="127">
        <f>3431+38</f>
        <v>3469</v>
      </c>
      <c r="I857" s="128">
        <f>499+4</f>
        <v>503</v>
      </c>
      <c r="J857" s="129">
        <f t="shared" si="79"/>
        <v>50.3</v>
      </c>
      <c r="K857" s="130">
        <f t="shared" si="76"/>
        <v>6.89662027833002</v>
      </c>
      <c r="L857" s="131">
        <f>74576+15275+3431+38</f>
        <v>93320</v>
      </c>
      <c r="M857" s="132">
        <f>7330+1524+499+4</f>
        <v>9357</v>
      </c>
      <c r="N857" s="133">
        <f t="shared" si="80"/>
        <v>9.973282034840226</v>
      </c>
      <c r="O857" s="149"/>
      <c r="P857" s="334"/>
      <c r="Q857" s="83"/>
      <c r="R857" s="83"/>
      <c r="S857" s="83"/>
      <c r="T857" s="83"/>
    </row>
    <row r="858" spans="1:20" ht="12" customHeight="1">
      <c r="A858" s="290">
        <v>854</v>
      </c>
      <c r="B858" s="123" t="s">
        <v>224</v>
      </c>
      <c r="C858" s="124">
        <v>40172</v>
      </c>
      <c r="D858" s="125" t="s">
        <v>325</v>
      </c>
      <c r="E858" s="126">
        <v>40</v>
      </c>
      <c r="F858" s="126">
        <v>1</v>
      </c>
      <c r="G858" s="126">
        <v>6</v>
      </c>
      <c r="H858" s="127">
        <v>292</v>
      </c>
      <c r="I858" s="128">
        <v>51</v>
      </c>
      <c r="J858" s="129">
        <f t="shared" si="79"/>
        <v>51</v>
      </c>
      <c r="K858" s="130">
        <f t="shared" si="76"/>
        <v>5.7254901960784315</v>
      </c>
      <c r="L858" s="131">
        <f>74576+15275+3431+38+5335+40+292</f>
        <v>98987</v>
      </c>
      <c r="M858" s="132">
        <f>7330+1524+499+4+870+8+51</f>
        <v>10286</v>
      </c>
      <c r="N858" s="133">
        <f t="shared" si="80"/>
        <v>9.62346879253354</v>
      </c>
      <c r="O858" s="149"/>
      <c r="P858" s="334"/>
      <c r="Q858" s="83"/>
      <c r="R858" s="83"/>
      <c r="S858" s="83"/>
      <c r="T858" s="83"/>
    </row>
    <row r="859" spans="1:20" ht="12" customHeight="1" thickBot="1">
      <c r="A859" s="290">
        <v>855</v>
      </c>
      <c r="B859" s="216" t="s">
        <v>224</v>
      </c>
      <c r="C859" s="217">
        <v>40172</v>
      </c>
      <c r="D859" s="218" t="s">
        <v>325</v>
      </c>
      <c r="E859" s="219">
        <v>40</v>
      </c>
      <c r="F859" s="219">
        <v>1</v>
      </c>
      <c r="G859" s="219">
        <v>5</v>
      </c>
      <c r="H859" s="220">
        <v>40</v>
      </c>
      <c r="I859" s="221">
        <v>8</v>
      </c>
      <c r="J859" s="222">
        <f t="shared" si="79"/>
        <v>8</v>
      </c>
      <c r="K859" s="223">
        <f t="shared" si="76"/>
        <v>5</v>
      </c>
      <c r="L859" s="224">
        <f>74576+15275+3431+38+5335+40</f>
        <v>98695</v>
      </c>
      <c r="M859" s="225">
        <f>7330+1524+499+4+870+8</f>
        <v>10235</v>
      </c>
      <c r="N859" s="367">
        <f t="shared" si="80"/>
        <v>9.642892037127504</v>
      </c>
      <c r="O859" s="149"/>
      <c r="P859" s="334"/>
      <c r="Q859" s="83"/>
      <c r="R859" s="83"/>
      <c r="S859" s="83"/>
      <c r="T859" s="83"/>
    </row>
    <row r="860" spans="1:20" ht="15">
      <c r="A860" s="325"/>
      <c r="B860" s="358"/>
      <c r="C860" s="246"/>
      <c r="D860" s="359"/>
      <c r="E860" s="360"/>
      <c r="F860" s="361"/>
      <c r="G860" s="362"/>
      <c r="H860" s="596"/>
      <c r="I860" s="597"/>
      <c r="J860" s="363"/>
      <c r="K860" s="364"/>
      <c r="L860" s="365"/>
      <c r="M860" s="363"/>
      <c r="N860" s="366"/>
      <c r="O860" s="337"/>
      <c r="P860" s="338"/>
      <c r="Q860" s="107"/>
      <c r="R860" s="107"/>
      <c r="S860" s="107"/>
      <c r="T860" s="107"/>
    </row>
    <row r="861" spans="1:52" s="291" customFormat="1" ht="21.75" customHeight="1">
      <c r="A861" s="647" t="s">
        <v>11</v>
      </c>
      <c r="B861" s="648"/>
      <c r="C861" s="648"/>
      <c r="D861" s="648"/>
      <c r="E861" s="648"/>
      <c r="F861" s="648"/>
      <c r="G861" s="648"/>
      <c r="H861" s="648"/>
      <c r="I861" s="648"/>
      <c r="J861" s="648"/>
      <c r="K861" s="648"/>
      <c r="L861" s="648"/>
      <c r="M861" s="648"/>
      <c r="N861" s="648"/>
      <c r="O861" s="591"/>
      <c r="P861" s="591"/>
      <c r="Q861" s="310"/>
      <c r="R861" s="310"/>
      <c r="S861" s="310"/>
      <c r="T861" s="310"/>
      <c r="U861" s="296"/>
      <c r="V861" s="296"/>
      <c r="W861" s="317"/>
      <c r="X861" s="318"/>
      <c r="Y861" s="318"/>
      <c r="Z861" s="318"/>
      <c r="AA861" s="318"/>
      <c r="AB861" s="318"/>
      <c r="AC861" s="318"/>
      <c r="AD861" s="318"/>
      <c r="AE861" s="318"/>
      <c r="AF861" s="318"/>
      <c r="AG861" s="318"/>
      <c r="AH861" s="318"/>
      <c r="AI861" s="318"/>
      <c r="AJ861" s="318"/>
      <c r="AK861" s="318"/>
      <c r="AL861" s="318"/>
      <c r="AM861" s="318"/>
      <c r="AN861" s="318"/>
      <c r="AO861" s="318"/>
      <c r="AP861" s="318"/>
      <c r="AQ861" s="318"/>
      <c r="AR861" s="318"/>
      <c r="AS861" s="318"/>
      <c r="AT861" s="318"/>
      <c r="AU861" s="318"/>
      <c r="AV861" s="318"/>
      <c r="AW861" s="318"/>
      <c r="AX861" s="318"/>
      <c r="AY861" s="318"/>
      <c r="AZ861" s="314"/>
    </row>
    <row r="862" spans="1:256" s="291" customFormat="1" ht="18" customHeight="1">
      <c r="A862" s="647" t="s">
        <v>16</v>
      </c>
      <c r="B862" s="648"/>
      <c r="C862" s="648"/>
      <c r="D862" s="648"/>
      <c r="E862" s="648"/>
      <c r="F862" s="648"/>
      <c r="G862" s="648"/>
      <c r="H862" s="648"/>
      <c r="I862" s="648"/>
      <c r="J862" s="648"/>
      <c r="K862" s="648"/>
      <c r="L862" s="648"/>
      <c r="M862" s="648"/>
      <c r="N862" s="648"/>
      <c r="O862" s="591"/>
      <c r="P862" s="591"/>
      <c r="Q862" s="310"/>
      <c r="R862" s="310"/>
      <c r="S862" s="310"/>
      <c r="T862" s="310"/>
      <c r="U862" s="296"/>
      <c r="V862" s="296"/>
      <c r="W862" s="319"/>
      <c r="X862" s="320"/>
      <c r="Y862" s="320"/>
      <c r="Z862" s="320"/>
      <c r="AA862" s="320"/>
      <c r="AB862" s="320"/>
      <c r="AC862" s="320"/>
      <c r="AD862" s="320"/>
      <c r="AE862" s="320"/>
      <c r="AF862" s="320"/>
      <c r="AG862" s="320"/>
      <c r="AH862" s="320"/>
      <c r="AI862" s="320"/>
      <c r="AJ862" s="320"/>
      <c r="AK862" s="320"/>
      <c r="AL862" s="320"/>
      <c r="AM862" s="320"/>
      <c r="AN862" s="320"/>
      <c r="AO862" s="320"/>
      <c r="AP862" s="320"/>
      <c r="AQ862" s="320"/>
      <c r="AR862" s="320"/>
      <c r="AS862" s="319"/>
      <c r="AT862" s="320"/>
      <c r="AU862" s="320"/>
      <c r="AV862" s="320"/>
      <c r="AW862" s="320"/>
      <c r="AX862" s="320"/>
      <c r="AY862" s="320"/>
      <c r="AZ862" s="315"/>
      <c r="BA862" s="293"/>
      <c r="BB862" s="293"/>
      <c r="BC862" s="293"/>
      <c r="BD862" s="293"/>
      <c r="BE862" s="293"/>
      <c r="BF862" s="293"/>
      <c r="BG862" s="293"/>
      <c r="BH862" s="293"/>
      <c r="BI862" s="293"/>
      <c r="BJ862" s="293"/>
      <c r="BK862" s="293"/>
      <c r="BL862" s="293"/>
      <c r="BM862" s="293"/>
      <c r="BN862" s="293"/>
      <c r="BO862" s="292"/>
      <c r="BP862" s="293"/>
      <c r="BQ862" s="293"/>
      <c r="BR862" s="293"/>
      <c r="BS862" s="293"/>
      <c r="BT862" s="293"/>
      <c r="BU862" s="293"/>
      <c r="BV862" s="293"/>
      <c r="BW862" s="293"/>
      <c r="BX862" s="293"/>
      <c r="BY862" s="293"/>
      <c r="BZ862" s="293"/>
      <c r="CA862" s="293"/>
      <c r="CB862" s="293"/>
      <c r="CC862" s="293"/>
      <c r="CD862" s="293"/>
      <c r="CE862" s="293"/>
      <c r="CF862" s="293"/>
      <c r="CG862" s="293"/>
      <c r="CH862" s="293"/>
      <c r="CI862" s="293"/>
      <c r="CJ862" s="293"/>
      <c r="CK862" s="292"/>
      <c r="CL862" s="293"/>
      <c r="CM862" s="293"/>
      <c r="CN862" s="293"/>
      <c r="CO862" s="293"/>
      <c r="CP862" s="293"/>
      <c r="CQ862" s="293"/>
      <c r="CR862" s="293"/>
      <c r="CS862" s="293"/>
      <c r="CT862" s="293"/>
      <c r="CU862" s="293"/>
      <c r="CV862" s="293"/>
      <c r="CW862" s="293"/>
      <c r="CX862" s="293"/>
      <c r="CY862" s="293"/>
      <c r="CZ862" s="293"/>
      <c r="DA862" s="293"/>
      <c r="DB862" s="293"/>
      <c r="DC862" s="293"/>
      <c r="DD862" s="293"/>
      <c r="DE862" s="293"/>
      <c r="DF862" s="293"/>
      <c r="DG862" s="292"/>
      <c r="DH862" s="293"/>
      <c r="DI862" s="293"/>
      <c r="DJ862" s="293"/>
      <c r="DK862" s="293"/>
      <c r="DL862" s="293"/>
      <c r="DM862" s="293"/>
      <c r="DN862" s="293"/>
      <c r="DO862" s="293"/>
      <c r="DP862" s="293"/>
      <c r="DQ862" s="293"/>
      <c r="DR862" s="293"/>
      <c r="DS862" s="293"/>
      <c r="DT862" s="293"/>
      <c r="DU862" s="293"/>
      <c r="DV862" s="293"/>
      <c r="DW862" s="293"/>
      <c r="DX862" s="293"/>
      <c r="DY862" s="293"/>
      <c r="DZ862" s="293"/>
      <c r="EA862" s="293"/>
      <c r="EB862" s="293"/>
      <c r="EC862" s="292"/>
      <c r="ED862" s="293"/>
      <c r="EE862" s="293"/>
      <c r="EF862" s="293"/>
      <c r="EG862" s="293"/>
      <c r="EH862" s="293"/>
      <c r="EI862" s="293"/>
      <c r="EJ862" s="293"/>
      <c r="EK862" s="293"/>
      <c r="EL862" s="293"/>
      <c r="EM862" s="293"/>
      <c r="EN862" s="293"/>
      <c r="EO862" s="293"/>
      <c r="EP862" s="293"/>
      <c r="EQ862" s="293"/>
      <c r="ER862" s="293"/>
      <c r="ES862" s="293"/>
      <c r="ET862" s="293"/>
      <c r="EU862" s="293"/>
      <c r="EV862" s="293"/>
      <c r="EW862" s="293"/>
      <c r="EX862" s="293"/>
      <c r="EY862" s="292"/>
      <c r="EZ862" s="293"/>
      <c r="FA862" s="293"/>
      <c r="FB862" s="293"/>
      <c r="FC862" s="293"/>
      <c r="FD862" s="293"/>
      <c r="FE862" s="293"/>
      <c r="FF862" s="293"/>
      <c r="FG862" s="293"/>
      <c r="FH862" s="293"/>
      <c r="FI862" s="293"/>
      <c r="FJ862" s="293"/>
      <c r="FK862" s="293"/>
      <c r="FL862" s="293"/>
      <c r="FM862" s="293"/>
      <c r="FN862" s="293"/>
      <c r="FO862" s="293"/>
      <c r="FP862" s="293"/>
      <c r="FQ862" s="293"/>
      <c r="FR862" s="293"/>
      <c r="FS862" s="293"/>
      <c r="FT862" s="293"/>
      <c r="FU862" s="292"/>
      <c r="FV862" s="293"/>
      <c r="FW862" s="293"/>
      <c r="FX862" s="293"/>
      <c r="FY862" s="293"/>
      <c r="FZ862" s="293"/>
      <c r="GA862" s="293"/>
      <c r="GB862" s="293"/>
      <c r="GC862" s="293"/>
      <c r="GD862" s="293"/>
      <c r="GE862" s="293"/>
      <c r="GF862" s="293"/>
      <c r="GG862" s="293"/>
      <c r="GH862" s="293"/>
      <c r="GI862" s="293"/>
      <c r="GJ862" s="293"/>
      <c r="GK862" s="293"/>
      <c r="GL862" s="293"/>
      <c r="GM862" s="293"/>
      <c r="GN862" s="293"/>
      <c r="GO862" s="293"/>
      <c r="GP862" s="293"/>
      <c r="GQ862" s="292"/>
      <c r="GR862" s="293"/>
      <c r="GS862" s="293"/>
      <c r="GT862" s="293"/>
      <c r="GU862" s="293"/>
      <c r="GV862" s="293"/>
      <c r="GW862" s="293"/>
      <c r="GX862" s="293"/>
      <c r="GY862" s="293"/>
      <c r="GZ862" s="293"/>
      <c r="HA862" s="293"/>
      <c r="HB862" s="293"/>
      <c r="HC862" s="293"/>
      <c r="HD862" s="293"/>
      <c r="HE862" s="293"/>
      <c r="HF862" s="293"/>
      <c r="HG862" s="293"/>
      <c r="HH862" s="293"/>
      <c r="HI862" s="293"/>
      <c r="HJ862" s="293"/>
      <c r="HK862" s="293"/>
      <c r="HL862" s="293"/>
      <c r="HM862" s="292"/>
      <c r="HN862" s="293"/>
      <c r="HO862" s="293"/>
      <c r="HP862" s="293"/>
      <c r="HQ862" s="293"/>
      <c r="HR862" s="293"/>
      <c r="HS862" s="293"/>
      <c r="HT862" s="293"/>
      <c r="HU862" s="293"/>
      <c r="HV862" s="293"/>
      <c r="HW862" s="293"/>
      <c r="HX862" s="293"/>
      <c r="HY862" s="293"/>
      <c r="HZ862" s="293"/>
      <c r="IA862" s="293"/>
      <c r="IB862" s="293"/>
      <c r="IC862" s="293"/>
      <c r="ID862" s="293"/>
      <c r="IE862" s="293"/>
      <c r="IF862" s="293"/>
      <c r="IG862" s="293"/>
      <c r="IH862" s="293"/>
      <c r="II862" s="292"/>
      <c r="IJ862" s="293"/>
      <c r="IK862" s="293"/>
      <c r="IL862" s="293"/>
      <c r="IM862" s="293"/>
      <c r="IN862" s="293"/>
      <c r="IO862" s="293"/>
      <c r="IP862" s="293"/>
      <c r="IQ862" s="293"/>
      <c r="IR862" s="293"/>
      <c r="IS862" s="293"/>
      <c r="IT862" s="293"/>
      <c r="IU862" s="293"/>
      <c r="IV862" s="293"/>
    </row>
    <row r="863" spans="1:256" s="291" customFormat="1" ht="18" customHeight="1">
      <c r="A863" s="648"/>
      <c r="B863" s="648"/>
      <c r="C863" s="648"/>
      <c r="D863" s="648"/>
      <c r="E863" s="648"/>
      <c r="F863" s="648"/>
      <c r="G863" s="648"/>
      <c r="H863" s="648"/>
      <c r="I863" s="648"/>
      <c r="J863" s="648"/>
      <c r="K863" s="648"/>
      <c r="L863" s="648"/>
      <c r="M863" s="648"/>
      <c r="N863" s="648"/>
      <c r="O863" s="591"/>
      <c r="P863" s="591"/>
      <c r="Q863" s="310"/>
      <c r="R863" s="310"/>
      <c r="S863" s="310"/>
      <c r="T863" s="310"/>
      <c r="U863" s="296"/>
      <c r="V863" s="296"/>
      <c r="W863" s="319"/>
      <c r="X863" s="320"/>
      <c r="Y863" s="320"/>
      <c r="Z863" s="320"/>
      <c r="AA863" s="320"/>
      <c r="AB863" s="320"/>
      <c r="AC863" s="320"/>
      <c r="AD863" s="320"/>
      <c r="AE863" s="320"/>
      <c r="AF863" s="320"/>
      <c r="AG863" s="320"/>
      <c r="AH863" s="320"/>
      <c r="AI863" s="320"/>
      <c r="AJ863" s="320"/>
      <c r="AK863" s="320"/>
      <c r="AL863" s="320"/>
      <c r="AM863" s="320"/>
      <c r="AN863" s="320"/>
      <c r="AO863" s="320"/>
      <c r="AP863" s="320"/>
      <c r="AQ863" s="320"/>
      <c r="AR863" s="320"/>
      <c r="AS863" s="319"/>
      <c r="AT863" s="320"/>
      <c r="AU863" s="320"/>
      <c r="AV863" s="320"/>
      <c r="AW863" s="320"/>
      <c r="AX863" s="320"/>
      <c r="AY863" s="320"/>
      <c r="AZ863" s="315"/>
      <c r="BA863" s="293"/>
      <c r="BB863" s="293"/>
      <c r="BC863" s="293"/>
      <c r="BD863" s="293"/>
      <c r="BE863" s="293"/>
      <c r="BF863" s="293"/>
      <c r="BG863" s="293"/>
      <c r="BH863" s="293"/>
      <c r="BI863" s="293"/>
      <c r="BJ863" s="293"/>
      <c r="BK863" s="293"/>
      <c r="BL863" s="293"/>
      <c r="BM863" s="293"/>
      <c r="BN863" s="293"/>
      <c r="BO863" s="292"/>
      <c r="BP863" s="293"/>
      <c r="BQ863" s="293"/>
      <c r="BR863" s="293"/>
      <c r="BS863" s="293"/>
      <c r="BT863" s="293"/>
      <c r="BU863" s="293"/>
      <c r="BV863" s="293"/>
      <c r="BW863" s="293"/>
      <c r="BX863" s="293"/>
      <c r="BY863" s="293"/>
      <c r="BZ863" s="293"/>
      <c r="CA863" s="293"/>
      <c r="CB863" s="293"/>
      <c r="CC863" s="293"/>
      <c r="CD863" s="293"/>
      <c r="CE863" s="293"/>
      <c r="CF863" s="293"/>
      <c r="CG863" s="293"/>
      <c r="CH863" s="293"/>
      <c r="CI863" s="293"/>
      <c r="CJ863" s="293"/>
      <c r="CK863" s="292"/>
      <c r="CL863" s="293"/>
      <c r="CM863" s="293"/>
      <c r="CN863" s="293"/>
      <c r="CO863" s="293"/>
      <c r="CP863" s="293"/>
      <c r="CQ863" s="293"/>
      <c r="CR863" s="293"/>
      <c r="CS863" s="293"/>
      <c r="CT863" s="293"/>
      <c r="CU863" s="293"/>
      <c r="CV863" s="293"/>
      <c r="CW863" s="293"/>
      <c r="CX863" s="293"/>
      <c r="CY863" s="293"/>
      <c r="CZ863" s="293"/>
      <c r="DA863" s="293"/>
      <c r="DB863" s="293"/>
      <c r="DC863" s="293"/>
      <c r="DD863" s="293"/>
      <c r="DE863" s="293"/>
      <c r="DF863" s="293"/>
      <c r="DG863" s="292"/>
      <c r="DH863" s="293"/>
      <c r="DI863" s="293"/>
      <c r="DJ863" s="293"/>
      <c r="DK863" s="293"/>
      <c r="DL863" s="293"/>
      <c r="DM863" s="293"/>
      <c r="DN863" s="293"/>
      <c r="DO863" s="293"/>
      <c r="DP863" s="293"/>
      <c r="DQ863" s="293"/>
      <c r="DR863" s="293"/>
      <c r="DS863" s="293"/>
      <c r="DT863" s="293"/>
      <c r="DU863" s="293"/>
      <c r="DV863" s="293"/>
      <c r="DW863" s="293"/>
      <c r="DX863" s="293"/>
      <c r="DY863" s="293"/>
      <c r="DZ863" s="293"/>
      <c r="EA863" s="293"/>
      <c r="EB863" s="293"/>
      <c r="EC863" s="292"/>
      <c r="ED863" s="293"/>
      <c r="EE863" s="293"/>
      <c r="EF863" s="293"/>
      <c r="EG863" s="293"/>
      <c r="EH863" s="293"/>
      <c r="EI863" s="293"/>
      <c r="EJ863" s="293"/>
      <c r="EK863" s="293"/>
      <c r="EL863" s="293"/>
      <c r="EM863" s="293"/>
      <c r="EN863" s="293"/>
      <c r="EO863" s="293"/>
      <c r="EP863" s="293"/>
      <c r="EQ863" s="293"/>
      <c r="ER863" s="293"/>
      <c r="ES863" s="293"/>
      <c r="ET863" s="293"/>
      <c r="EU863" s="293"/>
      <c r="EV863" s="293"/>
      <c r="EW863" s="293"/>
      <c r="EX863" s="293"/>
      <c r="EY863" s="292"/>
      <c r="EZ863" s="293"/>
      <c r="FA863" s="293"/>
      <c r="FB863" s="293"/>
      <c r="FC863" s="293"/>
      <c r="FD863" s="293"/>
      <c r="FE863" s="293"/>
      <c r="FF863" s="293"/>
      <c r="FG863" s="293"/>
      <c r="FH863" s="293"/>
      <c r="FI863" s="293"/>
      <c r="FJ863" s="293"/>
      <c r="FK863" s="293"/>
      <c r="FL863" s="293"/>
      <c r="FM863" s="293"/>
      <c r="FN863" s="293"/>
      <c r="FO863" s="293"/>
      <c r="FP863" s="293"/>
      <c r="FQ863" s="293"/>
      <c r="FR863" s="293"/>
      <c r="FS863" s="293"/>
      <c r="FT863" s="293"/>
      <c r="FU863" s="292"/>
      <c r="FV863" s="293"/>
      <c r="FW863" s="293"/>
      <c r="FX863" s="293"/>
      <c r="FY863" s="293"/>
      <c r="FZ863" s="293"/>
      <c r="GA863" s="293"/>
      <c r="GB863" s="293"/>
      <c r="GC863" s="293"/>
      <c r="GD863" s="293"/>
      <c r="GE863" s="293"/>
      <c r="GF863" s="293"/>
      <c r="GG863" s="293"/>
      <c r="GH863" s="293"/>
      <c r="GI863" s="293"/>
      <c r="GJ863" s="293"/>
      <c r="GK863" s="293"/>
      <c r="GL863" s="293"/>
      <c r="GM863" s="293"/>
      <c r="GN863" s="293"/>
      <c r="GO863" s="293"/>
      <c r="GP863" s="293"/>
      <c r="GQ863" s="292"/>
      <c r="GR863" s="293"/>
      <c r="GS863" s="293"/>
      <c r="GT863" s="293"/>
      <c r="GU863" s="293"/>
      <c r="GV863" s="293"/>
      <c r="GW863" s="293"/>
      <c r="GX863" s="293"/>
      <c r="GY863" s="293"/>
      <c r="GZ863" s="293"/>
      <c r="HA863" s="293"/>
      <c r="HB863" s="293"/>
      <c r="HC863" s="293"/>
      <c r="HD863" s="293"/>
      <c r="HE863" s="293"/>
      <c r="HF863" s="293"/>
      <c r="HG863" s="293"/>
      <c r="HH863" s="293"/>
      <c r="HI863" s="293"/>
      <c r="HJ863" s="293"/>
      <c r="HK863" s="293"/>
      <c r="HL863" s="293"/>
      <c r="HM863" s="292"/>
      <c r="HN863" s="293"/>
      <c r="HO863" s="293"/>
      <c r="HP863" s="293"/>
      <c r="HQ863" s="293"/>
      <c r="HR863" s="293"/>
      <c r="HS863" s="293"/>
      <c r="HT863" s="293"/>
      <c r="HU863" s="293"/>
      <c r="HV863" s="293"/>
      <c r="HW863" s="293"/>
      <c r="HX863" s="293"/>
      <c r="HY863" s="293"/>
      <c r="HZ863" s="293"/>
      <c r="IA863" s="293"/>
      <c r="IB863" s="293"/>
      <c r="IC863" s="293"/>
      <c r="ID863" s="293"/>
      <c r="IE863" s="293"/>
      <c r="IF863" s="293"/>
      <c r="IG863" s="293"/>
      <c r="IH863" s="293"/>
      <c r="II863" s="292"/>
      <c r="IJ863" s="293"/>
      <c r="IK863" s="293"/>
      <c r="IL863" s="293"/>
      <c r="IM863" s="293"/>
      <c r="IN863" s="293"/>
      <c r="IO863" s="293"/>
      <c r="IP863" s="293"/>
      <c r="IQ863" s="293"/>
      <c r="IR863" s="293"/>
      <c r="IS863" s="293"/>
      <c r="IT863" s="293"/>
      <c r="IU863" s="293"/>
      <c r="IV863" s="293"/>
    </row>
    <row r="864" spans="1:256" s="291" customFormat="1" ht="18" customHeight="1">
      <c r="A864" s="648"/>
      <c r="B864" s="648"/>
      <c r="C864" s="648"/>
      <c r="D864" s="648"/>
      <c r="E864" s="648"/>
      <c r="F864" s="648"/>
      <c r="G864" s="648"/>
      <c r="H864" s="648"/>
      <c r="I864" s="648"/>
      <c r="J864" s="648"/>
      <c r="K864" s="648"/>
      <c r="L864" s="648"/>
      <c r="M864" s="648"/>
      <c r="N864" s="648"/>
      <c r="O864" s="591"/>
      <c r="P864" s="591"/>
      <c r="Q864" s="310"/>
      <c r="R864" s="310"/>
      <c r="S864" s="310"/>
      <c r="T864" s="310"/>
      <c r="U864" s="296"/>
      <c r="V864" s="296"/>
      <c r="W864" s="319"/>
      <c r="X864" s="320"/>
      <c r="Y864" s="320"/>
      <c r="Z864" s="320"/>
      <c r="AA864" s="320"/>
      <c r="AB864" s="320"/>
      <c r="AC864" s="320"/>
      <c r="AD864" s="320"/>
      <c r="AE864" s="320"/>
      <c r="AF864" s="320"/>
      <c r="AG864" s="320"/>
      <c r="AH864" s="320"/>
      <c r="AI864" s="320"/>
      <c r="AJ864" s="320"/>
      <c r="AK864" s="320"/>
      <c r="AL864" s="320"/>
      <c r="AM864" s="320"/>
      <c r="AN864" s="320"/>
      <c r="AO864" s="320"/>
      <c r="AP864" s="320"/>
      <c r="AQ864" s="320"/>
      <c r="AR864" s="320"/>
      <c r="AS864" s="319"/>
      <c r="AT864" s="320"/>
      <c r="AU864" s="320"/>
      <c r="AV864" s="320"/>
      <c r="AW864" s="320"/>
      <c r="AX864" s="320"/>
      <c r="AY864" s="320"/>
      <c r="AZ864" s="315"/>
      <c r="BA864" s="293"/>
      <c r="BB864" s="293"/>
      <c r="BC864" s="293"/>
      <c r="BD864" s="293"/>
      <c r="BE864" s="293"/>
      <c r="BF864" s="293"/>
      <c r="BG864" s="293"/>
      <c r="BH864" s="293"/>
      <c r="BI864" s="293"/>
      <c r="BJ864" s="293"/>
      <c r="BK864" s="293"/>
      <c r="BL864" s="293"/>
      <c r="BM864" s="293"/>
      <c r="BN864" s="293"/>
      <c r="BO864" s="292"/>
      <c r="BP864" s="293"/>
      <c r="BQ864" s="293"/>
      <c r="BR864" s="293"/>
      <c r="BS864" s="293"/>
      <c r="BT864" s="293"/>
      <c r="BU864" s="293"/>
      <c r="BV864" s="293"/>
      <c r="BW864" s="293"/>
      <c r="BX864" s="293"/>
      <c r="BY864" s="293"/>
      <c r="BZ864" s="293"/>
      <c r="CA864" s="293"/>
      <c r="CB864" s="293"/>
      <c r="CC864" s="293"/>
      <c r="CD864" s="293"/>
      <c r="CE864" s="293"/>
      <c r="CF864" s="293"/>
      <c r="CG864" s="293"/>
      <c r="CH864" s="293"/>
      <c r="CI864" s="293"/>
      <c r="CJ864" s="293"/>
      <c r="CK864" s="292"/>
      <c r="CL864" s="293"/>
      <c r="CM864" s="293"/>
      <c r="CN864" s="293"/>
      <c r="CO864" s="293"/>
      <c r="CP864" s="293"/>
      <c r="CQ864" s="293"/>
      <c r="CR864" s="293"/>
      <c r="CS864" s="293"/>
      <c r="CT864" s="293"/>
      <c r="CU864" s="293"/>
      <c r="CV864" s="293"/>
      <c r="CW864" s="293"/>
      <c r="CX864" s="293"/>
      <c r="CY864" s="293"/>
      <c r="CZ864" s="293"/>
      <c r="DA864" s="293"/>
      <c r="DB864" s="293"/>
      <c r="DC864" s="293"/>
      <c r="DD864" s="293"/>
      <c r="DE864" s="293"/>
      <c r="DF864" s="293"/>
      <c r="DG864" s="292"/>
      <c r="DH864" s="293"/>
      <c r="DI864" s="293"/>
      <c r="DJ864" s="293"/>
      <c r="DK864" s="293"/>
      <c r="DL864" s="293"/>
      <c r="DM864" s="293"/>
      <c r="DN864" s="293"/>
      <c r="DO864" s="293"/>
      <c r="DP864" s="293"/>
      <c r="DQ864" s="293"/>
      <c r="DR864" s="293"/>
      <c r="DS864" s="293"/>
      <c r="DT864" s="293"/>
      <c r="DU864" s="293"/>
      <c r="DV864" s="293"/>
      <c r="DW864" s="293"/>
      <c r="DX864" s="293"/>
      <c r="DY864" s="293"/>
      <c r="DZ864" s="293"/>
      <c r="EA864" s="293"/>
      <c r="EB864" s="293"/>
      <c r="EC864" s="292"/>
      <c r="ED864" s="293"/>
      <c r="EE864" s="293"/>
      <c r="EF864" s="293"/>
      <c r="EG864" s="293"/>
      <c r="EH864" s="293"/>
      <c r="EI864" s="293"/>
      <c r="EJ864" s="293"/>
      <c r="EK864" s="293"/>
      <c r="EL864" s="293"/>
      <c r="EM864" s="293"/>
      <c r="EN864" s="293"/>
      <c r="EO864" s="293"/>
      <c r="EP864" s="293"/>
      <c r="EQ864" s="293"/>
      <c r="ER864" s="293"/>
      <c r="ES864" s="293"/>
      <c r="ET864" s="293"/>
      <c r="EU864" s="293"/>
      <c r="EV864" s="293"/>
      <c r="EW864" s="293"/>
      <c r="EX864" s="293"/>
      <c r="EY864" s="292"/>
      <c r="EZ864" s="293"/>
      <c r="FA864" s="293"/>
      <c r="FB864" s="293"/>
      <c r="FC864" s="293"/>
      <c r="FD864" s="293"/>
      <c r="FE864" s="293"/>
      <c r="FF864" s="293"/>
      <c r="FG864" s="293"/>
      <c r="FH864" s="293"/>
      <c r="FI864" s="293"/>
      <c r="FJ864" s="293"/>
      <c r="FK864" s="293"/>
      <c r="FL864" s="293"/>
      <c r="FM864" s="293"/>
      <c r="FN864" s="293"/>
      <c r="FO864" s="293"/>
      <c r="FP864" s="293"/>
      <c r="FQ864" s="293"/>
      <c r="FR864" s="293"/>
      <c r="FS864" s="293"/>
      <c r="FT864" s="293"/>
      <c r="FU864" s="292"/>
      <c r="FV864" s="293"/>
      <c r="FW864" s="293"/>
      <c r="FX864" s="293"/>
      <c r="FY864" s="293"/>
      <c r="FZ864" s="293"/>
      <c r="GA864" s="293"/>
      <c r="GB864" s="293"/>
      <c r="GC864" s="293"/>
      <c r="GD864" s="293"/>
      <c r="GE864" s="293"/>
      <c r="GF864" s="293"/>
      <c r="GG864" s="293"/>
      <c r="GH864" s="293"/>
      <c r="GI864" s="293"/>
      <c r="GJ864" s="293"/>
      <c r="GK864" s="293"/>
      <c r="GL864" s="293"/>
      <c r="GM864" s="293"/>
      <c r="GN864" s="293"/>
      <c r="GO864" s="293"/>
      <c r="GP864" s="293"/>
      <c r="GQ864" s="292"/>
      <c r="GR864" s="293"/>
      <c r="GS864" s="293"/>
      <c r="GT864" s="293"/>
      <c r="GU864" s="293"/>
      <c r="GV864" s="293"/>
      <c r="GW864" s="293"/>
      <c r="GX864" s="293"/>
      <c r="GY864" s="293"/>
      <c r="GZ864" s="293"/>
      <c r="HA864" s="293"/>
      <c r="HB864" s="293"/>
      <c r="HC864" s="293"/>
      <c r="HD864" s="293"/>
      <c r="HE864" s="293"/>
      <c r="HF864" s="293"/>
      <c r="HG864" s="293"/>
      <c r="HH864" s="293"/>
      <c r="HI864" s="293"/>
      <c r="HJ864" s="293"/>
      <c r="HK864" s="293"/>
      <c r="HL864" s="293"/>
      <c r="HM864" s="292"/>
      <c r="HN864" s="293"/>
      <c r="HO864" s="293"/>
      <c r="HP864" s="293"/>
      <c r="HQ864" s="293"/>
      <c r="HR864" s="293"/>
      <c r="HS864" s="293"/>
      <c r="HT864" s="293"/>
      <c r="HU864" s="293"/>
      <c r="HV864" s="293"/>
      <c r="HW864" s="293"/>
      <c r="HX864" s="293"/>
      <c r="HY864" s="293"/>
      <c r="HZ864" s="293"/>
      <c r="IA864" s="293"/>
      <c r="IB864" s="293"/>
      <c r="IC864" s="293"/>
      <c r="ID864" s="293"/>
      <c r="IE864" s="293"/>
      <c r="IF864" s="293"/>
      <c r="IG864" s="293"/>
      <c r="IH864" s="293"/>
      <c r="II864" s="292"/>
      <c r="IJ864" s="293"/>
      <c r="IK864" s="293"/>
      <c r="IL864" s="293"/>
      <c r="IM864" s="293"/>
      <c r="IN864" s="293"/>
      <c r="IO864" s="293"/>
      <c r="IP864" s="293"/>
      <c r="IQ864" s="293"/>
      <c r="IR864" s="293"/>
      <c r="IS864" s="293"/>
      <c r="IT864" s="293"/>
      <c r="IU864" s="293"/>
      <c r="IV864" s="293"/>
    </row>
    <row r="865" spans="1:256" s="291" customFormat="1" ht="15" customHeight="1">
      <c r="A865" s="647" t="s">
        <v>12</v>
      </c>
      <c r="B865" s="649"/>
      <c r="C865" s="649"/>
      <c r="D865" s="649"/>
      <c r="E865" s="649"/>
      <c r="F865" s="649"/>
      <c r="G865" s="649"/>
      <c r="H865" s="649"/>
      <c r="I865" s="649"/>
      <c r="J865" s="649"/>
      <c r="K865" s="649"/>
      <c r="L865" s="649"/>
      <c r="M865" s="649"/>
      <c r="N865" s="649"/>
      <c r="O865" s="592"/>
      <c r="P865" s="592"/>
      <c r="Q865" s="311"/>
      <c r="R865" s="311"/>
      <c r="S865" s="311"/>
      <c r="T865" s="311"/>
      <c r="U865" s="297"/>
      <c r="V865" s="297"/>
      <c r="W865" s="319"/>
      <c r="X865" s="320"/>
      <c r="Y865" s="320"/>
      <c r="Z865" s="320"/>
      <c r="AA865" s="320"/>
      <c r="AB865" s="320"/>
      <c r="AC865" s="320"/>
      <c r="AD865" s="320"/>
      <c r="AE865" s="320"/>
      <c r="AF865" s="320"/>
      <c r="AG865" s="320"/>
      <c r="AH865" s="320"/>
      <c r="AI865" s="320"/>
      <c r="AJ865" s="320"/>
      <c r="AK865" s="320"/>
      <c r="AL865" s="320"/>
      <c r="AM865" s="320"/>
      <c r="AN865" s="320"/>
      <c r="AO865" s="320"/>
      <c r="AP865" s="320"/>
      <c r="AQ865" s="320"/>
      <c r="AR865" s="320"/>
      <c r="AS865" s="319"/>
      <c r="AT865" s="320"/>
      <c r="AU865" s="320"/>
      <c r="AV865" s="320"/>
      <c r="AW865" s="320"/>
      <c r="AX865" s="320"/>
      <c r="AY865" s="320"/>
      <c r="AZ865" s="315"/>
      <c r="BA865" s="293"/>
      <c r="BB865" s="293"/>
      <c r="BC865" s="293"/>
      <c r="BD865" s="293"/>
      <c r="BE865" s="293"/>
      <c r="BF865" s="293"/>
      <c r="BG865" s="293"/>
      <c r="BH865" s="293"/>
      <c r="BI865" s="293"/>
      <c r="BJ865" s="293"/>
      <c r="BK865" s="293"/>
      <c r="BL865" s="293"/>
      <c r="BM865" s="293"/>
      <c r="BN865" s="293"/>
      <c r="BO865" s="292"/>
      <c r="BP865" s="293"/>
      <c r="BQ865" s="293"/>
      <c r="BR865" s="293"/>
      <c r="BS865" s="293"/>
      <c r="BT865" s="293"/>
      <c r="BU865" s="293"/>
      <c r="BV865" s="293"/>
      <c r="BW865" s="293"/>
      <c r="BX865" s="293"/>
      <c r="BY865" s="293"/>
      <c r="BZ865" s="293"/>
      <c r="CA865" s="293"/>
      <c r="CB865" s="293"/>
      <c r="CC865" s="293"/>
      <c r="CD865" s="293"/>
      <c r="CE865" s="293"/>
      <c r="CF865" s="293"/>
      <c r="CG865" s="293"/>
      <c r="CH865" s="293"/>
      <c r="CI865" s="293"/>
      <c r="CJ865" s="293"/>
      <c r="CK865" s="292"/>
      <c r="CL865" s="293"/>
      <c r="CM865" s="293"/>
      <c r="CN865" s="293"/>
      <c r="CO865" s="293"/>
      <c r="CP865" s="293"/>
      <c r="CQ865" s="293"/>
      <c r="CR865" s="293"/>
      <c r="CS865" s="293"/>
      <c r="CT865" s="293"/>
      <c r="CU865" s="293"/>
      <c r="CV865" s="293"/>
      <c r="CW865" s="293"/>
      <c r="CX865" s="293"/>
      <c r="CY865" s="293"/>
      <c r="CZ865" s="293"/>
      <c r="DA865" s="293"/>
      <c r="DB865" s="293"/>
      <c r="DC865" s="293"/>
      <c r="DD865" s="293"/>
      <c r="DE865" s="293"/>
      <c r="DF865" s="293"/>
      <c r="DG865" s="292"/>
      <c r="DH865" s="293"/>
      <c r="DI865" s="293"/>
      <c r="DJ865" s="293"/>
      <c r="DK865" s="293"/>
      <c r="DL865" s="293"/>
      <c r="DM865" s="293"/>
      <c r="DN865" s="293"/>
      <c r="DO865" s="293"/>
      <c r="DP865" s="293"/>
      <c r="DQ865" s="293"/>
      <c r="DR865" s="293"/>
      <c r="DS865" s="293"/>
      <c r="DT865" s="293"/>
      <c r="DU865" s="293"/>
      <c r="DV865" s="293"/>
      <c r="DW865" s="293"/>
      <c r="DX865" s="293"/>
      <c r="DY865" s="293"/>
      <c r="DZ865" s="293"/>
      <c r="EA865" s="293"/>
      <c r="EB865" s="293"/>
      <c r="EC865" s="292"/>
      <c r="ED865" s="293"/>
      <c r="EE865" s="293"/>
      <c r="EF865" s="293"/>
      <c r="EG865" s="293"/>
      <c r="EH865" s="293"/>
      <c r="EI865" s="293"/>
      <c r="EJ865" s="293"/>
      <c r="EK865" s="293"/>
      <c r="EL865" s="293"/>
      <c r="EM865" s="293"/>
      <c r="EN865" s="293"/>
      <c r="EO865" s="293"/>
      <c r="EP865" s="293"/>
      <c r="EQ865" s="293"/>
      <c r="ER865" s="293"/>
      <c r="ES865" s="293"/>
      <c r="ET865" s="293"/>
      <c r="EU865" s="293"/>
      <c r="EV865" s="293"/>
      <c r="EW865" s="293"/>
      <c r="EX865" s="293"/>
      <c r="EY865" s="292"/>
      <c r="EZ865" s="293"/>
      <c r="FA865" s="293"/>
      <c r="FB865" s="293"/>
      <c r="FC865" s="293"/>
      <c r="FD865" s="293"/>
      <c r="FE865" s="293"/>
      <c r="FF865" s="293"/>
      <c r="FG865" s="293"/>
      <c r="FH865" s="293"/>
      <c r="FI865" s="293"/>
      <c r="FJ865" s="293"/>
      <c r="FK865" s="293"/>
      <c r="FL865" s="293"/>
      <c r="FM865" s="293"/>
      <c r="FN865" s="293"/>
      <c r="FO865" s="293"/>
      <c r="FP865" s="293"/>
      <c r="FQ865" s="293"/>
      <c r="FR865" s="293"/>
      <c r="FS865" s="293"/>
      <c r="FT865" s="293"/>
      <c r="FU865" s="292"/>
      <c r="FV865" s="293"/>
      <c r="FW865" s="293"/>
      <c r="FX865" s="293"/>
      <c r="FY865" s="293"/>
      <c r="FZ865" s="293"/>
      <c r="GA865" s="293"/>
      <c r="GB865" s="293"/>
      <c r="GC865" s="293"/>
      <c r="GD865" s="293"/>
      <c r="GE865" s="293"/>
      <c r="GF865" s="293"/>
      <c r="GG865" s="293"/>
      <c r="GH865" s="293"/>
      <c r="GI865" s="293"/>
      <c r="GJ865" s="293"/>
      <c r="GK865" s="293"/>
      <c r="GL865" s="293"/>
      <c r="GM865" s="293"/>
      <c r="GN865" s="293"/>
      <c r="GO865" s="293"/>
      <c r="GP865" s="293"/>
      <c r="GQ865" s="292"/>
      <c r="GR865" s="293"/>
      <c r="GS865" s="293"/>
      <c r="GT865" s="293"/>
      <c r="GU865" s="293"/>
      <c r="GV865" s="293"/>
      <c r="GW865" s="293"/>
      <c r="GX865" s="293"/>
      <c r="GY865" s="293"/>
      <c r="GZ865" s="293"/>
      <c r="HA865" s="293"/>
      <c r="HB865" s="293"/>
      <c r="HC865" s="293"/>
      <c r="HD865" s="293"/>
      <c r="HE865" s="293"/>
      <c r="HF865" s="293"/>
      <c r="HG865" s="293"/>
      <c r="HH865" s="293"/>
      <c r="HI865" s="293"/>
      <c r="HJ865" s="293"/>
      <c r="HK865" s="293"/>
      <c r="HL865" s="293"/>
      <c r="HM865" s="292"/>
      <c r="HN865" s="293"/>
      <c r="HO865" s="293"/>
      <c r="HP865" s="293"/>
      <c r="HQ865" s="293"/>
      <c r="HR865" s="293"/>
      <c r="HS865" s="293"/>
      <c r="HT865" s="293"/>
      <c r="HU865" s="293"/>
      <c r="HV865" s="293"/>
      <c r="HW865" s="293"/>
      <c r="HX865" s="293"/>
      <c r="HY865" s="293"/>
      <c r="HZ865" s="293"/>
      <c r="IA865" s="293"/>
      <c r="IB865" s="293"/>
      <c r="IC865" s="293"/>
      <c r="ID865" s="293"/>
      <c r="IE865" s="293"/>
      <c r="IF865" s="293"/>
      <c r="IG865" s="293"/>
      <c r="IH865" s="293"/>
      <c r="II865" s="292"/>
      <c r="IJ865" s="293"/>
      <c r="IK865" s="293"/>
      <c r="IL865" s="293"/>
      <c r="IM865" s="293"/>
      <c r="IN865" s="293"/>
      <c r="IO865" s="293"/>
      <c r="IP865" s="293"/>
      <c r="IQ865" s="293"/>
      <c r="IR865" s="293"/>
      <c r="IS865" s="293"/>
      <c r="IT865" s="293"/>
      <c r="IU865" s="293"/>
      <c r="IV865" s="293"/>
    </row>
    <row r="866" spans="1:256" s="291" customFormat="1" ht="15" customHeight="1">
      <c r="A866" s="649"/>
      <c r="B866" s="649"/>
      <c r="C866" s="649"/>
      <c r="D866" s="649"/>
      <c r="E866" s="649"/>
      <c r="F866" s="649"/>
      <c r="G866" s="649"/>
      <c r="H866" s="649"/>
      <c r="I866" s="649"/>
      <c r="J866" s="649"/>
      <c r="K866" s="649"/>
      <c r="L866" s="649"/>
      <c r="M866" s="649"/>
      <c r="N866" s="649"/>
      <c r="O866" s="592"/>
      <c r="P866" s="592"/>
      <c r="Q866" s="311"/>
      <c r="R866" s="311"/>
      <c r="S866" s="311"/>
      <c r="T866" s="311"/>
      <c r="U866" s="297"/>
      <c r="V866" s="297"/>
      <c r="W866" s="319"/>
      <c r="X866" s="320"/>
      <c r="Y866" s="320"/>
      <c r="Z866" s="320"/>
      <c r="AA866" s="320"/>
      <c r="AB866" s="320"/>
      <c r="AC866" s="320"/>
      <c r="AD866" s="320"/>
      <c r="AE866" s="320"/>
      <c r="AF866" s="320"/>
      <c r="AG866" s="320"/>
      <c r="AH866" s="320"/>
      <c r="AI866" s="320"/>
      <c r="AJ866" s="320"/>
      <c r="AK866" s="320"/>
      <c r="AL866" s="320"/>
      <c r="AM866" s="320"/>
      <c r="AN866" s="320"/>
      <c r="AO866" s="320"/>
      <c r="AP866" s="320"/>
      <c r="AQ866" s="320"/>
      <c r="AR866" s="320"/>
      <c r="AS866" s="319"/>
      <c r="AT866" s="320"/>
      <c r="AU866" s="320"/>
      <c r="AV866" s="320"/>
      <c r="AW866" s="320"/>
      <c r="AX866" s="320"/>
      <c r="AY866" s="320"/>
      <c r="AZ866" s="315"/>
      <c r="BA866" s="293"/>
      <c r="BB866" s="293"/>
      <c r="BC866" s="293"/>
      <c r="BD866" s="293"/>
      <c r="BE866" s="293"/>
      <c r="BF866" s="293"/>
      <c r="BG866" s="293"/>
      <c r="BH866" s="293"/>
      <c r="BI866" s="293"/>
      <c r="BJ866" s="293"/>
      <c r="BK866" s="293"/>
      <c r="BL866" s="293"/>
      <c r="BM866" s="293"/>
      <c r="BN866" s="293"/>
      <c r="BO866" s="292"/>
      <c r="BP866" s="293"/>
      <c r="BQ866" s="293"/>
      <c r="BR866" s="293"/>
      <c r="BS866" s="293"/>
      <c r="BT866" s="293"/>
      <c r="BU866" s="293"/>
      <c r="BV866" s="293"/>
      <c r="BW866" s="293"/>
      <c r="BX866" s="293"/>
      <c r="BY866" s="293"/>
      <c r="BZ866" s="293"/>
      <c r="CA866" s="293"/>
      <c r="CB866" s="293"/>
      <c r="CC866" s="293"/>
      <c r="CD866" s="293"/>
      <c r="CE866" s="293"/>
      <c r="CF866" s="293"/>
      <c r="CG866" s="293"/>
      <c r="CH866" s="293"/>
      <c r="CI866" s="293"/>
      <c r="CJ866" s="293"/>
      <c r="CK866" s="292"/>
      <c r="CL866" s="293"/>
      <c r="CM866" s="293"/>
      <c r="CN866" s="293"/>
      <c r="CO866" s="293"/>
      <c r="CP866" s="293"/>
      <c r="CQ866" s="293"/>
      <c r="CR866" s="293"/>
      <c r="CS866" s="293"/>
      <c r="CT866" s="293"/>
      <c r="CU866" s="293"/>
      <c r="CV866" s="293"/>
      <c r="CW866" s="293"/>
      <c r="CX866" s="293"/>
      <c r="CY866" s="293"/>
      <c r="CZ866" s="293"/>
      <c r="DA866" s="293"/>
      <c r="DB866" s="293"/>
      <c r="DC866" s="293"/>
      <c r="DD866" s="293"/>
      <c r="DE866" s="293"/>
      <c r="DF866" s="293"/>
      <c r="DG866" s="292"/>
      <c r="DH866" s="293"/>
      <c r="DI866" s="293"/>
      <c r="DJ866" s="293"/>
      <c r="DK866" s="293"/>
      <c r="DL866" s="293"/>
      <c r="DM866" s="293"/>
      <c r="DN866" s="293"/>
      <c r="DO866" s="293"/>
      <c r="DP866" s="293"/>
      <c r="DQ866" s="293"/>
      <c r="DR866" s="293"/>
      <c r="DS866" s="293"/>
      <c r="DT866" s="293"/>
      <c r="DU866" s="293"/>
      <c r="DV866" s="293"/>
      <c r="DW866" s="293"/>
      <c r="DX866" s="293"/>
      <c r="DY866" s="293"/>
      <c r="DZ866" s="293"/>
      <c r="EA866" s="293"/>
      <c r="EB866" s="293"/>
      <c r="EC866" s="292"/>
      <c r="ED866" s="293"/>
      <c r="EE866" s="293"/>
      <c r="EF866" s="293"/>
      <c r="EG866" s="293"/>
      <c r="EH866" s="293"/>
      <c r="EI866" s="293"/>
      <c r="EJ866" s="293"/>
      <c r="EK866" s="293"/>
      <c r="EL866" s="293"/>
      <c r="EM866" s="293"/>
      <c r="EN866" s="293"/>
      <c r="EO866" s="293"/>
      <c r="EP866" s="293"/>
      <c r="EQ866" s="293"/>
      <c r="ER866" s="293"/>
      <c r="ES866" s="293"/>
      <c r="ET866" s="293"/>
      <c r="EU866" s="293"/>
      <c r="EV866" s="293"/>
      <c r="EW866" s="293"/>
      <c r="EX866" s="293"/>
      <c r="EY866" s="292"/>
      <c r="EZ866" s="293"/>
      <c r="FA866" s="293"/>
      <c r="FB866" s="293"/>
      <c r="FC866" s="293"/>
      <c r="FD866" s="293"/>
      <c r="FE866" s="293"/>
      <c r="FF866" s="293"/>
      <c r="FG866" s="293"/>
      <c r="FH866" s="293"/>
      <c r="FI866" s="293"/>
      <c r="FJ866" s="293"/>
      <c r="FK866" s="293"/>
      <c r="FL866" s="293"/>
      <c r="FM866" s="293"/>
      <c r="FN866" s="293"/>
      <c r="FO866" s="293"/>
      <c r="FP866" s="293"/>
      <c r="FQ866" s="293"/>
      <c r="FR866" s="293"/>
      <c r="FS866" s="293"/>
      <c r="FT866" s="293"/>
      <c r="FU866" s="292"/>
      <c r="FV866" s="293"/>
      <c r="FW866" s="293"/>
      <c r="FX866" s="293"/>
      <c r="FY866" s="293"/>
      <c r="FZ866" s="293"/>
      <c r="GA866" s="293"/>
      <c r="GB866" s="293"/>
      <c r="GC866" s="293"/>
      <c r="GD866" s="293"/>
      <c r="GE866" s="293"/>
      <c r="GF866" s="293"/>
      <c r="GG866" s="293"/>
      <c r="GH866" s="293"/>
      <c r="GI866" s="293"/>
      <c r="GJ866" s="293"/>
      <c r="GK866" s="293"/>
      <c r="GL866" s="293"/>
      <c r="GM866" s="293"/>
      <c r="GN866" s="293"/>
      <c r="GO866" s="293"/>
      <c r="GP866" s="293"/>
      <c r="GQ866" s="292"/>
      <c r="GR866" s="293"/>
      <c r="GS866" s="293"/>
      <c r="GT866" s="293"/>
      <c r="GU866" s="293"/>
      <c r="GV866" s="293"/>
      <c r="GW866" s="293"/>
      <c r="GX866" s="293"/>
      <c r="GY866" s="293"/>
      <c r="GZ866" s="293"/>
      <c r="HA866" s="293"/>
      <c r="HB866" s="293"/>
      <c r="HC866" s="293"/>
      <c r="HD866" s="293"/>
      <c r="HE866" s="293"/>
      <c r="HF866" s="293"/>
      <c r="HG866" s="293"/>
      <c r="HH866" s="293"/>
      <c r="HI866" s="293"/>
      <c r="HJ866" s="293"/>
      <c r="HK866" s="293"/>
      <c r="HL866" s="293"/>
      <c r="HM866" s="292"/>
      <c r="HN866" s="293"/>
      <c r="HO866" s="293"/>
      <c r="HP866" s="293"/>
      <c r="HQ866" s="293"/>
      <c r="HR866" s="293"/>
      <c r="HS866" s="293"/>
      <c r="HT866" s="293"/>
      <c r="HU866" s="293"/>
      <c r="HV866" s="293"/>
      <c r="HW866" s="293"/>
      <c r="HX866" s="293"/>
      <c r="HY866" s="293"/>
      <c r="HZ866" s="293"/>
      <c r="IA866" s="293"/>
      <c r="IB866" s="293"/>
      <c r="IC866" s="293"/>
      <c r="ID866" s="293"/>
      <c r="IE866" s="293"/>
      <c r="IF866" s="293"/>
      <c r="IG866" s="293"/>
      <c r="IH866" s="293"/>
      <c r="II866" s="292"/>
      <c r="IJ866" s="293"/>
      <c r="IK866" s="293"/>
      <c r="IL866" s="293"/>
      <c r="IM866" s="293"/>
      <c r="IN866" s="293"/>
      <c r="IO866" s="293"/>
      <c r="IP866" s="293"/>
      <c r="IQ866" s="293"/>
      <c r="IR866" s="293"/>
      <c r="IS866" s="293"/>
      <c r="IT866" s="293"/>
      <c r="IU866" s="293"/>
      <c r="IV866" s="293"/>
    </row>
    <row r="867" spans="1:256" s="291" customFormat="1" ht="15" customHeight="1">
      <c r="A867" s="649"/>
      <c r="B867" s="649"/>
      <c r="C867" s="649"/>
      <c r="D867" s="649"/>
      <c r="E867" s="649"/>
      <c r="F867" s="649"/>
      <c r="G867" s="649"/>
      <c r="H867" s="649"/>
      <c r="I867" s="649"/>
      <c r="J867" s="649"/>
      <c r="K867" s="649"/>
      <c r="L867" s="649"/>
      <c r="M867" s="649"/>
      <c r="N867" s="649"/>
      <c r="O867" s="592"/>
      <c r="P867" s="592"/>
      <c r="Q867" s="311"/>
      <c r="R867" s="311"/>
      <c r="S867" s="311"/>
      <c r="T867" s="311"/>
      <c r="U867" s="297"/>
      <c r="V867" s="297"/>
      <c r="W867" s="319"/>
      <c r="X867" s="320"/>
      <c r="Y867" s="320"/>
      <c r="Z867" s="320"/>
      <c r="AA867" s="320"/>
      <c r="AB867" s="320"/>
      <c r="AC867" s="320"/>
      <c r="AD867" s="320"/>
      <c r="AE867" s="320"/>
      <c r="AF867" s="320"/>
      <c r="AG867" s="320"/>
      <c r="AH867" s="320"/>
      <c r="AI867" s="320"/>
      <c r="AJ867" s="320"/>
      <c r="AK867" s="320"/>
      <c r="AL867" s="320"/>
      <c r="AM867" s="320"/>
      <c r="AN867" s="320"/>
      <c r="AO867" s="320"/>
      <c r="AP867" s="320"/>
      <c r="AQ867" s="320"/>
      <c r="AR867" s="320"/>
      <c r="AS867" s="319"/>
      <c r="AT867" s="320"/>
      <c r="AU867" s="320"/>
      <c r="AV867" s="320"/>
      <c r="AW867" s="320"/>
      <c r="AX867" s="320"/>
      <c r="AY867" s="320"/>
      <c r="AZ867" s="315"/>
      <c r="BA867" s="293"/>
      <c r="BB867" s="293"/>
      <c r="BC867" s="293"/>
      <c r="BD867" s="293"/>
      <c r="BE867" s="293"/>
      <c r="BF867" s="293"/>
      <c r="BG867" s="293"/>
      <c r="BH867" s="293"/>
      <c r="BI867" s="293"/>
      <c r="BJ867" s="293"/>
      <c r="BK867" s="293"/>
      <c r="BL867" s="293"/>
      <c r="BM867" s="293"/>
      <c r="BN867" s="293"/>
      <c r="BO867" s="292"/>
      <c r="BP867" s="293"/>
      <c r="BQ867" s="293"/>
      <c r="BR867" s="293"/>
      <c r="BS867" s="293"/>
      <c r="BT867" s="293"/>
      <c r="BU867" s="293"/>
      <c r="BV867" s="293"/>
      <c r="BW867" s="293"/>
      <c r="BX867" s="293"/>
      <c r="BY867" s="293"/>
      <c r="BZ867" s="293"/>
      <c r="CA867" s="293"/>
      <c r="CB867" s="293"/>
      <c r="CC867" s="293"/>
      <c r="CD867" s="293"/>
      <c r="CE867" s="293"/>
      <c r="CF867" s="293"/>
      <c r="CG867" s="293"/>
      <c r="CH867" s="293"/>
      <c r="CI867" s="293"/>
      <c r="CJ867" s="293"/>
      <c r="CK867" s="292"/>
      <c r="CL867" s="293"/>
      <c r="CM867" s="293"/>
      <c r="CN867" s="293"/>
      <c r="CO867" s="293"/>
      <c r="CP867" s="293"/>
      <c r="CQ867" s="293"/>
      <c r="CR867" s="293"/>
      <c r="CS867" s="293"/>
      <c r="CT867" s="293"/>
      <c r="CU867" s="293"/>
      <c r="CV867" s="293"/>
      <c r="CW867" s="293"/>
      <c r="CX867" s="293"/>
      <c r="CY867" s="293"/>
      <c r="CZ867" s="293"/>
      <c r="DA867" s="293"/>
      <c r="DB867" s="293"/>
      <c r="DC867" s="293"/>
      <c r="DD867" s="293"/>
      <c r="DE867" s="293"/>
      <c r="DF867" s="293"/>
      <c r="DG867" s="292"/>
      <c r="DH867" s="293"/>
      <c r="DI867" s="293"/>
      <c r="DJ867" s="293"/>
      <c r="DK867" s="293"/>
      <c r="DL867" s="293"/>
      <c r="DM867" s="293"/>
      <c r="DN867" s="293"/>
      <c r="DO867" s="293"/>
      <c r="DP867" s="293"/>
      <c r="DQ867" s="293"/>
      <c r="DR867" s="293"/>
      <c r="DS867" s="293"/>
      <c r="DT867" s="293"/>
      <c r="DU867" s="293"/>
      <c r="DV867" s="293"/>
      <c r="DW867" s="293"/>
      <c r="DX867" s="293"/>
      <c r="DY867" s="293"/>
      <c r="DZ867" s="293"/>
      <c r="EA867" s="293"/>
      <c r="EB867" s="293"/>
      <c r="EC867" s="292"/>
      <c r="ED867" s="293"/>
      <c r="EE867" s="293"/>
      <c r="EF867" s="293"/>
      <c r="EG867" s="293"/>
      <c r="EH867" s="293"/>
      <c r="EI867" s="293"/>
      <c r="EJ867" s="293"/>
      <c r="EK867" s="293"/>
      <c r="EL867" s="293"/>
      <c r="EM867" s="293"/>
      <c r="EN867" s="293"/>
      <c r="EO867" s="293"/>
      <c r="EP867" s="293"/>
      <c r="EQ867" s="293"/>
      <c r="ER867" s="293"/>
      <c r="ES867" s="293"/>
      <c r="ET867" s="293"/>
      <c r="EU867" s="293"/>
      <c r="EV867" s="293"/>
      <c r="EW867" s="293"/>
      <c r="EX867" s="293"/>
      <c r="EY867" s="292"/>
      <c r="EZ867" s="293"/>
      <c r="FA867" s="293"/>
      <c r="FB867" s="293"/>
      <c r="FC867" s="293"/>
      <c r="FD867" s="293"/>
      <c r="FE867" s="293"/>
      <c r="FF867" s="293"/>
      <c r="FG867" s="293"/>
      <c r="FH867" s="293"/>
      <c r="FI867" s="293"/>
      <c r="FJ867" s="293"/>
      <c r="FK867" s="293"/>
      <c r="FL867" s="293"/>
      <c r="FM867" s="293"/>
      <c r="FN867" s="293"/>
      <c r="FO867" s="293"/>
      <c r="FP867" s="293"/>
      <c r="FQ867" s="293"/>
      <c r="FR867" s="293"/>
      <c r="FS867" s="293"/>
      <c r="FT867" s="293"/>
      <c r="FU867" s="292"/>
      <c r="FV867" s="293"/>
      <c r="FW867" s="293"/>
      <c r="FX867" s="293"/>
      <c r="FY867" s="293"/>
      <c r="FZ867" s="293"/>
      <c r="GA867" s="293"/>
      <c r="GB867" s="293"/>
      <c r="GC867" s="293"/>
      <c r="GD867" s="293"/>
      <c r="GE867" s="293"/>
      <c r="GF867" s="293"/>
      <c r="GG867" s="293"/>
      <c r="GH867" s="293"/>
      <c r="GI867" s="293"/>
      <c r="GJ867" s="293"/>
      <c r="GK867" s="293"/>
      <c r="GL867" s="293"/>
      <c r="GM867" s="293"/>
      <c r="GN867" s="293"/>
      <c r="GO867" s="293"/>
      <c r="GP867" s="293"/>
      <c r="GQ867" s="292"/>
      <c r="GR867" s="293"/>
      <c r="GS867" s="293"/>
      <c r="GT867" s="293"/>
      <c r="GU867" s="293"/>
      <c r="GV867" s="293"/>
      <c r="GW867" s="293"/>
      <c r="GX867" s="293"/>
      <c r="GY867" s="293"/>
      <c r="GZ867" s="293"/>
      <c r="HA867" s="293"/>
      <c r="HB867" s="293"/>
      <c r="HC867" s="293"/>
      <c r="HD867" s="293"/>
      <c r="HE867" s="293"/>
      <c r="HF867" s="293"/>
      <c r="HG867" s="293"/>
      <c r="HH867" s="293"/>
      <c r="HI867" s="293"/>
      <c r="HJ867" s="293"/>
      <c r="HK867" s="293"/>
      <c r="HL867" s="293"/>
      <c r="HM867" s="292"/>
      <c r="HN867" s="293"/>
      <c r="HO867" s="293"/>
      <c r="HP867" s="293"/>
      <c r="HQ867" s="293"/>
      <c r="HR867" s="293"/>
      <c r="HS867" s="293"/>
      <c r="HT867" s="293"/>
      <c r="HU867" s="293"/>
      <c r="HV867" s="293"/>
      <c r="HW867" s="293"/>
      <c r="HX867" s="293"/>
      <c r="HY867" s="293"/>
      <c r="HZ867" s="293"/>
      <c r="IA867" s="293"/>
      <c r="IB867" s="293"/>
      <c r="IC867" s="293"/>
      <c r="ID867" s="293"/>
      <c r="IE867" s="293"/>
      <c r="IF867" s="293"/>
      <c r="IG867" s="293"/>
      <c r="IH867" s="293"/>
      <c r="II867" s="292"/>
      <c r="IJ867" s="293"/>
      <c r="IK867" s="293"/>
      <c r="IL867" s="293"/>
      <c r="IM867" s="293"/>
      <c r="IN867" s="293"/>
      <c r="IO867" s="293"/>
      <c r="IP867" s="293"/>
      <c r="IQ867" s="293"/>
      <c r="IR867" s="293"/>
      <c r="IS867" s="293"/>
      <c r="IT867" s="293"/>
      <c r="IU867" s="293"/>
      <c r="IV867" s="293"/>
    </row>
    <row r="868" spans="1:52" s="294" customFormat="1" ht="15" customHeight="1">
      <c r="A868" s="649"/>
      <c r="B868" s="649"/>
      <c r="C868" s="649"/>
      <c r="D868" s="649"/>
      <c r="E868" s="649"/>
      <c r="F868" s="649"/>
      <c r="G868" s="649"/>
      <c r="H868" s="649"/>
      <c r="I868" s="649"/>
      <c r="J868" s="649"/>
      <c r="K868" s="649"/>
      <c r="L868" s="649"/>
      <c r="M868" s="649"/>
      <c r="N868" s="649"/>
      <c r="O868" s="592"/>
      <c r="P868" s="592"/>
      <c r="Q868" s="311"/>
      <c r="R868" s="311"/>
      <c r="S868" s="311"/>
      <c r="T868" s="311"/>
      <c r="U868" s="297"/>
      <c r="V868" s="297"/>
      <c r="W868" s="321"/>
      <c r="X868" s="322"/>
      <c r="Y868" s="322"/>
      <c r="Z868" s="322"/>
      <c r="AA868" s="322"/>
      <c r="AB868" s="322"/>
      <c r="AC868" s="322"/>
      <c r="AD868" s="322"/>
      <c r="AE868" s="322"/>
      <c r="AF868" s="322"/>
      <c r="AG868" s="322"/>
      <c r="AH868" s="322"/>
      <c r="AI868" s="322"/>
      <c r="AJ868" s="322"/>
      <c r="AK868" s="322"/>
      <c r="AL868" s="322"/>
      <c r="AM868" s="322"/>
      <c r="AN868" s="322"/>
      <c r="AO868" s="322"/>
      <c r="AP868" s="322"/>
      <c r="AQ868" s="322"/>
      <c r="AR868" s="322"/>
      <c r="AS868" s="322"/>
      <c r="AT868" s="322"/>
      <c r="AU868" s="322"/>
      <c r="AV868" s="322"/>
      <c r="AW868" s="322"/>
      <c r="AX868" s="322"/>
      <c r="AY868" s="322"/>
      <c r="AZ868" s="316"/>
    </row>
    <row r="869" spans="1:20" s="3" customFormat="1" ht="18">
      <c r="A869" s="93"/>
      <c r="B869" s="44"/>
      <c r="C869" s="45"/>
      <c r="D869" s="46"/>
      <c r="E869" s="24"/>
      <c r="F869" s="24"/>
      <c r="G869" s="24"/>
      <c r="H869" s="47"/>
      <c r="I869" s="48"/>
      <c r="J869" s="49"/>
      <c r="K869" s="50"/>
      <c r="L869" s="51"/>
      <c r="M869" s="52"/>
      <c r="N869" s="50"/>
      <c r="O869" s="312"/>
      <c r="P869" s="312"/>
      <c r="Q869" s="335"/>
      <c r="R869" s="335"/>
      <c r="S869" s="335"/>
      <c r="T869" s="335"/>
    </row>
    <row r="870" spans="1:20" s="3" customFormat="1" ht="18">
      <c r="A870" s="93"/>
      <c r="B870" s="44"/>
      <c r="C870" s="45"/>
      <c r="D870" s="46"/>
      <c r="E870" s="24"/>
      <c r="F870" s="24"/>
      <c r="G870" s="24"/>
      <c r="H870" s="47"/>
      <c r="I870" s="48"/>
      <c r="J870" s="49"/>
      <c r="K870" s="50"/>
      <c r="L870" s="51"/>
      <c r="M870" s="52"/>
      <c r="N870" s="50"/>
      <c r="O870" s="312"/>
      <c r="P870" s="312"/>
      <c r="Q870" s="335"/>
      <c r="R870" s="335"/>
      <c r="S870" s="335"/>
      <c r="T870" s="335"/>
    </row>
    <row r="871" spans="1:20" ht="15">
      <c r="A871" s="325"/>
      <c r="B871" s="43"/>
      <c r="C871" s="326"/>
      <c r="D871" s="84"/>
      <c r="E871" s="327"/>
      <c r="F871" s="328"/>
      <c r="G871" s="24"/>
      <c r="H871" s="598"/>
      <c r="I871" s="599"/>
      <c r="J871" s="329"/>
      <c r="K871" s="330"/>
      <c r="L871" s="331"/>
      <c r="M871" s="329"/>
      <c r="N871" s="332"/>
      <c r="O871" s="333"/>
      <c r="P871" s="334"/>
      <c r="Q871" s="83"/>
      <c r="R871" s="83"/>
      <c r="S871" s="83"/>
      <c r="T871" s="83"/>
    </row>
    <row r="872" spans="1:20" ht="15">
      <c r="A872" s="325"/>
      <c r="B872" s="43"/>
      <c r="C872" s="326"/>
      <c r="D872" s="84"/>
      <c r="E872" s="327"/>
      <c r="F872" s="328"/>
      <c r="G872" s="24"/>
      <c r="H872" s="598"/>
      <c r="I872" s="599"/>
      <c r="J872" s="329"/>
      <c r="K872" s="330"/>
      <c r="L872" s="331"/>
      <c r="M872" s="329"/>
      <c r="N872" s="332"/>
      <c r="O872" s="333"/>
      <c r="P872" s="334"/>
      <c r="Q872" s="83"/>
      <c r="R872" s="83"/>
      <c r="S872" s="83"/>
      <c r="T872" s="83"/>
    </row>
    <row r="873" spans="1:20" ht="15">
      <c r="A873" s="325"/>
      <c r="B873" s="43"/>
      <c r="C873" s="326"/>
      <c r="D873" s="84"/>
      <c r="E873" s="327"/>
      <c r="F873" s="328"/>
      <c r="G873" s="24"/>
      <c r="H873" s="598"/>
      <c r="I873" s="599"/>
      <c r="J873" s="329"/>
      <c r="K873" s="330"/>
      <c r="L873" s="331"/>
      <c r="M873" s="329"/>
      <c r="N873" s="332"/>
      <c r="O873" s="333"/>
      <c r="P873" s="334"/>
      <c r="Q873" s="83"/>
      <c r="R873" s="83"/>
      <c r="S873" s="83"/>
      <c r="T873" s="83"/>
    </row>
    <row r="874" spans="1:20" ht="15">
      <c r="A874" s="325"/>
      <c r="B874" s="43"/>
      <c r="C874" s="326"/>
      <c r="D874" s="84"/>
      <c r="E874" s="327"/>
      <c r="F874" s="328"/>
      <c r="G874" s="24"/>
      <c r="H874" s="598"/>
      <c r="I874" s="599"/>
      <c r="J874" s="329"/>
      <c r="K874" s="330"/>
      <c r="L874" s="331"/>
      <c r="M874" s="329"/>
      <c r="N874" s="332"/>
      <c r="O874" s="333"/>
      <c r="P874" s="334"/>
      <c r="Q874" s="83"/>
      <c r="R874" s="83"/>
      <c r="S874" s="83"/>
      <c r="T874" s="83"/>
    </row>
    <row r="875" spans="1:20" ht="15">
      <c r="A875" s="325"/>
      <c r="B875" s="43"/>
      <c r="C875" s="326"/>
      <c r="D875" s="84"/>
      <c r="E875" s="327"/>
      <c r="F875" s="328"/>
      <c r="G875" s="24"/>
      <c r="H875" s="598"/>
      <c r="I875" s="599"/>
      <c r="J875" s="329"/>
      <c r="K875" s="330"/>
      <c r="L875" s="331"/>
      <c r="M875" s="329"/>
      <c r="N875" s="332"/>
      <c r="O875" s="333"/>
      <c r="P875" s="334"/>
      <c r="Q875" s="83"/>
      <c r="R875" s="83"/>
      <c r="S875" s="83"/>
      <c r="T875" s="83"/>
    </row>
    <row r="876" spans="1:20" ht="15">
      <c r="A876" s="325"/>
      <c r="B876" s="43"/>
      <c r="C876" s="326"/>
      <c r="D876" s="84"/>
      <c r="E876" s="327"/>
      <c r="F876" s="328"/>
      <c r="G876" s="24"/>
      <c r="H876" s="598"/>
      <c r="I876" s="599"/>
      <c r="J876" s="329"/>
      <c r="K876" s="330"/>
      <c r="L876" s="331"/>
      <c r="M876" s="329"/>
      <c r="N876" s="332"/>
      <c r="O876" s="333"/>
      <c r="P876" s="334"/>
      <c r="Q876" s="83"/>
      <c r="R876" s="83"/>
      <c r="S876" s="83"/>
      <c r="T876" s="83"/>
    </row>
    <row r="877" spans="1:20" ht="15">
      <c r="A877" s="325"/>
      <c r="B877" s="43"/>
      <c r="C877" s="326"/>
      <c r="D877" s="84"/>
      <c r="E877" s="327"/>
      <c r="F877" s="328"/>
      <c r="G877" s="24"/>
      <c r="H877" s="598"/>
      <c r="I877" s="599"/>
      <c r="J877" s="329"/>
      <c r="K877" s="330"/>
      <c r="L877" s="331"/>
      <c r="M877" s="329"/>
      <c r="N877" s="332"/>
      <c r="O877" s="333"/>
      <c r="P877" s="334"/>
      <c r="Q877" s="83"/>
      <c r="R877" s="83"/>
      <c r="S877" s="83"/>
      <c r="T877" s="83"/>
    </row>
    <row r="878" spans="1:20" ht="15">
      <c r="A878" s="325"/>
      <c r="B878" s="43"/>
      <c r="C878" s="326"/>
      <c r="D878" s="84"/>
      <c r="E878" s="327"/>
      <c r="F878" s="328"/>
      <c r="G878" s="24"/>
      <c r="H878" s="598"/>
      <c r="I878" s="599"/>
      <c r="J878" s="329"/>
      <c r="K878" s="330"/>
      <c r="L878" s="331"/>
      <c r="M878" s="329"/>
      <c r="N878" s="332"/>
      <c r="O878" s="333"/>
      <c r="P878" s="334"/>
      <c r="Q878" s="83"/>
      <c r="R878" s="83"/>
      <c r="S878" s="83"/>
      <c r="T878" s="83"/>
    </row>
    <row r="879" spans="1:20" ht="15">
      <c r="A879" s="325"/>
      <c r="B879" s="43"/>
      <c r="C879" s="326"/>
      <c r="D879" s="84"/>
      <c r="E879" s="327"/>
      <c r="F879" s="328"/>
      <c r="G879" s="24"/>
      <c r="H879" s="598"/>
      <c r="I879" s="599"/>
      <c r="J879" s="329"/>
      <c r="K879" s="330"/>
      <c r="L879" s="331"/>
      <c r="M879" s="329"/>
      <c r="N879" s="332"/>
      <c r="O879" s="333"/>
      <c r="P879" s="334"/>
      <c r="Q879" s="83"/>
      <c r="R879" s="83"/>
      <c r="S879" s="83"/>
      <c r="T879" s="83"/>
    </row>
    <row r="880" spans="1:20" ht="15">
      <c r="A880" s="325"/>
      <c r="B880" s="43"/>
      <c r="C880" s="326"/>
      <c r="D880" s="84"/>
      <c r="E880" s="327"/>
      <c r="F880" s="328"/>
      <c r="G880" s="24"/>
      <c r="H880" s="598"/>
      <c r="I880" s="599"/>
      <c r="J880" s="329"/>
      <c r="K880" s="330"/>
      <c r="L880" s="331"/>
      <c r="M880" s="329"/>
      <c r="N880" s="332"/>
      <c r="O880" s="333"/>
      <c r="P880" s="334"/>
      <c r="Q880" s="83"/>
      <c r="R880" s="83"/>
      <c r="S880" s="83"/>
      <c r="T880" s="83"/>
    </row>
    <row r="881" spans="1:20" ht="15">
      <c r="A881" s="325"/>
      <c r="B881" s="43"/>
      <c r="C881" s="326"/>
      <c r="D881" s="84"/>
      <c r="E881" s="327"/>
      <c r="F881" s="328"/>
      <c r="G881" s="24"/>
      <c r="H881" s="598"/>
      <c r="I881" s="599"/>
      <c r="J881" s="329"/>
      <c r="K881" s="330"/>
      <c r="L881" s="331"/>
      <c r="M881" s="329"/>
      <c r="N881" s="332"/>
      <c r="O881" s="333"/>
      <c r="P881" s="334"/>
      <c r="Q881" s="83"/>
      <c r="R881" s="83"/>
      <c r="S881" s="83"/>
      <c r="T881" s="83"/>
    </row>
    <row r="882" spans="1:20" ht="15">
      <c r="A882" s="325"/>
      <c r="B882" s="43"/>
      <c r="C882" s="326"/>
      <c r="D882" s="84"/>
      <c r="E882" s="327"/>
      <c r="F882" s="328"/>
      <c r="G882" s="24"/>
      <c r="H882" s="598"/>
      <c r="I882" s="599"/>
      <c r="J882" s="329"/>
      <c r="K882" s="330"/>
      <c r="L882" s="331"/>
      <c r="M882" s="329"/>
      <c r="N882" s="332"/>
      <c r="O882" s="333"/>
      <c r="P882" s="334"/>
      <c r="Q882" s="83"/>
      <c r="R882" s="83"/>
      <c r="S882" s="83"/>
      <c r="T882" s="83"/>
    </row>
    <row r="883" spans="1:20" ht="15">
      <c r="A883" s="325"/>
      <c r="B883" s="43"/>
      <c r="C883" s="326"/>
      <c r="D883" s="84"/>
      <c r="E883" s="327"/>
      <c r="F883" s="328"/>
      <c r="G883" s="24"/>
      <c r="H883" s="598"/>
      <c r="I883" s="599"/>
      <c r="J883" s="329"/>
      <c r="K883" s="330"/>
      <c r="L883" s="331"/>
      <c r="M883" s="329"/>
      <c r="N883" s="332"/>
      <c r="O883" s="333"/>
      <c r="P883" s="334"/>
      <c r="Q883" s="83"/>
      <c r="R883" s="83"/>
      <c r="S883" s="83"/>
      <c r="T883" s="83"/>
    </row>
    <row r="884" spans="1:20" ht="15">
      <c r="A884" s="325"/>
      <c r="B884" s="43"/>
      <c r="C884" s="326"/>
      <c r="D884" s="84"/>
      <c r="E884" s="327"/>
      <c r="F884" s="328"/>
      <c r="G884" s="24"/>
      <c r="H884" s="598"/>
      <c r="I884" s="599"/>
      <c r="J884" s="329"/>
      <c r="K884" s="330"/>
      <c r="L884" s="331"/>
      <c r="M884" s="329"/>
      <c r="N884" s="332"/>
      <c r="O884" s="333"/>
      <c r="P884" s="334"/>
      <c r="Q884" s="83"/>
      <c r="R884" s="83"/>
      <c r="S884" s="83"/>
      <c r="T884" s="83"/>
    </row>
    <row r="885" spans="1:20" ht="15">
      <c r="A885" s="325"/>
      <c r="B885" s="43"/>
      <c r="C885" s="326"/>
      <c r="D885" s="84"/>
      <c r="E885" s="327"/>
      <c r="F885" s="328"/>
      <c r="G885" s="24"/>
      <c r="H885" s="598"/>
      <c r="I885" s="599"/>
      <c r="J885" s="329"/>
      <c r="K885" s="330"/>
      <c r="L885" s="331"/>
      <c r="M885" s="329"/>
      <c r="N885" s="332"/>
      <c r="O885" s="333"/>
      <c r="P885" s="334"/>
      <c r="Q885" s="83"/>
      <c r="R885" s="83"/>
      <c r="S885" s="83"/>
      <c r="T885" s="83"/>
    </row>
    <row r="886" spans="1:20" ht="15">
      <c r="A886" s="325"/>
      <c r="B886" s="43"/>
      <c r="C886" s="326"/>
      <c r="D886" s="84"/>
      <c r="E886" s="327"/>
      <c r="F886" s="328"/>
      <c r="G886" s="24"/>
      <c r="H886" s="598"/>
      <c r="I886" s="599"/>
      <c r="J886" s="329"/>
      <c r="K886" s="330"/>
      <c r="L886" s="331"/>
      <c r="M886" s="329"/>
      <c r="N886" s="332"/>
      <c r="O886" s="333"/>
      <c r="P886" s="334"/>
      <c r="Q886" s="83"/>
      <c r="R886" s="83"/>
      <c r="S886" s="83"/>
      <c r="T886" s="83"/>
    </row>
    <row r="887" spans="1:20" ht="15">
      <c r="A887" s="325"/>
      <c r="B887" s="43"/>
      <c r="C887" s="326"/>
      <c r="D887" s="84"/>
      <c r="E887" s="327"/>
      <c r="F887" s="328"/>
      <c r="G887" s="24"/>
      <c r="H887" s="598"/>
      <c r="I887" s="599"/>
      <c r="J887" s="329"/>
      <c r="K887" s="330"/>
      <c r="L887" s="331"/>
      <c r="M887" s="329"/>
      <c r="N887" s="332"/>
      <c r="O887" s="333"/>
      <c r="P887" s="334"/>
      <c r="Q887" s="83"/>
      <c r="R887" s="83"/>
      <c r="S887" s="83"/>
      <c r="T887" s="83"/>
    </row>
    <row r="888" spans="1:20" ht="15">
      <c r="A888" s="325"/>
      <c r="B888" s="43"/>
      <c r="C888" s="326"/>
      <c r="D888" s="84"/>
      <c r="E888" s="327"/>
      <c r="F888" s="328"/>
      <c r="G888" s="24"/>
      <c r="H888" s="598"/>
      <c r="I888" s="599"/>
      <c r="J888" s="329"/>
      <c r="K888" s="330"/>
      <c r="L888" s="331"/>
      <c r="M888" s="329"/>
      <c r="N888" s="332"/>
      <c r="O888" s="333"/>
      <c r="P888" s="334"/>
      <c r="Q888" s="83"/>
      <c r="R888" s="83"/>
      <c r="S888" s="83"/>
      <c r="T888" s="83"/>
    </row>
    <row r="889" spans="1:20" ht="15">
      <c r="A889" s="325"/>
      <c r="B889" s="43"/>
      <c r="C889" s="326"/>
      <c r="D889" s="84"/>
      <c r="E889" s="327"/>
      <c r="F889" s="328"/>
      <c r="G889" s="24"/>
      <c r="H889" s="598"/>
      <c r="I889" s="599"/>
      <c r="J889" s="329"/>
      <c r="K889" s="330"/>
      <c r="L889" s="331"/>
      <c r="M889" s="329"/>
      <c r="N889" s="332"/>
      <c r="O889" s="333"/>
      <c r="P889" s="334"/>
      <c r="Q889" s="83"/>
      <c r="R889" s="83"/>
      <c r="S889" s="83"/>
      <c r="T889" s="83"/>
    </row>
    <row r="890" spans="1:20" ht="15">
      <c r="A890" s="325"/>
      <c r="B890" s="43"/>
      <c r="C890" s="326"/>
      <c r="D890" s="84"/>
      <c r="E890" s="327"/>
      <c r="F890" s="328"/>
      <c r="G890" s="24"/>
      <c r="H890" s="598"/>
      <c r="I890" s="599"/>
      <c r="J890" s="329"/>
      <c r="K890" s="330"/>
      <c r="L890" s="331"/>
      <c r="M890" s="329"/>
      <c r="N890" s="332"/>
      <c r="O890" s="333"/>
      <c r="P890" s="334"/>
      <c r="Q890" s="83"/>
      <c r="R890" s="83"/>
      <c r="S890" s="83"/>
      <c r="T890" s="83"/>
    </row>
    <row r="891" spans="1:20" ht="15">
      <c r="A891" s="325"/>
      <c r="B891" s="43"/>
      <c r="C891" s="326"/>
      <c r="D891" s="84"/>
      <c r="E891" s="327"/>
      <c r="F891" s="328"/>
      <c r="G891" s="24"/>
      <c r="H891" s="598"/>
      <c r="I891" s="599"/>
      <c r="J891" s="329"/>
      <c r="K891" s="330"/>
      <c r="L891" s="331"/>
      <c r="M891" s="329"/>
      <c r="N891" s="332"/>
      <c r="O891" s="333"/>
      <c r="P891" s="334"/>
      <c r="Q891" s="83"/>
      <c r="R891" s="83"/>
      <c r="S891" s="83"/>
      <c r="T891" s="83"/>
    </row>
    <row r="892" spans="1:20" ht="15">
      <c r="A892" s="325"/>
      <c r="B892" s="43"/>
      <c r="C892" s="326"/>
      <c r="D892" s="84"/>
      <c r="E892" s="327"/>
      <c r="F892" s="328"/>
      <c r="G892" s="24"/>
      <c r="H892" s="598"/>
      <c r="I892" s="599"/>
      <c r="J892" s="329"/>
      <c r="K892" s="330"/>
      <c r="L892" s="331"/>
      <c r="M892" s="329"/>
      <c r="N892" s="332"/>
      <c r="O892" s="333"/>
      <c r="P892" s="334"/>
      <c r="Q892" s="83"/>
      <c r="R892" s="83"/>
      <c r="S892" s="83"/>
      <c r="T892" s="83"/>
    </row>
    <row r="893" spans="1:20" ht="15">
      <c r="A893" s="325"/>
      <c r="B893" s="43"/>
      <c r="C893" s="326"/>
      <c r="D893" s="84"/>
      <c r="E893" s="327"/>
      <c r="F893" s="328"/>
      <c r="G893" s="24"/>
      <c r="H893" s="598"/>
      <c r="I893" s="599"/>
      <c r="J893" s="329"/>
      <c r="K893" s="330"/>
      <c r="L893" s="331"/>
      <c r="M893" s="329"/>
      <c r="N893" s="332"/>
      <c r="O893" s="333"/>
      <c r="P893" s="334"/>
      <c r="Q893" s="83"/>
      <c r="R893" s="83"/>
      <c r="S893" s="83"/>
      <c r="T893" s="83"/>
    </row>
    <row r="894" spans="1:20" ht="15">
      <c r="A894" s="325"/>
      <c r="B894" s="43"/>
      <c r="C894" s="326"/>
      <c r="D894" s="84"/>
      <c r="E894" s="327"/>
      <c r="F894" s="328"/>
      <c r="G894" s="24"/>
      <c r="H894" s="598"/>
      <c r="I894" s="599"/>
      <c r="J894" s="329"/>
      <c r="K894" s="330"/>
      <c r="L894" s="331"/>
      <c r="M894" s="329"/>
      <c r="N894" s="332"/>
      <c r="O894" s="333"/>
      <c r="P894" s="334"/>
      <c r="Q894" s="83"/>
      <c r="R894" s="83"/>
      <c r="S894" s="83"/>
      <c r="T894" s="83"/>
    </row>
    <row r="895" spans="1:20" ht="15">
      <c r="A895" s="325"/>
      <c r="B895" s="43"/>
      <c r="C895" s="326"/>
      <c r="D895" s="84"/>
      <c r="E895" s="327"/>
      <c r="F895" s="328"/>
      <c r="G895" s="24"/>
      <c r="H895" s="598"/>
      <c r="I895" s="599"/>
      <c r="J895" s="329"/>
      <c r="K895" s="330"/>
      <c r="L895" s="331"/>
      <c r="M895" s="329"/>
      <c r="N895" s="332"/>
      <c r="O895" s="333"/>
      <c r="P895" s="334"/>
      <c r="Q895" s="83"/>
      <c r="R895" s="83"/>
      <c r="S895" s="83"/>
      <c r="T895" s="83"/>
    </row>
    <row r="896" spans="1:20" ht="15">
      <c r="A896" s="325"/>
      <c r="B896" s="43"/>
      <c r="C896" s="326"/>
      <c r="D896" s="84"/>
      <c r="E896" s="327"/>
      <c r="F896" s="328"/>
      <c r="G896" s="24"/>
      <c r="H896" s="598"/>
      <c r="I896" s="599"/>
      <c r="J896" s="329"/>
      <c r="K896" s="330"/>
      <c r="L896" s="331"/>
      <c r="M896" s="329"/>
      <c r="N896" s="332"/>
      <c r="O896" s="333"/>
      <c r="P896" s="334"/>
      <c r="Q896" s="83"/>
      <c r="R896" s="83"/>
      <c r="S896" s="83"/>
      <c r="T896" s="83"/>
    </row>
    <row r="897" spans="1:20" ht="15">
      <c r="A897" s="325"/>
      <c r="B897" s="43"/>
      <c r="C897" s="326"/>
      <c r="D897" s="84"/>
      <c r="E897" s="327"/>
      <c r="F897" s="328"/>
      <c r="G897" s="24"/>
      <c r="H897" s="598"/>
      <c r="I897" s="599"/>
      <c r="J897" s="329"/>
      <c r="K897" s="330"/>
      <c r="L897" s="331"/>
      <c r="M897" s="329"/>
      <c r="N897" s="332"/>
      <c r="O897" s="333"/>
      <c r="P897" s="334"/>
      <c r="Q897" s="83"/>
      <c r="R897" s="83"/>
      <c r="S897" s="83"/>
      <c r="T897" s="83"/>
    </row>
    <row r="898" spans="1:20" ht="15">
      <c r="A898" s="325"/>
      <c r="B898" s="43"/>
      <c r="C898" s="326"/>
      <c r="D898" s="84"/>
      <c r="E898" s="327"/>
      <c r="F898" s="328"/>
      <c r="G898" s="24"/>
      <c r="H898" s="598"/>
      <c r="I898" s="599"/>
      <c r="J898" s="329"/>
      <c r="K898" s="330"/>
      <c r="L898" s="331"/>
      <c r="M898" s="329"/>
      <c r="N898" s="332"/>
      <c r="O898" s="333"/>
      <c r="P898" s="334"/>
      <c r="Q898" s="83"/>
      <c r="R898" s="83"/>
      <c r="S898" s="83"/>
      <c r="T898" s="83"/>
    </row>
    <row r="899" spans="1:20" ht="15">
      <c r="A899" s="325"/>
      <c r="B899" s="43"/>
      <c r="C899" s="326"/>
      <c r="D899" s="84"/>
      <c r="E899" s="327"/>
      <c r="F899" s="328"/>
      <c r="G899" s="24"/>
      <c r="H899" s="598"/>
      <c r="I899" s="599"/>
      <c r="J899" s="329"/>
      <c r="K899" s="330"/>
      <c r="L899" s="331"/>
      <c r="M899" s="329"/>
      <c r="N899" s="332"/>
      <c r="O899" s="333"/>
      <c r="P899" s="334"/>
      <c r="Q899" s="83"/>
      <c r="R899" s="83"/>
      <c r="S899" s="83"/>
      <c r="T899" s="83"/>
    </row>
    <row r="900" spans="1:20" ht="15">
      <c r="A900" s="325"/>
      <c r="B900" s="43"/>
      <c r="C900" s="326"/>
      <c r="D900" s="84"/>
      <c r="E900" s="327"/>
      <c r="F900" s="328"/>
      <c r="G900" s="24"/>
      <c r="H900" s="598"/>
      <c r="I900" s="599"/>
      <c r="J900" s="329"/>
      <c r="K900" s="330"/>
      <c r="L900" s="331"/>
      <c r="M900" s="329"/>
      <c r="N900" s="332"/>
      <c r="O900" s="333"/>
      <c r="P900" s="334"/>
      <c r="Q900" s="83"/>
      <c r="R900" s="83"/>
      <c r="S900" s="83"/>
      <c r="T900" s="83"/>
    </row>
    <row r="901" spans="1:20" ht="15">
      <c r="A901" s="325"/>
      <c r="B901" s="43"/>
      <c r="C901" s="326"/>
      <c r="D901" s="84"/>
      <c r="E901" s="327"/>
      <c r="F901" s="328"/>
      <c r="G901" s="24"/>
      <c r="H901" s="598"/>
      <c r="I901" s="599"/>
      <c r="J901" s="329"/>
      <c r="K901" s="330"/>
      <c r="L901" s="331"/>
      <c r="M901" s="329"/>
      <c r="N901" s="332"/>
      <c r="O901" s="333"/>
      <c r="P901" s="334"/>
      <c r="Q901" s="83"/>
      <c r="R901" s="83"/>
      <c r="S901" s="83"/>
      <c r="T901" s="83"/>
    </row>
    <row r="902" spans="1:20" ht="15">
      <c r="A902" s="325"/>
      <c r="B902" s="43"/>
      <c r="C902" s="326"/>
      <c r="D902" s="84"/>
      <c r="E902" s="327"/>
      <c r="F902" s="328"/>
      <c r="G902" s="24"/>
      <c r="H902" s="598"/>
      <c r="I902" s="599"/>
      <c r="J902" s="329"/>
      <c r="K902" s="330"/>
      <c r="L902" s="331"/>
      <c r="M902" s="329"/>
      <c r="N902" s="332"/>
      <c r="O902" s="333"/>
      <c r="P902" s="334"/>
      <c r="Q902" s="83"/>
      <c r="R902" s="83"/>
      <c r="S902" s="83"/>
      <c r="T902" s="83"/>
    </row>
    <row r="903" spans="1:20" ht="15">
      <c r="A903" s="325"/>
      <c r="B903" s="43"/>
      <c r="C903" s="326"/>
      <c r="D903" s="84"/>
      <c r="E903" s="327"/>
      <c r="F903" s="328"/>
      <c r="G903" s="24"/>
      <c r="H903" s="598"/>
      <c r="I903" s="599"/>
      <c r="J903" s="329"/>
      <c r="K903" s="330"/>
      <c r="L903" s="331"/>
      <c r="M903" s="329"/>
      <c r="N903" s="332"/>
      <c r="O903" s="333"/>
      <c r="P903" s="334"/>
      <c r="Q903" s="83"/>
      <c r="R903" s="83"/>
      <c r="S903" s="83"/>
      <c r="T903" s="83"/>
    </row>
    <row r="904" spans="1:20" ht="15">
      <c r="A904" s="325"/>
      <c r="B904" s="43"/>
      <c r="C904" s="326"/>
      <c r="D904" s="84"/>
      <c r="E904" s="327"/>
      <c r="F904" s="328"/>
      <c r="G904" s="24"/>
      <c r="H904" s="598"/>
      <c r="I904" s="599"/>
      <c r="J904" s="329"/>
      <c r="K904" s="330"/>
      <c r="L904" s="331"/>
      <c r="M904" s="329"/>
      <c r="N904" s="332"/>
      <c r="O904" s="333"/>
      <c r="P904" s="334"/>
      <c r="Q904" s="83"/>
      <c r="R904" s="83"/>
      <c r="S904" s="83"/>
      <c r="T904" s="83"/>
    </row>
    <row r="905" spans="1:20" ht="15">
      <c r="A905" s="325"/>
      <c r="B905" s="43"/>
      <c r="C905" s="326"/>
      <c r="D905" s="84"/>
      <c r="E905" s="327"/>
      <c r="F905" s="328"/>
      <c r="G905" s="24"/>
      <c r="H905" s="598"/>
      <c r="I905" s="599"/>
      <c r="J905" s="329"/>
      <c r="K905" s="330"/>
      <c r="L905" s="331"/>
      <c r="M905" s="329"/>
      <c r="N905" s="332"/>
      <c r="O905" s="333"/>
      <c r="P905" s="334"/>
      <c r="Q905" s="83"/>
      <c r="R905" s="83"/>
      <c r="S905" s="83"/>
      <c r="T905" s="83"/>
    </row>
    <row r="906" spans="1:20" ht="15">
      <c r="A906" s="325"/>
      <c r="B906" s="43"/>
      <c r="C906" s="326"/>
      <c r="D906" s="84"/>
      <c r="E906" s="327"/>
      <c r="F906" s="328"/>
      <c r="G906" s="24"/>
      <c r="H906" s="598"/>
      <c r="I906" s="599"/>
      <c r="J906" s="329"/>
      <c r="K906" s="330"/>
      <c r="L906" s="331"/>
      <c r="M906" s="329"/>
      <c r="N906" s="332"/>
      <c r="O906" s="333"/>
      <c r="P906" s="334"/>
      <c r="Q906" s="83"/>
      <c r="R906" s="83"/>
      <c r="S906" s="83"/>
      <c r="T906" s="83"/>
    </row>
    <row r="907" spans="1:20" ht="15">
      <c r="A907" s="325"/>
      <c r="B907" s="43"/>
      <c r="C907" s="326"/>
      <c r="D907" s="84"/>
      <c r="E907" s="327"/>
      <c r="F907" s="328"/>
      <c r="G907" s="24"/>
      <c r="H907" s="598"/>
      <c r="I907" s="599"/>
      <c r="J907" s="329"/>
      <c r="K907" s="330"/>
      <c r="L907" s="331"/>
      <c r="M907" s="329"/>
      <c r="N907" s="332"/>
      <c r="O907" s="333"/>
      <c r="P907" s="334"/>
      <c r="Q907" s="83"/>
      <c r="R907" s="83"/>
      <c r="S907" s="83"/>
      <c r="T907" s="83"/>
    </row>
    <row r="908" spans="1:20" ht="15">
      <c r="A908" s="325"/>
      <c r="B908" s="43"/>
      <c r="C908" s="326"/>
      <c r="D908" s="84"/>
      <c r="E908" s="327"/>
      <c r="F908" s="328"/>
      <c r="G908" s="24"/>
      <c r="H908" s="598"/>
      <c r="I908" s="599"/>
      <c r="J908" s="329"/>
      <c r="K908" s="330"/>
      <c r="L908" s="331"/>
      <c r="M908" s="329"/>
      <c r="N908" s="332"/>
      <c r="O908" s="333"/>
      <c r="P908" s="334"/>
      <c r="Q908" s="83"/>
      <c r="R908" s="83"/>
      <c r="S908" s="83"/>
      <c r="T908" s="83"/>
    </row>
    <row r="909" spans="1:20" ht="15">
      <c r="A909" s="325"/>
      <c r="B909" s="43"/>
      <c r="C909" s="326"/>
      <c r="D909" s="84"/>
      <c r="E909" s="327"/>
      <c r="F909" s="328"/>
      <c r="G909" s="24"/>
      <c r="H909" s="598"/>
      <c r="I909" s="599"/>
      <c r="J909" s="329"/>
      <c r="K909" s="330"/>
      <c r="L909" s="331"/>
      <c r="M909" s="329"/>
      <c r="N909" s="332"/>
      <c r="O909" s="333"/>
      <c r="P909" s="334"/>
      <c r="Q909" s="83"/>
      <c r="R909" s="83"/>
      <c r="S909" s="83"/>
      <c r="T909" s="83"/>
    </row>
    <row r="910" spans="1:20" ht="15">
      <c r="A910" s="325"/>
      <c r="B910" s="43"/>
      <c r="C910" s="326"/>
      <c r="D910" s="84"/>
      <c r="E910" s="327"/>
      <c r="F910" s="328"/>
      <c r="G910" s="24"/>
      <c r="H910" s="598"/>
      <c r="I910" s="599"/>
      <c r="J910" s="329"/>
      <c r="K910" s="330"/>
      <c r="L910" s="331"/>
      <c r="M910" s="329"/>
      <c r="N910" s="332"/>
      <c r="O910" s="333"/>
      <c r="P910" s="334"/>
      <c r="Q910" s="83"/>
      <c r="R910" s="83"/>
      <c r="S910" s="83"/>
      <c r="T910" s="83"/>
    </row>
    <row r="911" spans="1:20" ht="15">
      <c r="A911" s="325"/>
      <c r="B911" s="43"/>
      <c r="C911" s="326"/>
      <c r="D911" s="84"/>
      <c r="E911" s="327"/>
      <c r="F911" s="328"/>
      <c r="G911" s="24"/>
      <c r="H911" s="598"/>
      <c r="I911" s="599"/>
      <c r="J911" s="329"/>
      <c r="K911" s="330"/>
      <c r="L911" s="331"/>
      <c r="M911" s="329"/>
      <c r="N911" s="332"/>
      <c r="O911" s="333"/>
      <c r="P911" s="334"/>
      <c r="Q911" s="83"/>
      <c r="R911" s="83"/>
      <c r="S911" s="83"/>
      <c r="T911" s="83"/>
    </row>
    <row r="912" spans="1:20" ht="15">
      <c r="A912" s="325"/>
      <c r="B912" s="43"/>
      <c r="C912" s="326"/>
      <c r="D912" s="84"/>
      <c r="E912" s="327"/>
      <c r="F912" s="328"/>
      <c r="G912" s="24"/>
      <c r="H912" s="598"/>
      <c r="I912" s="599"/>
      <c r="J912" s="329"/>
      <c r="K912" s="330"/>
      <c r="L912" s="331"/>
      <c r="M912" s="329"/>
      <c r="N912" s="332"/>
      <c r="O912" s="333"/>
      <c r="P912" s="334"/>
      <c r="Q912" s="83"/>
      <c r="R912" s="83"/>
      <c r="S912" s="83"/>
      <c r="T912" s="83"/>
    </row>
    <row r="913" spans="1:20" ht="15">
      <c r="A913" s="325"/>
      <c r="B913" s="43"/>
      <c r="C913" s="326"/>
      <c r="D913" s="84"/>
      <c r="E913" s="327"/>
      <c r="F913" s="328"/>
      <c r="G913" s="24"/>
      <c r="H913" s="598"/>
      <c r="I913" s="599"/>
      <c r="J913" s="329"/>
      <c r="K913" s="330"/>
      <c r="L913" s="331"/>
      <c r="M913" s="329"/>
      <c r="N913" s="332"/>
      <c r="O913" s="333"/>
      <c r="P913" s="334"/>
      <c r="Q913" s="83"/>
      <c r="R913" s="83"/>
      <c r="S913" s="83"/>
      <c r="T913" s="83"/>
    </row>
    <row r="914" spans="1:20" ht="15">
      <c r="A914" s="325"/>
      <c r="B914" s="43"/>
      <c r="C914" s="326"/>
      <c r="D914" s="84"/>
      <c r="E914" s="327"/>
      <c r="F914" s="328"/>
      <c r="G914" s="24"/>
      <c r="H914" s="598"/>
      <c r="I914" s="599"/>
      <c r="J914" s="329"/>
      <c r="K914" s="330"/>
      <c r="L914" s="331"/>
      <c r="M914" s="329"/>
      <c r="N914" s="332"/>
      <c r="O914" s="333"/>
      <c r="P914" s="334"/>
      <c r="Q914" s="83"/>
      <c r="R914" s="83"/>
      <c r="S914" s="83"/>
      <c r="T914" s="83"/>
    </row>
    <row r="915" spans="1:20" ht="15">
      <c r="A915" s="325"/>
      <c r="B915" s="43"/>
      <c r="C915" s="326"/>
      <c r="D915" s="84"/>
      <c r="E915" s="327"/>
      <c r="F915" s="328"/>
      <c r="G915" s="24"/>
      <c r="H915" s="598"/>
      <c r="I915" s="599"/>
      <c r="J915" s="329"/>
      <c r="K915" s="330"/>
      <c r="L915" s="331"/>
      <c r="M915" s="329"/>
      <c r="N915" s="332"/>
      <c r="O915" s="333"/>
      <c r="P915" s="334"/>
      <c r="Q915" s="83"/>
      <c r="R915" s="83"/>
      <c r="S915" s="83"/>
      <c r="T915" s="83"/>
    </row>
    <row r="916" spans="1:20" ht="15">
      <c r="A916" s="325"/>
      <c r="B916" s="43"/>
      <c r="C916" s="326"/>
      <c r="D916" s="84"/>
      <c r="E916" s="327"/>
      <c r="F916" s="328"/>
      <c r="G916" s="24"/>
      <c r="H916" s="598"/>
      <c r="I916" s="599"/>
      <c r="J916" s="329"/>
      <c r="K916" s="330"/>
      <c r="L916" s="331"/>
      <c r="M916" s="329"/>
      <c r="N916" s="332"/>
      <c r="O916" s="333"/>
      <c r="P916" s="334"/>
      <c r="Q916" s="83"/>
      <c r="R916" s="83"/>
      <c r="S916" s="83"/>
      <c r="T916" s="83"/>
    </row>
    <row r="917" spans="1:20" ht="15">
      <c r="A917" s="325"/>
      <c r="B917" s="43"/>
      <c r="C917" s="326"/>
      <c r="D917" s="84"/>
      <c r="E917" s="327"/>
      <c r="F917" s="328"/>
      <c r="G917" s="24"/>
      <c r="H917" s="598"/>
      <c r="I917" s="599"/>
      <c r="J917" s="329"/>
      <c r="K917" s="330"/>
      <c r="L917" s="331"/>
      <c r="M917" s="329"/>
      <c r="N917" s="332"/>
      <c r="O917" s="333"/>
      <c r="P917" s="334"/>
      <c r="Q917" s="83"/>
      <c r="R917" s="83"/>
      <c r="S917" s="83"/>
      <c r="T917" s="83"/>
    </row>
    <row r="918" spans="1:20" ht="15">
      <c r="A918" s="325"/>
      <c r="B918" s="43"/>
      <c r="C918" s="326"/>
      <c r="D918" s="84"/>
      <c r="E918" s="327"/>
      <c r="F918" s="328"/>
      <c r="G918" s="24"/>
      <c r="H918" s="598"/>
      <c r="I918" s="599"/>
      <c r="J918" s="329"/>
      <c r="K918" s="330"/>
      <c r="L918" s="331"/>
      <c r="M918" s="329"/>
      <c r="N918" s="332"/>
      <c r="O918" s="333"/>
      <c r="P918" s="334"/>
      <c r="Q918" s="83"/>
      <c r="R918" s="83"/>
      <c r="S918" s="83"/>
      <c r="T918" s="83"/>
    </row>
    <row r="919" spans="1:20" ht="15">
      <c r="A919" s="325"/>
      <c r="B919" s="43"/>
      <c r="C919" s="326"/>
      <c r="D919" s="84"/>
      <c r="E919" s="327"/>
      <c r="F919" s="328"/>
      <c r="G919" s="24"/>
      <c r="H919" s="598"/>
      <c r="I919" s="599"/>
      <c r="J919" s="329"/>
      <c r="K919" s="330"/>
      <c r="L919" s="331"/>
      <c r="M919" s="329"/>
      <c r="N919" s="332"/>
      <c r="O919" s="333"/>
      <c r="P919" s="334"/>
      <c r="Q919" s="83"/>
      <c r="R919" s="83"/>
      <c r="S919" s="83"/>
      <c r="T919" s="83"/>
    </row>
    <row r="920" spans="1:20" ht="15">
      <c r="A920" s="325"/>
      <c r="B920" s="43"/>
      <c r="C920" s="326"/>
      <c r="D920" s="84"/>
      <c r="E920" s="327"/>
      <c r="F920" s="328"/>
      <c r="G920" s="24"/>
      <c r="H920" s="598"/>
      <c r="I920" s="599"/>
      <c r="J920" s="329"/>
      <c r="K920" s="330"/>
      <c r="L920" s="331"/>
      <c r="M920" s="329"/>
      <c r="N920" s="332"/>
      <c r="O920" s="333"/>
      <c r="P920" s="334"/>
      <c r="Q920" s="83"/>
      <c r="R920" s="83"/>
      <c r="S920" s="83"/>
      <c r="T920" s="83"/>
    </row>
    <row r="921" spans="1:20" ht="15">
      <c r="A921" s="325"/>
      <c r="B921" s="43"/>
      <c r="C921" s="326"/>
      <c r="D921" s="84"/>
      <c r="E921" s="327"/>
      <c r="F921" s="328"/>
      <c r="G921" s="24"/>
      <c r="H921" s="598"/>
      <c r="I921" s="599"/>
      <c r="J921" s="329"/>
      <c r="K921" s="330"/>
      <c r="L921" s="331"/>
      <c r="M921" s="329"/>
      <c r="N921" s="332"/>
      <c r="O921" s="333"/>
      <c r="P921" s="334"/>
      <c r="Q921" s="83"/>
      <c r="R921" s="83"/>
      <c r="S921" s="83"/>
      <c r="T921" s="83"/>
    </row>
    <row r="922" spans="1:20" ht="15">
      <c r="A922" s="325"/>
      <c r="B922" s="43"/>
      <c r="C922" s="326"/>
      <c r="D922" s="84"/>
      <c r="E922" s="327"/>
      <c r="F922" s="328"/>
      <c r="G922" s="24"/>
      <c r="H922" s="598"/>
      <c r="I922" s="599"/>
      <c r="J922" s="329"/>
      <c r="K922" s="330"/>
      <c r="L922" s="331"/>
      <c r="M922" s="329"/>
      <c r="N922" s="332"/>
      <c r="O922" s="333"/>
      <c r="P922" s="334"/>
      <c r="Q922" s="83"/>
      <c r="R922" s="83"/>
      <c r="S922" s="83"/>
      <c r="T922" s="83"/>
    </row>
    <row r="923" spans="1:20" ht="15">
      <c r="A923" s="325"/>
      <c r="B923" s="43"/>
      <c r="C923" s="326"/>
      <c r="D923" s="84"/>
      <c r="E923" s="327"/>
      <c r="F923" s="328"/>
      <c r="G923" s="24"/>
      <c r="H923" s="598"/>
      <c r="I923" s="599"/>
      <c r="J923" s="329"/>
      <c r="K923" s="330"/>
      <c r="L923" s="331"/>
      <c r="M923" s="329"/>
      <c r="N923" s="332"/>
      <c r="O923" s="333"/>
      <c r="P923" s="334"/>
      <c r="Q923" s="83"/>
      <c r="R923" s="83"/>
      <c r="S923" s="83"/>
      <c r="T923" s="83"/>
    </row>
    <row r="924" spans="1:20" ht="15">
      <c r="A924" s="325"/>
      <c r="B924" s="43"/>
      <c r="C924" s="326"/>
      <c r="D924" s="84"/>
      <c r="E924" s="327"/>
      <c r="F924" s="328"/>
      <c r="G924" s="24"/>
      <c r="H924" s="598"/>
      <c r="I924" s="599"/>
      <c r="J924" s="329"/>
      <c r="K924" s="330"/>
      <c r="L924" s="331"/>
      <c r="M924" s="329"/>
      <c r="N924" s="332"/>
      <c r="O924" s="333"/>
      <c r="P924" s="334"/>
      <c r="Q924" s="83"/>
      <c r="R924" s="83"/>
      <c r="S924" s="83"/>
      <c r="T924" s="83"/>
    </row>
    <row r="925" spans="1:20" ht="15">
      <c r="A925" s="325"/>
      <c r="B925" s="43"/>
      <c r="C925" s="326"/>
      <c r="D925" s="84"/>
      <c r="E925" s="327"/>
      <c r="F925" s="328"/>
      <c r="G925" s="24"/>
      <c r="H925" s="598"/>
      <c r="I925" s="599"/>
      <c r="J925" s="329"/>
      <c r="K925" s="330"/>
      <c r="L925" s="331"/>
      <c r="M925" s="329"/>
      <c r="N925" s="332"/>
      <c r="O925" s="333"/>
      <c r="P925" s="334"/>
      <c r="Q925" s="83"/>
      <c r="R925" s="83"/>
      <c r="S925" s="83"/>
      <c r="T925" s="83"/>
    </row>
    <row r="926" spans="1:20" ht="15">
      <c r="A926" s="325"/>
      <c r="B926" s="43"/>
      <c r="C926" s="326"/>
      <c r="D926" s="84"/>
      <c r="E926" s="327"/>
      <c r="F926" s="328"/>
      <c r="G926" s="24"/>
      <c r="H926" s="598"/>
      <c r="I926" s="599"/>
      <c r="J926" s="329"/>
      <c r="K926" s="330"/>
      <c r="L926" s="331"/>
      <c r="M926" s="329"/>
      <c r="N926" s="332"/>
      <c r="O926" s="333"/>
      <c r="P926" s="334"/>
      <c r="Q926" s="83"/>
      <c r="R926" s="83"/>
      <c r="S926" s="83"/>
      <c r="T926" s="83"/>
    </row>
    <row r="927" spans="1:20" ht="15">
      <c r="A927" s="325"/>
      <c r="B927" s="43"/>
      <c r="C927" s="326"/>
      <c r="D927" s="84"/>
      <c r="E927" s="327"/>
      <c r="F927" s="328"/>
      <c r="G927" s="24"/>
      <c r="H927" s="598"/>
      <c r="I927" s="599"/>
      <c r="J927" s="329"/>
      <c r="K927" s="330"/>
      <c r="L927" s="331"/>
      <c r="M927" s="329"/>
      <c r="N927" s="332"/>
      <c r="O927" s="333"/>
      <c r="P927" s="334"/>
      <c r="Q927" s="83"/>
      <c r="R927" s="83"/>
      <c r="S927" s="83"/>
      <c r="T927" s="83"/>
    </row>
    <row r="928" spans="1:20" ht="15">
      <c r="A928" s="325"/>
      <c r="B928" s="43"/>
      <c r="C928" s="326"/>
      <c r="D928" s="84"/>
      <c r="E928" s="327"/>
      <c r="F928" s="328"/>
      <c r="G928" s="24"/>
      <c r="H928" s="598"/>
      <c r="I928" s="599"/>
      <c r="J928" s="329"/>
      <c r="K928" s="330"/>
      <c r="L928" s="331"/>
      <c r="M928" s="329"/>
      <c r="N928" s="332"/>
      <c r="O928" s="333"/>
      <c r="P928" s="334"/>
      <c r="Q928" s="83"/>
      <c r="R928" s="83"/>
      <c r="S928" s="83"/>
      <c r="T928" s="83"/>
    </row>
    <row r="929" spans="1:20" ht="15">
      <c r="A929" s="325"/>
      <c r="B929" s="43"/>
      <c r="C929" s="326"/>
      <c r="D929" s="84"/>
      <c r="E929" s="327"/>
      <c r="F929" s="328"/>
      <c r="G929" s="24"/>
      <c r="H929" s="598"/>
      <c r="I929" s="599"/>
      <c r="J929" s="329"/>
      <c r="K929" s="330"/>
      <c r="L929" s="331"/>
      <c r="M929" s="329"/>
      <c r="N929" s="332"/>
      <c r="O929" s="333"/>
      <c r="P929" s="334"/>
      <c r="Q929" s="83"/>
      <c r="R929" s="83"/>
      <c r="S929" s="83"/>
      <c r="T929" s="83"/>
    </row>
    <row r="930" spans="1:20" ht="15">
      <c r="A930" s="325"/>
      <c r="B930" s="43"/>
      <c r="C930" s="326"/>
      <c r="D930" s="84"/>
      <c r="E930" s="327"/>
      <c r="F930" s="328"/>
      <c r="G930" s="24"/>
      <c r="H930" s="598"/>
      <c r="I930" s="599"/>
      <c r="J930" s="329"/>
      <c r="K930" s="330"/>
      <c r="L930" s="331"/>
      <c r="M930" s="329"/>
      <c r="N930" s="332"/>
      <c r="O930" s="333"/>
      <c r="P930" s="334"/>
      <c r="Q930" s="83"/>
      <c r="R930" s="83"/>
      <c r="S930" s="83"/>
      <c r="T930" s="83"/>
    </row>
    <row r="931" spans="1:20" ht="15">
      <c r="A931" s="325"/>
      <c r="B931" s="43"/>
      <c r="C931" s="326"/>
      <c r="D931" s="84"/>
      <c r="E931" s="327"/>
      <c r="F931" s="328"/>
      <c r="G931" s="24"/>
      <c r="H931" s="598"/>
      <c r="I931" s="599"/>
      <c r="J931" s="329"/>
      <c r="K931" s="330"/>
      <c r="L931" s="331"/>
      <c r="M931" s="329"/>
      <c r="N931" s="332"/>
      <c r="O931" s="333"/>
      <c r="P931" s="334"/>
      <c r="Q931" s="83"/>
      <c r="R931" s="83"/>
      <c r="S931" s="83"/>
      <c r="T931" s="83"/>
    </row>
    <row r="932" spans="1:20" ht="15">
      <c r="A932" s="325"/>
      <c r="B932" s="43"/>
      <c r="C932" s="326"/>
      <c r="D932" s="84"/>
      <c r="E932" s="327"/>
      <c r="F932" s="328"/>
      <c r="G932" s="24"/>
      <c r="H932" s="598"/>
      <c r="I932" s="599"/>
      <c r="J932" s="329"/>
      <c r="K932" s="330"/>
      <c r="L932" s="331"/>
      <c r="M932" s="329"/>
      <c r="N932" s="332"/>
      <c r="O932" s="333"/>
      <c r="P932" s="334"/>
      <c r="Q932" s="83"/>
      <c r="R932" s="83"/>
      <c r="S932" s="83"/>
      <c r="T932" s="83"/>
    </row>
    <row r="933" spans="1:20" ht="15">
      <c r="A933" s="325"/>
      <c r="B933" s="43"/>
      <c r="C933" s="326"/>
      <c r="D933" s="84"/>
      <c r="E933" s="327"/>
      <c r="F933" s="328"/>
      <c r="G933" s="24"/>
      <c r="H933" s="598"/>
      <c r="I933" s="599"/>
      <c r="J933" s="329"/>
      <c r="K933" s="330"/>
      <c r="L933" s="331"/>
      <c r="M933" s="329"/>
      <c r="N933" s="332"/>
      <c r="O933" s="333"/>
      <c r="P933" s="334"/>
      <c r="Q933" s="83"/>
      <c r="R933" s="83"/>
      <c r="S933" s="83"/>
      <c r="T933" s="83"/>
    </row>
    <row r="934" spans="1:20" ht="15">
      <c r="A934" s="325"/>
      <c r="B934" s="43"/>
      <c r="C934" s="326"/>
      <c r="D934" s="84"/>
      <c r="E934" s="327"/>
      <c r="F934" s="328"/>
      <c r="G934" s="24"/>
      <c r="H934" s="598"/>
      <c r="I934" s="599"/>
      <c r="J934" s="329"/>
      <c r="K934" s="330"/>
      <c r="L934" s="331"/>
      <c r="M934" s="329"/>
      <c r="N934" s="332"/>
      <c r="O934" s="333"/>
      <c r="P934" s="334"/>
      <c r="Q934" s="83"/>
      <c r="R934" s="83"/>
      <c r="S934" s="83"/>
      <c r="T934" s="83"/>
    </row>
    <row r="935" spans="1:20" ht="15">
      <c r="A935" s="325"/>
      <c r="B935" s="43"/>
      <c r="C935" s="326"/>
      <c r="D935" s="84"/>
      <c r="E935" s="327"/>
      <c r="F935" s="328"/>
      <c r="G935" s="24"/>
      <c r="H935" s="598"/>
      <c r="I935" s="599"/>
      <c r="J935" s="329"/>
      <c r="K935" s="330"/>
      <c r="L935" s="331"/>
      <c r="M935" s="329"/>
      <c r="N935" s="332"/>
      <c r="O935" s="333"/>
      <c r="P935" s="334"/>
      <c r="Q935" s="83"/>
      <c r="R935" s="83"/>
      <c r="S935" s="83"/>
      <c r="T935" s="83"/>
    </row>
    <row r="936" spans="1:20" ht="15">
      <c r="A936" s="325"/>
      <c r="B936" s="43"/>
      <c r="C936" s="326"/>
      <c r="D936" s="84"/>
      <c r="E936" s="327"/>
      <c r="F936" s="328"/>
      <c r="G936" s="24"/>
      <c r="H936" s="598"/>
      <c r="I936" s="599"/>
      <c r="J936" s="329"/>
      <c r="K936" s="330"/>
      <c r="L936" s="331"/>
      <c r="M936" s="329"/>
      <c r="N936" s="332"/>
      <c r="O936" s="333"/>
      <c r="P936" s="334"/>
      <c r="Q936" s="83"/>
      <c r="R936" s="83"/>
      <c r="S936" s="83"/>
      <c r="T936" s="83"/>
    </row>
    <row r="937" spans="1:20" ht="15">
      <c r="A937" s="325"/>
      <c r="B937" s="43"/>
      <c r="C937" s="326"/>
      <c r="D937" s="84"/>
      <c r="E937" s="327"/>
      <c r="F937" s="328"/>
      <c r="G937" s="24"/>
      <c r="H937" s="598"/>
      <c r="I937" s="599"/>
      <c r="J937" s="329"/>
      <c r="K937" s="330"/>
      <c r="L937" s="331"/>
      <c r="M937" s="329"/>
      <c r="N937" s="332"/>
      <c r="O937" s="333"/>
      <c r="P937" s="334"/>
      <c r="Q937" s="83"/>
      <c r="R937" s="83"/>
      <c r="S937" s="83"/>
      <c r="T937" s="83"/>
    </row>
    <row r="938" spans="1:20" ht="15">
      <c r="A938" s="325"/>
      <c r="B938" s="43"/>
      <c r="C938" s="326"/>
      <c r="D938" s="84"/>
      <c r="E938" s="327"/>
      <c r="F938" s="328"/>
      <c r="G938" s="24"/>
      <c r="H938" s="598"/>
      <c r="I938" s="599"/>
      <c r="J938" s="329"/>
      <c r="K938" s="330"/>
      <c r="L938" s="331"/>
      <c r="M938" s="329"/>
      <c r="N938" s="332"/>
      <c r="O938" s="333"/>
      <c r="P938" s="334"/>
      <c r="Q938" s="83"/>
      <c r="R938" s="83"/>
      <c r="S938" s="83"/>
      <c r="T938" s="83"/>
    </row>
    <row r="939" spans="1:20" ht="15">
      <c r="A939" s="325"/>
      <c r="B939" s="43"/>
      <c r="C939" s="326"/>
      <c r="D939" s="84"/>
      <c r="E939" s="327"/>
      <c r="F939" s="328"/>
      <c r="G939" s="24"/>
      <c r="H939" s="598"/>
      <c r="I939" s="599"/>
      <c r="J939" s="329"/>
      <c r="K939" s="330"/>
      <c r="L939" s="331"/>
      <c r="M939" s="329"/>
      <c r="N939" s="332"/>
      <c r="O939" s="333"/>
      <c r="P939" s="334"/>
      <c r="Q939" s="83"/>
      <c r="R939" s="83"/>
      <c r="S939" s="83"/>
      <c r="T939" s="83"/>
    </row>
    <row r="940" spans="1:20" ht="15">
      <c r="A940" s="325"/>
      <c r="B940" s="43"/>
      <c r="C940" s="326"/>
      <c r="D940" s="84"/>
      <c r="E940" s="327"/>
      <c r="F940" s="328"/>
      <c r="G940" s="24"/>
      <c r="H940" s="598"/>
      <c r="I940" s="599"/>
      <c r="J940" s="329"/>
      <c r="K940" s="330"/>
      <c r="L940" s="331"/>
      <c r="M940" s="329"/>
      <c r="N940" s="332"/>
      <c r="O940" s="333"/>
      <c r="P940" s="334"/>
      <c r="Q940" s="83"/>
      <c r="R940" s="83"/>
      <c r="S940" s="83"/>
      <c r="T940" s="83"/>
    </row>
    <row r="941" spans="1:20" ht="15">
      <c r="A941" s="325"/>
      <c r="B941" s="43"/>
      <c r="C941" s="326"/>
      <c r="D941" s="84"/>
      <c r="E941" s="327"/>
      <c r="F941" s="328"/>
      <c r="G941" s="24"/>
      <c r="H941" s="598"/>
      <c r="I941" s="599"/>
      <c r="J941" s="329"/>
      <c r="K941" s="330"/>
      <c r="L941" s="331"/>
      <c r="M941" s="329"/>
      <c r="N941" s="332"/>
      <c r="O941" s="333"/>
      <c r="P941" s="334"/>
      <c r="Q941" s="83"/>
      <c r="R941" s="83"/>
      <c r="S941" s="83"/>
      <c r="T941" s="83"/>
    </row>
    <row r="942" spans="1:20" ht="15">
      <c r="A942" s="325"/>
      <c r="B942" s="43"/>
      <c r="C942" s="326"/>
      <c r="D942" s="84"/>
      <c r="E942" s="327"/>
      <c r="F942" s="328"/>
      <c r="G942" s="24"/>
      <c r="H942" s="598"/>
      <c r="I942" s="599"/>
      <c r="J942" s="329"/>
      <c r="K942" s="330"/>
      <c r="L942" s="331"/>
      <c r="M942" s="329"/>
      <c r="N942" s="332"/>
      <c r="O942" s="333"/>
      <c r="P942" s="334"/>
      <c r="Q942" s="83"/>
      <c r="R942" s="83"/>
      <c r="S942" s="83"/>
      <c r="T942" s="83"/>
    </row>
    <row r="943" spans="1:20" ht="15">
      <c r="A943" s="325"/>
      <c r="B943" s="43"/>
      <c r="C943" s="326"/>
      <c r="D943" s="84"/>
      <c r="E943" s="327"/>
      <c r="F943" s="328"/>
      <c r="G943" s="24"/>
      <c r="H943" s="598"/>
      <c r="I943" s="599"/>
      <c r="J943" s="329"/>
      <c r="K943" s="330"/>
      <c r="L943" s="331"/>
      <c r="M943" s="329"/>
      <c r="N943" s="332"/>
      <c r="O943" s="333"/>
      <c r="P943" s="334"/>
      <c r="Q943" s="83"/>
      <c r="R943" s="83"/>
      <c r="S943" s="83"/>
      <c r="T943" s="83"/>
    </row>
    <row r="944" spans="1:20" ht="15">
      <c r="A944" s="325"/>
      <c r="B944" s="43"/>
      <c r="C944" s="326"/>
      <c r="D944" s="84"/>
      <c r="E944" s="327"/>
      <c r="F944" s="328"/>
      <c r="G944" s="24"/>
      <c r="H944" s="598"/>
      <c r="I944" s="599"/>
      <c r="J944" s="329"/>
      <c r="K944" s="330"/>
      <c r="L944" s="331"/>
      <c r="M944" s="329"/>
      <c r="N944" s="332"/>
      <c r="O944" s="333"/>
      <c r="P944" s="334"/>
      <c r="Q944" s="83"/>
      <c r="R944" s="83"/>
      <c r="S944" s="83"/>
      <c r="T944" s="83"/>
    </row>
    <row r="945" spans="1:20" ht="15">
      <c r="A945" s="325"/>
      <c r="B945" s="43"/>
      <c r="C945" s="326"/>
      <c r="D945" s="84"/>
      <c r="E945" s="327"/>
      <c r="F945" s="328"/>
      <c r="G945" s="24"/>
      <c r="H945" s="598"/>
      <c r="I945" s="599"/>
      <c r="J945" s="329"/>
      <c r="K945" s="330"/>
      <c r="L945" s="331"/>
      <c r="M945" s="329"/>
      <c r="N945" s="332"/>
      <c r="O945" s="333"/>
      <c r="P945" s="334"/>
      <c r="Q945" s="83"/>
      <c r="R945" s="83"/>
      <c r="S945" s="83"/>
      <c r="T945" s="83"/>
    </row>
    <row r="946" spans="1:20" ht="15">
      <c r="A946" s="325"/>
      <c r="B946" s="43"/>
      <c r="C946" s="326"/>
      <c r="D946" s="84"/>
      <c r="E946" s="327"/>
      <c r="F946" s="328"/>
      <c r="G946" s="24"/>
      <c r="H946" s="598"/>
      <c r="I946" s="599"/>
      <c r="J946" s="329"/>
      <c r="K946" s="330"/>
      <c r="L946" s="331"/>
      <c r="M946" s="329"/>
      <c r="N946" s="332"/>
      <c r="O946" s="333"/>
      <c r="P946" s="334"/>
      <c r="Q946" s="83"/>
      <c r="R946" s="83"/>
      <c r="S946" s="83"/>
      <c r="T946" s="83"/>
    </row>
    <row r="947" spans="1:20" ht="15">
      <c r="A947" s="325"/>
      <c r="B947" s="43"/>
      <c r="C947" s="326"/>
      <c r="D947" s="84"/>
      <c r="E947" s="327"/>
      <c r="F947" s="328"/>
      <c r="G947" s="24"/>
      <c r="H947" s="598"/>
      <c r="I947" s="599"/>
      <c r="J947" s="329"/>
      <c r="K947" s="330"/>
      <c r="L947" s="331"/>
      <c r="M947" s="329"/>
      <c r="N947" s="332"/>
      <c r="O947" s="333"/>
      <c r="P947" s="334"/>
      <c r="Q947" s="83"/>
      <c r="R947" s="83"/>
      <c r="S947" s="83"/>
      <c r="T947" s="83"/>
    </row>
    <row r="948" spans="1:20" ht="15">
      <c r="A948" s="325"/>
      <c r="B948" s="43"/>
      <c r="C948" s="326"/>
      <c r="D948" s="84"/>
      <c r="E948" s="327"/>
      <c r="F948" s="328"/>
      <c r="G948" s="24"/>
      <c r="H948" s="598"/>
      <c r="I948" s="599"/>
      <c r="J948" s="329"/>
      <c r="K948" s="330"/>
      <c r="L948" s="331"/>
      <c r="M948" s="329"/>
      <c r="N948" s="332"/>
      <c r="O948" s="333"/>
      <c r="P948" s="334"/>
      <c r="Q948" s="83"/>
      <c r="R948" s="83"/>
      <c r="S948" s="83"/>
      <c r="T948" s="83"/>
    </row>
    <row r="949" spans="1:20" ht="15">
      <c r="A949" s="325"/>
      <c r="B949" s="43"/>
      <c r="C949" s="326"/>
      <c r="D949" s="84"/>
      <c r="E949" s="327"/>
      <c r="F949" s="328"/>
      <c r="G949" s="24"/>
      <c r="H949" s="598"/>
      <c r="I949" s="599"/>
      <c r="J949" s="329"/>
      <c r="K949" s="330"/>
      <c r="L949" s="331"/>
      <c r="M949" s="329"/>
      <c r="N949" s="332"/>
      <c r="O949" s="333"/>
      <c r="P949" s="334"/>
      <c r="Q949" s="83"/>
      <c r="R949" s="83"/>
      <c r="S949" s="83"/>
      <c r="T949" s="83"/>
    </row>
    <row r="950" spans="1:20" ht="15">
      <c r="A950" s="325"/>
      <c r="B950" s="43"/>
      <c r="C950" s="326"/>
      <c r="D950" s="84"/>
      <c r="E950" s="327"/>
      <c r="F950" s="328"/>
      <c r="G950" s="24"/>
      <c r="H950" s="598"/>
      <c r="I950" s="599"/>
      <c r="J950" s="329"/>
      <c r="K950" s="330"/>
      <c r="L950" s="331"/>
      <c r="M950" s="329"/>
      <c r="N950" s="332"/>
      <c r="O950" s="333"/>
      <c r="P950" s="334"/>
      <c r="Q950" s="83"/>
      <c r="R950" s="83"/>
      <c r="S950" s="83"/>
      <c r="T950" s="83"/>
    </row>
    <row r="951" spans="1:20" ht="15">
      <c r="A951" s="325"/>
      <c r="B951" s="43"/>
      <c r="C951" s="326"/>
      <c r="D951" s="84"/>
      <c r="E951" s="327"/>
      <c r="F951" s="328"/>
      <c r="G951" s="24"/>
      <c r="H951" s="598"/>
      <c r="I951" s="599"/>
      <c r="J951" s="329"/>
      <c r="K951" s="330"/>
      <c r="L951" s="331"/>
      <c r="M951" s="329"/>
      <c r="N951" s="332"/>
      <c r="O951" s="333"/>
      <c r="P951" s="334"/>
      <c r="Q951" s="83"/>
      <c r="R951" s="83"/>
      <c r="S951" s="83"/>
      <c r="T951" s="83"/>
    </row>
    <row r="952" spans="1:20" ht="15">
      <c r="A952" s="325"/>
      <c r="B952" s="43"/>
      <c r="C952" s="326"/>
      <c r="D952" s="84"/>
      <c r="E952" s="327"/>
      <c r="F952" s="328"/>
      <c r="G952" s="24"/>
      <c r="H952" s="598"/>
      <c r="I952" s="599"/>
      <c r="J952" s="329"/>
      <c r="K952" s="330"/>
      <c r="L952" s="331"/>
      <c r="M952" s="329"/>
      <c r="N952" s="332"/>
      <c r="O952" s="333"/>
      <c r="P952" s="334"/>
      <c r="Q952" s="83"/>
      <c r="R952" s="83"/>
      <c r="S952" s="83"/>
      <c r="T952" s="83"/>
    </row>
    <row r="953" spans="1:20" ht="15">
      <c r="A953" s="325"/>
      <c r="B953" s="43"/>
      <c r="C953" s="326"/>
      <c r="D953" s="84"/>
      <c r="E953" s="327"/>
      <c r="F953" s="328"/>
      <c r="G953" s="24"/>
      <c r="H953" s="598"/>
      <c r="I953" s="599"/>
      <c r="J953" s="329"/>
      <c r="K953" s="330"/>
      <c r="L953" s="331"/>
      <c r="M953" s="329"/>
      <c r="N953" s="332"/>
      <c r="O953" s="333"/>
      <c r="P953" s="334"/>
      <c r="Q953" s="83"/>
      <c r="R953" s="83"/>
      <c r="S953" s="83"/>
      <c r="T953" s="83"/>
    </row>
    <row r="954" spans="1:20" ht="15">
      <c r="A954" s="325"/>
      <c r="B954" s="43"/>
      <c r="C954" s="326"/>
      <c r="D954" s="84"/>
      <c r="E954" s="327"/>
      <c r="F954" s="328"/>
      <c r="G954" s="24"/>
      <c r="H954" s="598"/>
      <c r="I954" s="599"/>
      <c r="J954" s="329"/>
      <c r="K954" s="330"/>
      <c r="L954" s="331"/>
      <c r="M954" s="329"/>
      <c r="N954" s="332"/>
      <c r="O954" s="333"/>
      <c r="P954" s="334"/>
      <c r="Q954" s="83"/>
      <c r="R954" s="83"/>
      <c r="S954" s="83"/>
      <c r="T954" s="83"/>
    </row>
    <row r="955" spans="1:20" ht="15">
      <c r="A955" s="325"/>
      <c r="B955" s="43"/>
      <c r="C955" s="326"/>
      <c r="D955" s="84"/>
      <c r="E955" s="327"/>
      <c r="F955" s="328"/>
      <c r="G955" s="24"/>
      <c r="H955" s="598"/>
      <c r="I955" s="599"/>
      <c r="J955" s="329"/>
      <c r="K955" s="330"/>
      <c r="L955" s="331"/>
      <c r="M955" s="329"/>
      <c r="N955" s="332"/>
      <c r="O955" s="333"/>
      <c r="P955" s="334"/>
      <c r="Q955" s="83"/>
      <c r="R955" s="83"/>
      <c r="S955" s="83"/>
      <c r="T955" s="83"/>
    </row>
    <row r="956" spans="1:20" ht="15">
      <c r="A956" s="325"/>
      <c r="B956" s="43"/>
      <c r="C956" s="326"/>
      <c r="D956" s="84"/>
      <c r="E956" s="327"/>
      <c r="F956" s="328"/>
      <c r="G956" s="24"/>
      <c r="H956" s="598"/>
      <c r="I956" s="599"/>
      <c r="J956" s="329"/>
      <c r="K956" s="330"/>
      <c r="L956" s="331"/>
      <c r="M956" s="329"/>
      <c r="N956" s="332"/>
      <c r="O956" s="333"/>
      <c r="P956" s="334"/>
      <c r="Q956" s="83"/>
      <c r="R956" s="83"/>
      <c r="S956" s="83"/>
      <c r="T956" s="83"/>
    </row>
    <row r="957" spans="1:20" ht="15">
      <c r="A957" s="325"/>
      <c r="B957" s="43"/>
      <c r="C957" s="326"/>
      <c r="D957" s="84"/>
      <c r="E957" s="327"/>
      <c r="F957" s="328"/>
      <c r="G957" s="24"/>
      <c r="H957" s="598"/>
      <c r="I957" s="599"/>
      <c r="J957" s="329"/>
      <c r="K957" s="330"/>
      <c r="L957" s="331"/>
      <c r="M957" s="329"/>
      <c r="N957" s="332"/>
      <c r="O957" s="333"/>
      <c r="P957" s="334"/>
      <c r="Q957" s="83"/>
      <c r="R957" s="83"/>
      <c r="S957" s="83"/>
      <c r="T957" s="83"/>
    </row>
    <row r="958" spans="1:20" ht="15">
      <c r="A958" s="325"/>
      <c r="B958" s="43"/>
      <c r="C958" s="326"/>
      <c r="D958" s="84"/>
      <c r="E958" s="327"/>
      <c r="F958" s="328"/>
      <c r="G958" s="24"/>
      <c r="H958" s="598"/>
      <c r="I958" s="599"/>
      <c r="J958" s="329"/>
      <c r="K958" s="330"/>
      <c r="L958" s="331"/>
      <c r="M958" s="329"/>
      <c r="N958" s="332"/>
      <c r="O958" s="333"/>
      <c r="P958" s="334"/>
      <c r="Q958" s="83"/>
      <c r="R958" s="83"/>
      <c r="S958" s="83"/>
      <c r="T958" s="83"/>
    </row>
    <row r="959" spans="1:20" ht="15">
      <c r="A959" s="325"/>
      <c r="B959" s="43"/>
      <c r="C959" s="326"/>
      <c r="D959" s="84"/>
      <c r="E959" s="327"/>
      <c r="F959" s="328"/>
      <c r="G959" s="24"/>
      <c r="H959" s="598"/>
      <c r="I959" s="599"/>
      <c r="J959" s="329"/>
      <c r="K959" s="330"/>
      <c r="L959" s="331"/>
      <c r="M959" s="329"/>
      <c r="N959" s="332"/>
      <c r="O959" s="333"/>
      <c r="P959" s="334"/>
      <c r="Q959" s="83"/>
      <c r="R959" s="83"/>
      <c r="S959" s="83"/>
      <c r="T959" s="83"/>
    </row>
    <row r="960" spans="1:20" ht="15">
      <c r="A960" s="325"/>
      <c r="B960" s="43"/>
      <c r="C960" s="326"/>
      <c r="D960" s="84"/>
      <c r="E960" s="327"/>
      <c r="F960" s="328"/>
      <c r="G960" s="24"/>
      <c r="H960" s="598"/>
      <c r="I960" s="599"/>
      <c r="J960" s="329"/>
      <c r="K960" s="330"/>
      <c r="L960" s="331"/>
      <c r="M960" s="329"/>
      <c r="N960" s="332"/>
      <c r="O960" s="333"/>
      <c r="P960" s="334"/>
      <c r="Q960" s="83"/>
      <c r="R960" s="83"/>
      <c r="S960" s="83"/>
      <c r="T960" s="83"/>
    </row>
    <row r="961" spans="1:20" ht="15">
      <c r="A961" s="325"/>
      <c r="B961" s="43"/>
      <c r="C961" s="326"/>
      <c r="D961" s="84"/>
      <c r="E961" s="327"/>
      <c r="F961" s="328"/>
      <c r="G961" s="24"/>
      <c r="H961" s="598"/>
      <c r="I961" s="599"/>
      <c r="J961" s="329"/>
      <c r="K961" s="330"/>
      <c r="L961" s="331"/>
      <c r="M961" s="329"/>
      <c r="N961" s="332"/>
      <c r="O961" s="333"/>
      <c r="P961" s="334"/>
      <c r="Q961" s="83"/>
      <c r="R961" s="83"/>
      <c r="S961" s="83"/>
      <c r="T961" s="83"/>
    </row>
    <row r="962" spans="1:20" ht="15">
      <c r="A962" s="325"/>
      <c r="B962" s="43"/>
      <c r="C962" s="326"/>
      <c r="D962" s="84"/>
      <c r="E962" s="327"/>
      <c r="F962" s="328"/>
      <c r="G962" s="24"/>
      <c r="H962" s="598"/>
      <c r="I962" s="599"/>
      <c r="J962" s="329"/>
      <c r="K962" s="330"/>
      <c r="L962" s="331"/>
      <c r="M962" s="329"/>
      <c r="N962" s="332"/>
      <c r="O962" s="333"/>
      <c r="P962" s="334"/>
      <c r="Q962" s="83"/>
      <c r="R962" s="83"/>
      <c r="S962" s="83"/>
      <c r="T962" s="83"/>
    </row>
    <row r="963" spans="1:20" ht="15">
      <c r="A963" s="325"/>
      <c r="B963" s="43"/>
      <c r="C963" s="326"/>
      <c r="D963" s="84"/>
      <c r="E963" s="327"/>
      <c r="F963" s="328"/>
      <c r="G963" s="24"/>
      <c r="H963" s="598"/>
      <c r="I963" s="599"/>
      <c r="J963" s="329"/>
      <c r="K963" s="330"/>
      <c r="L963" s="331"/>
      <c r="M963" s="329"/>
      <c r="N963" s="332"/>
      <c r="O963" s="333"/>
      <c r="P963" s="334"/>
      <c r="Q963" s="83"/>
      <c r="R963" s="83"/>
      <c r="S963" s="83"/>
      <c r="T963" s="83"/>
    </row>
    <row r="964" spans="1:20" ht="15">
      <c r="A964" s="325"/>
      <c r="B964" s="43"/>
      <c r="C964" s="326"/>
      <c r="D964" s="84"/>
      <c r="E964" s="327"/>
      <c r="F964" s="328"/>
      <c r="G964" s="24"/>
      <c r="H964" s="598"/>
      <c r="I964" s="599"/>
      <c r="J964" s="329"/>
      <c r="K964" s="330"/>
      <c r="L964" s="331"/>
      <c r="M964" s="329"/>
      <c r="N964" s="332"/>
      <c r="O964" s="333"/>
      <c r="P964" s="334"/>
      <c r="Q964" s="83"/>
      <c r="R964" s="83"/>
      <c r="S964" s="83"/>
      <c r="T964" s="83"/>
    </row>
    <row r="965" spans="1:20" ht="15">
      <c r="A965" s="325"/>
      <c r="B965" s="43"/>
      <c r="C965" s="326"/>
      <c r="D965" s="84"/>
      <c r="E965" s="327"/>
      <c r="F965" s="328"/>
      <c r="G965" s="24"/>
      <c r="H965" s="598"/>
      <c r="I965" s="599"/>
      <c r="J965" s="329"/>
      <c r="K965" s="330"/>
      <c r="L965" s="331"/>
      <c r="M965" s="329"/>
      <c r="N965" s="332"/>
      <c r="O965" s="333"/>
      <c r="P965" s="334"/>
      <c r="Q965" s="83"/>
      <c r="R965" s="83"/>
      <c r="S965" s="83"/>
      <c r="T965" s="83"/>
    </row>
    <row r="966" spans="1:20" ht="15">
      <c r="A966" s="325"/>
      <c r="B966" s="43"/>
      <c r="C966" s="326"/>
      <c r="D966" s="84"/>
      <c r="E966" s="327"/>
      <c r="F966" s="328"/>
      <c r="G966" s="24"/>
      <c r="H966" s="598"/>
      <c r="I966" s="599"/>
      <c r="J966" s="329"/>
      <c r="K966" s="330"/>
      <c r="L966" s="331"/>
      <c r="M966" s="329"/>
      <c r="N966" s="332"/>
      <c r="O966" s="333"/>
      <c r="P966" s="334"/>
      <c r="Q966" s="83"/>
      <c r="R966" s="83"/>
      <c r="S966" s="83"/>
      <c r="T966" s="83"/>
    </row>
    <row r="967" spans="1:20" ht="15">
      <c r="A967" s="325"/>
      <c r="B967" s="43"/>
      <c r="C967" s="326"/>
      <c r="D967" s="84"/>
      <c r="E967" s="327"/>
      <c r="F967" s="328"/>
      <c r="G967" s="24"/>
      <c r="H967" s="598"/>
      <c r="I967" s="599"/>
      <c r="J967" s="329"/>
      <c r="K967" s="330"/>
      <c r="L967" s="331"/>
      <c r="M967" s="329"/>
      <c r="N967" s="332"/>
      <c r="O967" s="333"/>
      <c r="P967" s="334"/>
      <c r="Q967" s="83"/>
      <c r="R967" s="83"/>
      <c r="S967" s="83"/>
      <c r="T967" s="83"/>
    </row>
    <row r="968" spans="1:20" ht="15">
      <c r="A968" s="325"/>
      <c r="B968" s="43"/>
      <c r="C968" s="326"/>
      <c r="D968" s="84"/>
      <c r="E968" s="327"/>
      <c r="F968" s="328"/>
      <c r="G968" s="24"/>
      <c r="H968" s="598"/>
      <c r="I968" s="599"/>
      <c r="J968" s="329"/>
      <c r="K968" s="330"/>
      <c r="L968" s="331"/>
      <c r="M968" s="329"/>
      <c r="N968" s="332"/>
      <c r="O968" s="333"/>
      <c r="P968" s="334"/>
      <c r="Q968" s="83"/>
      <c r="R968" s="83"/>
      <c r="S968" s="83"/>
      <c r="T968" s="83"/>
    </row>
    <row r="969" spans="1:20" ht="15">
      <c r="A969" s="325"/>
      <c r="B969" s="43"/>
      <c r="C969" s="326"/>
      <c r="D969" s="84"/>
      <c r="E969" s="327"/>
      <c r="F969" s="328"/>
      <c r="G969" s="24"/>
      <c r="H969" s="598"/>
      <c r="I969" s="599"/>
      <c r="J969" s="329"/>
      <c r="K969" s="330"/>
      <c r="L969" s="331"/>
      <c r="M969" s="329"/>
      <c r="N969" s="332"/>
      <c r="O969" s="333"/>
      <c r="P969" s="334"/>
      <c r="Q969" s="83"/>
      <c r="R969" s="83"/>
      <c r="S969" s="83"/>
      <c r="T969" s="83"/>
    </row>
    <row r="970" spans="1:20" ht="15">
      <c r="A970" s="325"/>
      <c r="B970" s="43"/>
      <c r="C970" s="326"/>
      <c r="D970" s="84"/>
      <c r="E970" s="327"/>
      <c r="F970" s="328"/>
      <c r="G970" s="24"/>
      <c r="H970" s="598"/>
      <c r="I970" s="599"/>
      <c r="J970" s="329"/>
      <c r="K970" s="330"/>
      <c r="L970" s="331"/>
      <c r="M970" s="329"/>
      <c r="N970" s="332"/>
      <c r="O970" s="333"/>
      <c r="P970" s="334"/>
      <c r="Q970" s="83"/>
      <c r="R970" s="83"/>
      <c r="S970" s="83"/>
      <c r="T970" s="83"/>
    </row>
    <row r="971" spans="1:20" ht="15">
      <c r="A971" s="325"/>
      <c r="B971" s="43"/>
      <c r="C971" s="326"/>
      <c r="D971" s="84"/>
      <c r="E971" s="327"/>
      <c r="F971" s="328"/>
      <c r="G971" s="24"/>
      <c r="H971" s="598"/>
      <c r="I971" s="599"/>
      <c r="J971" s="329"/>
      <c r="K971" s="330"/>
      <c r="L971" s="331"/>
      <c r="M971" s="329"/>
      <c r="N971" s="332"/>
      <c r="O971" s="333"/>
      <c r="P971" s="334"/>
      <c r="Q971" s="83"/>
      <c r="R971" s="83"/>
      <c r="S971" s="83"/>
      <c r="T971" s="83"/>
    </row>
    <row r="972" spans="1:20" ht="15">
      <c r="A972" s="325"/>
      <c r="B972" s="43"/>
      <c r="C972" s="326"/>
      <c r="D972" s="84"/>
      <c r="E972" s="327"/>
      <c r="F972" s="328"/>
      <c r="G972" s="24"/>
      <c r="H972" s="598"/>
      <c r="I972" s="599"/>
      <c r="J972" s="329"/>
      <c r="K972" s="330"/>
      <c r="L972" s="331"/>
      <c r="M972" s="329"/>
      <c r="N972" s="332"/>
      <c r="O972" s="333"/>
      <c r="P972" s="334"/>
      <c r="Q972" s="83"/>
      <c r="R972" s="83"/>
      <c r="S972" s="83"/>
      <c r="T972" s="83"/>
    </row>
    <row r="973" spans="1:20" ht="15">
      <c r="A973" s="325"/>
      <c r="B973" s="43"/>
      <c r="C973" s="326"/>
      <c r="D973" s="84"/>
      <c r="E973" s="327"/>
      <c r="F973" s="328"/>
      <c r="G973" s="24"/>
      <c r="H973" s="598"/>
      <c r="I973" s="599"/>
      <c r="J973" s="329"/>
      <c r="K973" s="330"/>
      <c r="L973" s="331"/>
      <c r="M973" s="329"/>
      <c r="N973" s="332"/>
      <c r="O973" s="333"/>
      <c r="P973" s="334"/>
      <c r="Q973" s="83"/>
      <c r="R973" s="83"/>
      <c r="S973" s="83"/>
      <c r="T973" s="83"/>
    </row>
    <row r="974" spans="1:20" ht="15">
      <c r="A974" s="325"/>
      <c r="B974" s="43"/>
      <c r="C974" s="326"/>
      <c r="D974" s="84"/>
      <c r="E974" s="327"/>
      <c r="F974" s="328"/>
      <c r="G974" s="24"/>
      <c r="H974" s="598"/>
      <c r="I974" s="599"/>
      <c r="J974" s="329"/>
      <c r="K974" s="330"/>
      <c r="L974" s="331"/>
      <c r="M974" s="329"/>
      <c r="N974" s="332"/>
      <c r="O974" s="333"/>
      <c r="P974" s="334"/>
      <c r="Q974" s="83"/>
      <c r="R974" s="83"/>
      <c r="S974" s="83"/>
      <c r="T974" s="83"/>
    </row>
    <row r="975" spans="1:20" ht="15">
      <c r="A975" s="325"/>
      <c r="B975" s="43"/>
      <c r="C975" s="326"/>
      <c r="D975" s="84"/>
      <c r="E975" s="327"/>
      <c r="F975" s="328"/>
      <c r="G975" s="24"/>
      <c r="H975" s="598"/>
      <c r="I975" s="599"/>
      <c r="J975" s="329"/>
      <c r="K975" s="330"/>
      <c r="L975" s="331"/>
      <c r="M975" s="329"/>
      <c r="N975" s="332"/>
      <c r="O975" s="333"/>
      <c r="P975" s="334"/>
      <c r="Q975" s="83"/>
      <c r="R975" s="83"/>
      <c r="S975" s="83"/>
      <c r="T975" s="83"/>
    </row>
    <row r="976" spans="1:20" ht="15">
      <c r="A976" s="325"/>
      <c r="B976" s="43"/>
      <c r="C976" s="326"/>
      <c r="D976" s="84"/>
      <c r="E976" s="327"/>
      <c r="F976" s="328"/>
      <c r="G976" s="24"/>
      <c r="H976" s="598"/>
      <c r="I976" s="599"/>
      <c r="J976" s="329"/>
      <c r="K976" s="330"/>
      <c r="L976" s="331"/>
      <c r="M976" s="329"/>
      <c r="N976" s="332"/>
      <c r="O976" s="333"/>
      <c r="P976" s="334"/>
      <c r="Q976" s="83"/>
      <c r="R976" s="83"/>
      <c r="S976" s="83"/>
      <c r="T976" s="83"/>
    </row>
    <row r="977" spans="1:20" ht="15">
      <c r="A977" s="325"/>
      <c r="B977" s="43"/>
      <c r="C977" s="326"/>
      <c r="D977" s="84"/>
      <c r="E977" s="327"/>
      <c r="F977" s="328"/>
      <c r="G977" s="24"/>
      <c r="H977" s="598"/>
      <c r="I977" s="599"/>
      <c r="J977" s="329"/>
      <c r="K977" s="330"/>
      <c r="L977" s="331"/>
      <c r="M977" s="329"/>
      <c r="N977" s="332"/>
      <c r="O977" s="333"/>
      <c r="P977" s="334"/>
      <c r="Q977" s="83"/>
      <c r="R977" s="83"/>
      <c r="S977" s="83"/>
      <c r="T977" s="83"/>
    </row>
    <row r="978" spans="1:20" ht="15">
      <c r="A978" s="325"/>
      <c r="B978" s="43"/>
      <c r="C978" s="326"/>
      <c r="D978" s="84"/>
      <c r="E978" s="327"/>
      <c r="F978" s="328"/>
      <c r="G978" s="24"/>
      <c r="H978" s="598"/>
      <c r="I978" s="599"/>
      <c r="J978" s="329"/>
      <c r="K978" s="330"/>
      <c r="L978" s="331"/>
      <c r="M978" s="329"/>
      <c r="N978" s="332"/>
      <c r="O978" s="333"/>
      <c r="P978" s="334"/>
      <c r="Q978" s="83"/>
      <c r="R978" s="83"/>
      <c r="S978" s="83"/>
      <c r="T978" s="83"/>
    </row>
    <row r="979" spans="1:20" ht="15">
      <c r="A979" s="325"/>
      <c r="B979" s="43"/>
      <c r="C979" s="326"/>
      <c r="D979" s="84"/>
      <c r="E979" s="327"/>
      <c r="F979" s="328"/>
      <c r="G979" s="24"/>
      <c r="H979" s="598"/>
      <c r="I979" s="599"/>
      <c r="J979" s="329"/>
      <c r="K979" s="330"/>
      <c r="L979" s="331"/>
      <c r="M979" s="329"/>
      <c r="N979" s="332"/>
      <c r="O979" s="333"/>
      <c r="P979" s="334"/>
      <c r="Q979" s="83"/>
      <c r="R979" s="83"/>
      <c r="S979" s="83"/>
      <c r="T979" s="83"/>
    </row>
    <row r="980" spans="1:20" ht="15">
      <c r="A980" s="325"/>
      <c r="B980" s="43"/>
      <c r="C980" s="326"/>
      <c r="D980" s="84"/>
      <c r="E980" s="327"/>
      <c r="F980" s="328"/>
      <c r="G980" s="24"/>
      <c r="H980" s="598"/>
      <c r="I980" s="599"/>
      <c r="J980" s="329"/>
      <c r="K980" s="330"/>
      <c r="L980" s="331"/>
      <c r="M980" s="329"/>
      <c r="N980" s="332"/>
      <c r="O980" s="333"/>
      <c r="P980" s="334"/>
      <c r="Q980" s="83"/>
      <c r="R980" s="83"/>
      <c r="S980" s="83"/>
      <c r="T980" s="83"/>
    </row>
    <row r="981" spans="1:20" ht="15">
      <c r="A981" s="325"/>
      <c r="B981" s="43"/>
      <c r="C981" s="326"/>
      <c r="D981" s="84"/>
      <c r="E981" s="327"/>
      <c r="F981" s="328"/>
      <c r="G981" s="24"/>
      <c r="H981" s="598"/>
      <c r="I981" s="599"/>
      <c r="J981" s="329"/>
      <c r="K981" s="330"/>
      <c r="L981" s="331"/>
      <c r="M981" s="329"/>
      <c r="N981" s="332"/>
      <c r="O981" s="333"/>
      <c r="P981" s="334"/>
      <c r="Q981" s="83"/>
      <c r="R981" s="83"/>
      <c r="S981" s="83"/>
      <c r="T981" s="83"/>
    </row>
    <row r="982" spans="1:20" ht="15">
      <c r="A982" s="325"/>
      <c r="B982" s="43"/>
      <c r="C982" s="326"/>
      <c r="D982" s="84"/>
      <c r="E982" s="327"/>
      <c r="F982" s="328"/>
      <c r="G982" s="24"/>
      <c r="H982" s="598"/>
      <c r="I982" s="599"/>
      <c r="J982" s="329"/>
      <c r="K982" s="330"/>
      <c r="L982" s="331"/>
      <c r="M982" s="329"/>
      <c r="N982" s="332"/>
      <c r="O982" s="333"/>
      <c r="P982" s="334"/>
      <c r="Q982" s="83"/>
      <c r="R982" s="83"/>
      <c r="S982" s="83"/>
      <c r="T982" s="83"/>
    </row>
    <row r="983" spans="1:20" ht="15">
      <c r="A983" s="325"/>
      <c r="B983" s="43"/>
      <c r="C983" s="326"/>
      <c r="D983" s="84"/>
      <c r="E983" s="327"/>
      <c r="F983" s="328"/>
      <c r="G983" s="24"/>
      <c r="H983" s="598"/>
      <c r="I983" s="599"/>
      <c r="J983" s="329"/>
      <c r="K983" s="330"/>
      <c r="L983" s="331"/>
      <c r="M983" s="329"/>
      <c r="N983" s="332"/>
      <c r="O983" s="333"/>
      <c r="P983" s="334"/>
      <c r="Q983" s="83"/>
      <c r="R983" s="83"/>
      <c r="S983" s="83"/>
      <c r="T983" s="83"/>
    </row>
    <row r="984" spans="1:20" ht="15">
      <c r="A984" s="325"/>
      <c r="B984" s="43"/>
      <c r="C984" s="326"/>
      <c r="D984" s="84"/>
      <c r="E984" s="327"/>
      <c r="F984" s="328"/>
      <c r="G984" s="24"/>
      <c r="H984" s="598"/>
      <c r="I984" s="599"/>
      <c r="J984" s="329"/>
      <c r="K984" s="330"/>
      <c r="L984" s="331"/>
      <c r="M984" s="329"/>
      <c r="N984" s="332"/>
      <c r="O984" s="333"/>
      <c r="P984" s="334"/>
      <c r="Q984" s="83"/>
      <c r="R984" s="83"/>
      <c r="S984" s="83"/>
      <c r="T984" s="83"/>
    </row>
    <row r="985" spans="1:20" ht="15">
      <c r="A985" s="325"/>
      <c r="B985" s="43"/>
      <c r="C985" s="326"/>
      <c r="D985" s="84"/>
      <c r="E985" s="327"/>
      <c r="F985" s="328"/>
      <c r="G985" s="24"/>
      <c r="H985" s="598"/>
      <c r="I985" s="599"/>
      <c r="J985" s="329"/>
      <c r="K985" s="330"/>
      <c r="L985" s="331"/>
      <c r="M985" s="329"/>
      <c r="N985" s="332"/>
      <c r="O985" s="333"/>
      <c r="P985" s="334"/>
      <c r="Q985" s="83"/>
      <c r="R985" s="83"/>
      <c r="S985" s="83"/>
      <c r="T985" s="83"/>
    </row>
    <row r="986" spans="1:20" ht="15">
      <c r="A986" s="325"/>
      <c r="B986" s="43"/>
      <c r="C986" s="326"/>
      <c r="D986" s="84"/>
      <c r="E986" s="327"/>
      <c r="F986" s="328"/>
      <c r="G986" s="24"/>
      <c r="H986" s="598"/>
      <c r="I986" s="599"/>
      <c r="J986" s="329"/>
      <c r="K986" s="330"/>
      <c r="L986" s="331"/>
      <c r="M986" s="329"/>
      <c r="N986" s="332"/>
      <c r="O986" s="333"/>
      <c r="P986" s="334"/>
      <c r="Q986" s="83"/>
      <c r="R986" s="83"/>
      <c r="S986" s="83"/>
      <c r="T986" s="83"/>
    </row>
    <row r="987" spans="1:20" ht="15">
      <c r="A987" s="325"/>
      <c r="B987" s="43"/>
      <c r="C987" s="326"/>
      <c r="D987" s="84"/>
      <c r="E987" s="327"/>
      <c r="F987" s="328"/>
      <c r="G987" s="24"/>
      <c r="H987" s="598"/>
      <c r="I987" s="599"/>
      <c r="J987" s="329"/>
      <c r="K987" s="330"/>
      <c r="L987" s="331"/>
      <c r="M987" s="329"/>
      <c r="N987" s="332"/>
      <c r="O987" s="333"/>
      <c r="P987" s="334"/>
      <c r="Q987" s="83"/>
      <c r="R987" s="83"/>
      <c r="S987" s="83"/>
      <c r="T987" s="83"/>
    </row>
    <row r="988" spans="1:20" ht="15">
      <c r="A988" s="325"/>
      <c r="B988" s="43"/>
      <c r="C988" s="326"/>
      <c r="D988" s="84"/>
      <c r="E988" s="327"/>
      <c r="F988" s="328"/>
      <c r="G988" s="24"/>
      <c r="H988" s="598"/>
      <c r="I988" s="599"/>
      <c r="J988" s="329"/>
      <c r="K988" s="330"/>
      <c r="L988" s="331"/>
      <c r="M988" s="329"/>
      <c r="N988" s="332"/>
      <c r="O988" s="333"/>
      <c r="P988" s="334"/>
      <c r="Q988" s="83"/>
      <c r="R988" s="83"/>
      <c r="S988" s="83"/>
      <c r="T988" s="83"/>
    </row>
    <row r="989" spans="1:20" ht="15">
      <c r="A989" s="325"/>
      <c r="B989" s="43"/>
      <c r="C989" s="326"/>
      <c r="D989" s="84"/>
      <c r="E989" s="327"/>
      <c r="F989" s="328"/>
      <c r="G989" s="24"/>
      <c r="H989" s="598"/>
      <c r="I989" s="599"/>
      <c r="J989" s="329"/>
      <c r="K989" s="330"/>
      <c r="L989" s="331"/>
      <c r="M989" s="329"/>
      <c r="N989" s="332"/>
      <c r="O989" s="333"/>
      <c r="P989" s="334"/>
      <c r="Q989" s="83"/>
      <c r="R989" s="83"/>
      <c r="S989" s="83"/>
      <c r="T989" s="83"/>
    </row>
    <row r="990" spans="1:20" ht="15">
      <c r="A990" s="325"/>
      <c r="B990" s="43"/>
      <c r="C990" s="326"/>
      <c r="D990" s="84"/>
      <c r="E990" s="327"/>
      <c r="F990" s="328"/>
      <c r="G990" s="24"/>
      <c r="H990" s="598"/>
      <c r="I990" s="599"/>
      <c r="J990" s="329"/>
      <c r="K990" s="330"/>
      <c r="L990" s="331"/>
      <c r="M990" s="329"/>
      <c r="N990" s="332"/>
      <c r="O990" s="333"/>
      <c r="P990" s="334"/>
      <c r="Q990" s="83"/>
      <c r="R990" s="83"/>
      <c r="S990" s="83"/>
      <c r="T990" s="83"/>
    </row>
    <row r="991" spans="1:20" ht="15">
      <c r="A991" s="325"/>
      <c r="B991" s="43"/>
      <c r="C991" s="326"/>
      <c r="D991" s="84"/>
      <c r="E991" s="327"/>
      <c r="F991" s="328"/>
      <c r="G991" s="24"/>
      <c r="H991" s="598"/>
      <c r="I991" s="599"/>
      <c r="J991" s="329"/>
      <c r="K991" s="330"/>
      <c r="L991" s="331"/>
      <c r="M991" s="329"/>
      <c r="N991" s="332"/>
      <c r="O991" s="333"/>
      <c r="P991" s="334"/>
      <c r="Q991" s="83"/>
      <c r="R991" s="83"/>
      <c r="S991" s="83"/>
      <c r="T991" s="83"/>
    </row>
    <row r="992" spans="1:20" ht="15">
      <c r="A992" s="325"/>
      <c r="B992" s="43"/>
      <c r="C992" s="326"/>
      <c r="D992" s="84"/>
      <c r="E992" s="327"/>
      <c r="F992" s="328"/>
      <c r="G992" s="24"/>
      <c r="H992" s="598"/>
      <c r="I992" s="599"/>
      <c r="J992" s="329"/>
      <c r="K992" s="330"/>
      <c r="L992" s="331"/>
      <c r="M992" s="329"/>
      <c r="N992" s="332"/>
      <c r="O992" s="333"/>
      <c r="P992" s="334"/>
      <c r="Q992" s="83"/>
      <c r="R992" s="83"/>
      <c r="S992" s="83"/>
      <c r="T992" s="83"/>
    </row>
    <row r="993" spans="1:20" ht="15">
      <c r="A993" s="325"/>
      <c r="B993" s="43"/>
      <c r="C993" s="326"/>
      <c r="D993" s="84"/>
      <c r="E993" s="327"/>
      <c r="F993" s="328"/>
      <c r="G993" s="24"/>
      <c r="H993" s="598"/>
      <c r="I993" s="599"/>
      <c r="J993" s="329"/>
      <c r="K993" s="330"/>
      <c r="L993" s="331"/>
      <c r="M993" s="329"/>
      <c r="N993" s="332"/>
      <c r="O993" s="333"/>
      <c r="P993" s="334"/>
      <c r="Q993" s="83"/>
      <c r="R993" s="83"/>
      <c r="S993" s="83"/>
      <c r="T993" s="83"/>
    </row>
    <row r="994" spans="1:20" ht="15">
      <c r="A994" s="325"/>
      <c r="B994" s="43"/>
      <c r="C994" s="326"/>
      <c r="D994" s="84"/>
      <c r="E994" s="327"/>
      <c r="F994" s="328"/>
      <c r="G994" s="24"/>
      <c r="H994" s="598"/>
      <c r="I994" s="599"/>
      <c r="J994" s="329"/>
      <c r="K994" s="330"/>
      <c r="L994" s="331"/>
      <c r="M994" s="329"/>
      <c r="N994" s="332"/>
      <c r="O994" s="333"/>
      <c r="P994" s="334"/>
      <c r="Q994" s="83"/>
      <c r="R994" s="83"/>
      <c r="S994" s="83"/>
      <c r="T994" s="83"/>
    </row>
    <row r="995" spans="1:20" ht="15">
      <c r="A995" s="325"/>
      <c r="B995" s="43"/>
      <c r="C995" s="326"/>
      <c r="D995" s="84"/>
      <c r="E995" s="327"/>
      <c r="F995" s="328"/>
      <c r="G995" s="24"/>
      <c r="H995" s="598"/>
      <c r="I995" s="599"/>
      <c r="J995" s="329"/>
      <c r="K995" s="330"/>
      <c r="L995" s="331"/>
      <c r="M995" s="329"/>
      <c r="N995" s="332"/>
      <c r="O995" s="333"/>
      <c r="P995" s="334"/>
      <c r="Q995" s="83"/>
      <c r="R995" s="83"/>
      <c r="S995" s="83"/>
      <c r="T995" s="83"/>
    </row>
    <row r="996" spans="1:20" ht="15">
      <c r="A996" s="325"/>
      <c r="B996" s="43"/>
      <c r="C996" s="326"/>
      <c r="D996" s="84"/>
      <c r="E996" s="327"/>
      <c r="F996" s="328"/>
      <c r="G996" s="24"/>
      <c r="H996" s="598"/>
      <c r="I996" s="599"/>
      <c r="J996" s="329"/>
      <c r="K996" s="330"/>
      <c r="L996" s="331"/>
      <c r="M996" s="329"/>
      <c r="N996" s="332"/>
      <c r="O996" s="333"/>
      <c r="P996" s="334"/>
      <c r="Q996" s="83"/>
      <c r="R996" s="83"/>
      <c r="S996" s="83"/>
      <c r="T996" s="83"/>
    </row>
    <row r="997" spans="1:20" ht="15">
      <c r="A997" s="325"/>
      <c r="B997" s="43"/>
      <c r="C997" s="326"/>
      <c r="D997" s="84"/>
      <c r="E997" s="327"/>
      <c r="F997" s="328"/>
      <c r="G997" s="24"/>
      <c r="H997" s="598"/>
      <c r="I997" s="599"/>
      <c r="J997" s="329"/>
      <c r="K997" s="330"/>
      <c r="L997" s="331"/>
      <c r="M997" s="329"/>
      <c r="N997" s="332"/>
      <c r="O997" s="333"/>
      <c r="P997" s="334"/>
      <c r="Q997" s="83"/>
      <c r="R997" s="83"/>
      <c r="S997" s="83"/>
      <c r="T997" s="83"/>
    </row>
    <row r="998" spans="1:20" ht="15">
      <c r="A998" s="325"/>
      <c r="B998" s="43"/>
      <c r="C998" s="326"/>
      <c r="D998" s="84"/>
      <c r="E998" s="327"/>
      <c r="F998" s="328"/>
      <c r="G998" s="24"/>
      <c r="H998" s="598"/>
      <c r="I998" s="599"/>
      <c r="J998" s="329"/>
      <c r="K998" s="330"/>
      <c r="L998" s="331"/>
      <c r="M998" s="329"/>
      <c r="N998" s="332"/>
      <c r="O998" s="333"/>
      <c r="P998" s="334"/>
      <c r="Q998" s="83"/>
      <c r="R998" s="83"/>
      <c r="S998" s="83"/>
      <c r="T998" s="83"/>
    </row>
    <row r="999" spans="1:20" ht="15">
      <c r="A999" s="325"/>
      <c r="B999" s="43"/>
      <c r="C999" s="326"/>
      <c r="D999" s="84"/>
      <c r="E999" s="327"/>
      <c r="F999" s="328"/>
      <c r="G999" s="24"/>
      <c r="H999" s="598"/>
      <c r="I999" s="599"/>
      <c r="J999" s="329"/>
      <c r="K999" s="330"/>
      <c r="L999" s="331"/>
      <c r="M999" s="329"/>
      <c r="N999" s="332"/>
      <c r="O999" s="333"/>
      <c r="P999" s="334"/>
      <c r="Q999" s="83"/>
      <c r="R999" s="83"/>
      <c r="S999" s="83"/>
      <c r="T999" s="83"/>
    </row>
    <row r="1000" spans="1:20" ht="15">
      <c r="A1000" s="325"/>
      <c r="B1000" s="43"/>
      <c r="C1000" s="326"/>
      <c r="D1000" s="84"/>
      <c r="E1000" s="327"/>
      <c r="F1000" s="328"/>
      <c r="G1000" s="24"/>
      <c r="H1000" s="598"/>
      <c r="I1000" s="599"/>
      <c r="J1000" s="329"/>
      <c r="K1000" s="330"/>
      <c r="L1000" s="331"/>
      <c r="M1000" s="329"/>
      <c r="N1000" s="332"/>
      <c r="O1000" s="333"/>
      <c r="P1000" s="334"/>
      <c r="Q1000" s="83"/>
      <c r="R1000" s="83"/>
      <c r="S1000" s="83"/>
      <c r="T1000" s="83"/>
    </row>
    <row r="1001" spans="1:20" ht="15">
      <c r="A1001" s="325"/>
      <c r="B1001" s="43"/>
      <c r="C1001" s="326"/>
      <c r="D1001" s="84"/>
      <c r="E1001" s="327"/>
      <c r="F1001" s="328"/>
      <c r="G1001" s="24"/>
      <c r="H1001" s="598"/>
      <c r="I1001" s="599"/>
      <c r="J1001" s="329"/>
      <c r="K1001" s="330"/>
      <c r="L1001" s="331"/>
      <c r="M1001" s="329"/>
      <c r="N1001" s="332"/>
      <c r="O1001" s="333"/>
      <c r="P1001" s="334"/>
      <c r="Q1001" s="83"/>
      <c r="R1001" s="83"/>
      <c r="S1001" s="83"/>
      <c r="T1001" s="83"/>
    </row>
    <row r="1002" spans="1:20" ht="15">
      <c r="A1002" s="325"/>
      <c r="B1002" s="43"/>
      <c r="C1002" s="326"/>
      <c r="D1002" s="84"/>
      <c r="E1002" s="327"/>
      <c r="F1002" s="328"/>
      <c r="G1002" s="24"/>
      <c r="H1002" s="598"/>
      <c r="I1002" s="599"/>
      <c r="J1002" s="329"/>
      <c r="K1002" s="330"/>
      <c r="L1002" s="331"/>
      <c r="M1002" s="329"/>
      <c r="N1002" s="332"/>
      <c r="O1002" s="333"/>
      <c r="P1002" s="334"/>
      <c r="Q1002" s="83"/>
      <c r="R1002" s="83"/>
      <c r="S1002" s="83"/>
      <c r="T1002" s="83"/>
    </row>
    <row r="1003" spans="1:20" ht="15">
      <c r="A1003" s="325"/>
      <c r="B1003" s="43"/>
      <c r="C1003" s="326"/>
      <c r="D1003" s="84"/>
      <c r="E1003" s="327"/>
      <c r="F1003" s="328"/>
      <c r="G1003" s="24"/>
      <c r="H1003" s="598"/>
      <c r="I1003" s="599"/>
      <c r="J1003" s="329"/>
      <c r="K1003" s="330"/>
      <c r="L1003" s="331"/>
      <c r="M1003" s="329"/>
      <c r="N1003" s="332"/>
      <c r="O1003" s="333"/>
      <c r="P1003" s="334"/>
      <c r="Q1003" s="83"/>
      <c r="R1003" s="83"/>
      <c r="S1003" s="83"/>
      <c r="T1003" s="83"/>
    </row>
    <row r="1004" spans="1:20" ht="15">
      <c r="A1004" s="325"/>
      <c r="B1004" s="43"/>
      <c r="C1004" s="326"/>
      <c r="D1004" s="84"/>
      <c r="E1004" s="327"/>
      <c r="F1004" s="328"/>
      <c r="G1004" s="24"/>
      <c r="H1004" s="598"/>
      <c r="I1004" s="599"/>
      <c r="J1004" s="329"/>
      <c r="K1004" s="330"/>
      <c r="L1004" s="331"/>
      <c r="M1004" s="329"/>
      <c r="N1004" s="332"/>
      <c r="O1004" s="333"/>
      <c r="P1004" s="334"/>
      <c r="Q1004" s="83"/>
      <c r="R1004" s="83"/>
      <c r="S1004" s="83"/>
      <c r="T1004" s="83"/>
    </row>
    <row r="1005" spans="1:20" ht="15">
      <c r="A1005" s="325"/>
      <c r="B1005" s="43"/>
      <c r="C1005" s="326"/>
      <c r="D1005" s="84"/>
      <c r="E1005" s="327"/>
      <c r="F1005" s="328"/>
      <c r="G1005" s="24"/>
      <c r="H1005" s="598"/>
      <c r="I1005" s="599"/>
      <c r="J1005" s="329"/>
      <c r="K1005" s="330"/>
      <c r="L1005" s="331"/>
      <c r="M1005" s="329"/>
      <c r="N1005" s="332"/>
      <c r="O1005" s="333"/>
      <c r="P1005" s="334"/>
      <c r="Q1005" s="83"/>
      <c r="R1005" s="83"/>
      <c r="S1005" s="83"/>
      <c r="T1005" s="83"/>
    </row>
    <row r="1006" spans="1:20" ht="15">
      <c r="A1006" s="325"/>
      <c r="B1006" s="43"/>
      <c r="C1006" s="326"/>
      <c r="D1006" s="84"/>
      <c r="E1006" s="327"/>
      <c r="F1006" s="328"/>
      <c r="G1006" s="24"/>
      <c r="H1006" s="598"/>
      <c r="I1006" s="599"/>
      <c r="J1006" s="329"/>
      <c r="K1006" s="330"/>
      <c r="L1006" s="331"/>
      <c r="M1006" s="329"/>
      <c r="N1006" s="332"/>
      <c r="O1006" s="333"/>
      <c r="P1006" s="334"/>
      <c r="Q1006" s="83"/>
      <c r="R1006" s="83"/>
      <c r="S1006" s="83"/>
      <c r="T1006" s="83"/>
    </row>
    <row r="1007" spans="1:20" ht="15">
      <c r="A1007" s="325"/>
      <c r="B1007" s="43"/>
      <c r="C1007" s="326"/>
      <c r="D1007" s="84"/>
      <c r="E1007" s="327"/>
      <c r="F1007" s="328"/>
      <c r="G1007" s="24"/>
      <c r="H1007" s="598"/>
      <c r="I1007" s="599"/>
      <c r="J1007" s="329"/>
      <c r="K1007" s="330"/>
      <c r="L1007" s="331"/>
      <c r="M1007" s="329"/>
      <c r="N1007" s="332"/>
      <c r="O1007" s="333"/>
      <c r="P1007" s="334"/>
      <c r="Q1007" s="83"/>
      <c r="R1007" s="83"/>
      <c r="S1007" s="83"/>
      <c r="T1007" s="83"/>
    </row>
    <row r="1008" spans="1:20" ht="15">
      <c r="A1008" s="325"/>
      <c r="B1008" s="43"/>
      <c r="C1008" s="326"/>
      <c r="D1008" s="84"/>
      <c r="E1008" s="327"/>
      <c r="F1008" s="328"/>
      <c r="G1008" s="24"/>
      <c r="H1008" s="598"/>
      <c r="I1008" s="599"/>
      <c r="J1008" s="329"/>
      <c r="K1008" s="330"/>
      <c r="L1008" s="331"/>
      <c r="M1008" s="329"/>
      <c r="N1008" s="332"/>
      <c r="O1008" s="333"/>
      <c r="P1008" s="334"/>
      <c r="Q1008" s="83"/>
      <c r="R1008" s="83"/>
      <c r="S1008" s="83"/>
      <c r="T1008" s="83"/>
    </row>
    <row r="1009" spans="1:20" ht="15">
      <c r="A1009" s="325"/>
      <c r="B1009" s="43"/>
      <c r="C1009" s="326"/>
      <c r="D1009" s="84"/>
      <c r="E1009" s="327"/>
      <c r="F1009" s="328"/>
      <c r="G1009" s="24"/>
      <c r="H1009" s="598"/>
      <c r="I1009" s="599"/>
      <c r="J1009" s="329"/>
      <c r="K1009" s="330"/>
      <c r="L1009" s="331"/>
      <c r="M1009" s="329"/>
      <c r="N1009" s="332"/>
      <c r="O1009" s="333"/>
      <c r="P1009" s="334"/>
      <c r="Q1009" s="83"/>
      <c r="R1009" s="83"/>
      <c r="S1009" s="83"/>
      <c r="T1009" s="83"/>
    </row>
    <row r="1010" spans="1:20" ht="15">
      <c r="A1010" s="325"/>
      <c r="B1010" s="43"/>
      <c r="C1010" s="326"/>
      <c r="D1010" s="84"/>
      <c r="E1010" s="327"/>
      <c r="F1010" s="328"/>
      <c r="G1010" s="24"/>
      <c r="H1010" s="598"/>
      <c r="I1010" s="599"/>
      <c r="J1010" s="329"/>
      <c r="K1010" s="330"/>
      <c r="L1010" s="331"/>
      <c r="M1010" s="329"/>
      <c r="N1010" s="332"/>
      <c r="O1010" s="333"/>
      <c r="P1010" s="334"/>
      <c r="Q1010" s="83"/>
      <c r="R1010" s="83"/>
      <c r="S1010" s="83"/>
      <c r="T1010" s="83"/>
    </row>
    <row r="1011" spans="1:20" ht="15">
      <c r="A1011" s="325"/>
      <c r="B1011" s="43"/>
      <c r="C1011" s="326"/>
      <c r="D1011" s="84"/>
      <c r="E1011" s="327"/>
      <c r="F1011" s="328"/>
      <c r="G1011" s="24"/>
      <c r="H1011" s="598"/>
      <c r="I1011" s="599"/>
      <c r="J1011" s="329"/>
      <c r="K1011" s="330"/>
      <c r="L1011" s="331"/>
      <c r="M1011" s="329"/>
      <c r="N1011" s="332"/>
      <c r="O1011" s="333"/>
      <c r="P1011" s="334"/>
      <c r="Q1011" s="83"/>
      <c r="R1011" s="83"/>
      <c r="S1011" s="83"/>
      <c r="T1011" s="83"/>
    </row>
    <row r="1012" spans="1:20" ht="15">
      <c r="A1012" s="325"/>
      <c r="B1012" s="43"/>
      <c r="C1012" s="326"/>
      <c r="D1012" s="84"/>
      <c r="E1012" s="327"/>
      <c r="F1012" s="328"/>
      <c r="G1012" s="24"/>
      <c r="H1012" s="598"/>
      <c r="I1012" s="599"/>
      <c r="J1012" s="329"/>
      <c r="K1012" s="330"/>
      <c r="L1012" s="331"/>
      <c r="M1012" s="329"/>
      <c r="N1012" s="332"/>
      <c r="O1012" s="333"/>
      <c r="P1012" s="334"/>
      <c r="Q1012" s="83"/>
      <c r="R1012" s="83"/>
      <c r="S1012" s="83"/>
      <c r="T1012" s="83"/>
    </row>
    <row r="1013" spans="1:20" ht="15">
      <c r="A1013" s="325"/>
      <c r="B1013" s="43"/>
      <c r="C1013" s="326"/>
      <c r="D1013" s="84"/>
      <c r="E1013" s="327"/>
      <c r="F1013" s="328"/>
      <c r="G1013" s="24"/>
      <c r="H1013" s="598"/>
      <c r="I1013" s="599"/>
      <c r="J1013" s="329"/>
      <c r="K1013" s="330"/>
      <c r="L1013" s="331"/>
      <c r="M1013" s="329"/>
      <c r="N1013" s="332"/>
      <c r="O1013" s="333"/>
      <c r="P1013" s="334"/>
      <c r="Q1013" s="83"/>
      <c r="R1013" s="83"/>
      <c r="S1013" s="83"/>
      <c r="T1013" s="83"/>
    </row>
    <row r="1014" spans="1:20" ht="15">
      <c r="A1014" s="325"/>
      <c r="B1014" s="43"/>
      <c r="C1014" s="326"/>
      <c r="D1014" s="84"/>
      <c r="E1014" s="327"/>
      <c r="F1014" s="328"/>
      <c r="G1014" s="24"/>
      <c r="H1014" s="598"/>
      <c r="I1014" s="599"/>
      <c r="J1014" s="329"/>
      <c r="K1014" s="330"/>
      <c r="L1014" s="331"/>
      <c r="M1014" s="329"/>
      <c r="N1014" s="332"/>
      <c r="O1014" s="333"/>
      <c r="P1014" s="334"/>
      <c r="Q1014" s="83"/>
      <c r="R1014" s="83"/>
      <c r="S1014" s="83"/>
      <c r="T1014" s="83"/>
    </row>
    <row r="1015" spans="1:20" ht="15">
      <c r="A1015" s="325"/>
      <c r="B1015" s="43"/>
      <c r="C1015" s="326"/>
      <c r="D1015" s="84"/>
      <c r="E1015" s="327"/>
      <c r="F1015" s="328"/>
      <c r="G1015" s="24"/>
      <c r="H1015" s="598"/>
      <c r="I1015" s="599"/>
      <c r="J1015" s="329"/>
      <c r="K1015" s="330"/>
      <c r="L1015" s="331"/>
      <c r="M1015" s="329"/>
      <c r="N1015" s="332"/>
      <c r="O1015" s="333"/>
      <c r="P1015" s="334"/>
      <c r="Q1015" s="83"/>
      <c r="R1015" s="83"/>
      <c r="S1015" s="83"/>
      <c r="T1015" s="83"/>
    </row>
    <row r="1016" spans="1:20" ht="15">
      <c r="A1016" s="325"/>
      <c r="B1016" s="43"/>
      <c r="C1016" s="326"/>
      <c r="D1016" s="84"/>
      <c r="E1016" s="327"/>
      <c r="F1016" s="328"/>
      <c r="G1016" s="24"/>
      <c r="H1016" s="598"/>
      <c r="I1016" s="599"/>
      <c r="J1016" s="329"/>
      <c r="K1016" s="330"/>
      <c r="L1016" s="331"/>
      <c r="M1016" s="329"/>
      <c r="N1016" s="332"/>
      <c r="O1016" s="333"/>
      <c r="P1016" s="334"/>
      <c r="Q1016" s="83"/>
      <c r="R1016" s="83"/>
      <c r="S1016" s="83"/>
      <c r="T1016" s="83"/>
    </row>
    <row r="1017" spans="1:20" ht="15">
      <c r="A1017" s="325"/>
      <c r="B1017" s="43"/>
      <c r="C1017" s="326"/>
      <c r="D1017" s="84"/>
      <c r="E1017" s="327"/>
      <c r="F1017" s="328"/>
      <c r="G1017" s="24"/>
      <c r="H1017" s="598"/>
      <c r="I1017" s="599"/>
      <c r="J1017" s="329"/>
      <c r="K1017" s="330"/>
      <c r="L1017" s="331"/>
      <c r="M1017" s="329"/>
      <c r="N1017" s="332"/>
      <c r="O1017" s="333"/>
      <c r="P1017" s="334"/>
      <c r="Q1017" s="83"/>
      <c r="R1017" s="83"/>
      <c r="S1017" s="83"/>
      <c r="T1017" s="83"/>
    </row>
    <row r="1018" spans="1:20" ht="15">
      <c r="A1018" s="325"/>
      <c r="B1018" s="43"/>
      <c r="C1018" s="326"/>
      <c r="D1018" s="84"/>
      <c r="E1018" s="327"/>
      <c r="F1018" s="328"/>
      <c r="G1018" s="24"/>
      <c r="H1018" s="598"/>
      <c r="I1018" s="599"/>
      <c r="J1018" s="329"/>
      <c r="K1018" s="330"/>
      <c r="L1018" s="331"/>
      <c r="M1018" s="329"/>
      <c r="N1018" s="332"/>
      <c r="O1018" s="333"/>
      <c r="P1018" s="334"/>
      <c r="Q1018" s="83"/>
      <c r="R1018" s="83"/>
      <c r="S1018" s="83"/>
      <c r="T1018" s="83"/>
    </row>
    <row r="1019" spans="1:20" ht="15">
      <c r="A1019" s="325"/>
      <c r="B1019" s="43"/>
      <c r="C1019" s="326"/>
      <c r="D1019" s="84"/>
      <c r="E1019" s="327"/>
      <c r="F1019" s="328"/>
      <c r="G1019" s="24"/>
      <c r="H1019" s="598"/>
      <c r="I1019" s="599"/>
      <c r="J1019" s="329"/>
      <c r="K1019" s="330"/>
      <c r="L1019" s="331"/>
      <c r="M1019" s="329"/>
      <c r="N1019" s="332"/>
      <c r="O1019" s="333"/>
      <c r="P1019" s="334"/>
      <c r="Q1019" s="83"/>
      <c r="R1019" s="83"/>
      <c r="S1019" s="83"/>
      <c r="T1019" s="83"/>
    </row>
    <row r="1020" spans="1:20" ht="15">
      <c r="A1020" s="325"/>
      <c r="B1020" s="43"/>
      <c r="C1020" s="326"/>
      <c r="D1020" s="84"/>
      <c r="E1020" s="327"/>
      <c r="F1020" s="328"/>
      <c r="G1020" s="24"/>
      <c r="H1020" s="598"/>
      <c r="I1020" s="599"/>
      <c r="J1020" s="329"/>
      <c r="K1020" s="330"/>
      <c r="L1020" s="331"/>
      <c r="M1020" s="329"/>
      <c r="N1020" s="332"/>
      <c r="O1020" s="333"/>
      <c r="P1020" s="334"/>
      <c r="Q1020" s="83"/>
      <c r="R1020" s="83"/>
      <c r="S1020" s="83"/>
      <c r="T1020" s="83"/>
    </row>
    <row r="1021" spans="1:20" ht="15">
      <c r="A1021" s="325"/>
      <c r="B1021" s="43"/>
      <c r="C1021" s="326"/>
      <c r="D1021" s="84"/>
      <c r="E1021" s="327"/>
      <c r="F1021" s="328"/>
      <c r="G1021" s="24"/>
      <c r="H1021" s="598"/>
      <c r="I1021" s="599"/>
      <c r="J1021" s="329"/>
      <c r="K1021" s="330"/>
      <c r="L1021" s="331"/>
      <c r="M1021" s="329"/>
      <c r="N1021" s="332"/>
      <c r="O1021" s="333"/>
      <c r="P1021" s="334"/>
      <c r="Q1021" s="83"/>
      <c r="R1021" s="83"/>
      <c r="S1021" s="83"/>
      <c r="T1021" s="83"/>
    </row>
    <row r="1022" spans="1:20" ht="15">
      <c r="A1022" s="325"/>
      <c r="B1022" s="43"/>
      <c r="C1022" s="326"/>
      <c r="D1022" s="84"/>
      <c r="E1022" s="327"/>
      <c r="F1022" s="328"/>
      <c r="G1022" s="24"/>
      <c r="H1022" s="598"/>
      <c r="I1022" s="599"/>
      <c r="J1022" s="329"/>
      <c r="K1022" s="330"/>
      <c r="L1022" s="331"/>
      <c r="M1022" s="329"/>
      <c r="N1022" s="332"/>
      <c r="O1022" s="333"/>
      <c r="P1022" s="334"/>
      <c r="Q1022" s="83"/>
      <c r="R1022" s="83"/>
      <c r="S1022" s="83"/>
      <c r="T1022" s="83"/>
    </row>
    <row r="1023" spans="1:20" ht="15">
      <c r="A1023" s="325"/>
      <c r="B1023" s="43"/>
      <c r="C1023" s="326"/>
      <c r="D1023" s="84"/>
      <c r="E1023" s="327"/>
      <c r="F1023" s="328"/>
      <c r="G1023" s="24"/>
      <c r="H1023" s="598"/>
      <c r="I1023" s="599"/>
      <c r="J1023" s="329"/>
      <c r="K1023" s="330"/>
      <c r="L1023" s="331"/>
      <c r="M1023" s="329"/>
      <c r="N1023" s="332"/>
      <c r="O1023" s="333"/>
      <c r="P1023" s="334"/>
      <c r="Q1023" s="83"/>
      <c r="R1023" s="83"/>
      <c r="S1023" s="83"/>
      <c r="T1023" s="83"/>
    </row>
    <row r="1024" spans="1:20" ht="15">
      <c r="A1024" s="325"/>
      <c r="B1024" s="43"/>
      <c r="C1024" s="326"/>
      <c r="D1024" s="84"/>
      <c r="E1024" s="327"/>
      <c r="F1024" s="328"/>
      <c r="G1024" s="24"/>
      <c r="H1024" s="598"/>
      <c r="I1024" s="599"/>
      <c r="J1024" s="329"/>
      <c r="K1024" s="330"/>
      <c r="L1024" s="331"/>
      <c r="M1024" s="329"/>
      <c r="N1024" s="332"/>
      <c r="O1024" s="333"/>
      <c r="P1024" s="334"/>
      <c r="Q1024" s="83"/>
      <c r="R1024" s="83"/>
      <c r="S1024" s="83"/>
      <c r="T1024" s="83"/>
    </row>
    <row r="1025" spans="1:20" ht="15">
      <c r="A1025" s="325"/>
      <c r="B1025" s="43"/>
      <c r="C1025" s="326"/>
      <c r="D1025" s="84"/>
      <c r="E1025" s="327"/>
      <c r="F1025" s="328"/>
      <c r="G1025" s="24"/>
      <c r="H1025" s="598"/>
      <c r="I1025" s="599"/>
      <c r="J1025" s="329"/>
      <c r="K1025" s="330"/>
      <c r="L1025" s="331"/>
      <c r="M1025" s="329"/>
      <c r="N1025" s="332"/>
      <c r="O1025" s="333"/>
      <c r="P1025" s="334"/>
      <c r="Q1025" s="83"/>
      <c r="R1025" s="83"/>
      <c r="S1025" s="83"/>
      <c r="T1025" s="83"/>
    </row>
    <row r="1026" spans="1:20" ht="15">
      <c r="A1026" s="325"/>
      <c r="B1026" s="43"/>
      <c r="C1026" s="326"/>
      <c r="D1026" s="84"/>
      <c r="E1026" s="327"/>
      <c r="F1026" s="328"/>
      <c r="G1026" s="24"/>
      <c r="H1026" s="598"/>
      <c r="I1026" s="599"/>
      <c r="J1026" s="329"/>
      <c r="K1026" s="330"/>
      <c r="L1026" s="331"/>
      <c r="M1026" s="329"/>
      <c r="N1026" s="332"/>
      <c r="O1026" s="333"/>
      <c r="P1026" s="334"/>
      <c r="Q1026" s="83"/>
      <c r="R1026" s="83"/>
      <c r="S1026" s="83"/>
      <c r="T1026" s="83"/>
    </row>
    <row r="1027" spans="1:20" ht="15">
      <c r="A1027" s="325"/>
      <c r="B1027" s="43"/>
      <c r="C1027" s="326"/>
      <c r="D1027" s="84"/>
      <c r="E1027" s="327"/>
      <c r="F1027" s="328"/>
      <c r="G1027" s="24"/>
      <c r="H1027" s="598"/>
      <c r="I1027" s="599"/>
      <c r="J1027" s="329"/>
      <c r="K1027" s="330"/>
      <c r="L1027" s="331"/>
      <c r="M1027" s="329"/>
      <c r="N1027" s="332"/>
      <c r="O1027" s="333"/>
      <c r="P1027" s="334"/>
      <c r="Q1027" s="83"/>
      <c r="R1027" s="83"/>
      <c r="S1027" s="83"/>
      <c r="T1027" s="83"/>
    </row>
    <row r="1028" spans="1:20" ht="15">
      <c r="A1028" s="325"/>
      <c r="B1028" s="43"/>
      <c r="C1028" s="326"/>
      <c r="D1028" s="84"/>
      <c r="E1028" s="327"/>
      <c r="F1028" s="328"/>
      <c r="G1028" s="24"/>
      <c r="H1028" s="598"/>
      <c r="I1028" s="599"/>
      <c r="J1028" s="329"/>
      <c r="K1028" s="330"/>
      <c r="L1028" s="331"/>
      <c r="M1028" s="329"/>
      <c r="N1028" s="332"/>
      <c r="O1028" s="333"/>
      <c r="P1028" s="334"/>
      <c r="Q1028" s="83"/>
      <c r="R1028" s="83"/>
      <c r="S1028" s="83"/>
      <c r="T1028" s="83"/>
    </row>
    <row r="1029" spans="1:20" ht="15">
      <c r="A1029" s="325"/>
      <c r="B1029" s="43"/>
      <c r="C1029" s="326"/>
      <c r="D1029" s="84"/>
      <c r="E1029" s="327"/>
      <c r="F1029" s="328"/>
      <c r="G1029" s="24"/>
      <c r="H1029" s="598"/>
      <c r="I1029" s="599"/>
      <c r="J1029" s="329"/>
      <c r="K1029" s="330"/>
      <c r="L1029" s="331"/>
      <c r="M1029" s="329"/>
      <c r="N1029" s="332"/>
      <c r="O1029" s="333"/>
      <c r="P1029" s="334"/>
      <c r="Q1029" s="83"/>
      <c r="R1029" s="83"/>
      <c r="S1029" s="83"/>
      <c r="T1029" s="83"/>
    </row>
    <row r="1030" spans="1:20" ht="15">
      <c r="A1030" s="325"/>
      <c r="B1030" s="43"/>
      <c r="C1030" s="326"/>
      <c r="D1030" s="84"/>
      <c r="E1030" s="327"/>
      <c r="F1030" s="328"/>
      <c r="G1030" s="24"/>
      <c r="H1030" s="598"/>
      <c r="I1030" s="599"/>
      <c r="J1030" s="329"/>
      <c r="K1030" s="330"/>
      <c r="L1030" s="331"/>
      <c r="M1030" s="329"/>
      <c r="N1030" s="332"/>
      <c r="O1030" s="333"/>
      <c r="P1030" s="334"/>
      <c r="Q1030" s="83"/>
      <c r="R1030" s="83"/>
      <c r="S1030" s="83"/>
      <c r="T1030" s="83"/>
    </row>
    <row r="1031" spans="1:20" ht="15">
      <c r="A1031" s="325"/>
      <c r="B1031" s="43"/>
      <c r="C1031" s="326"/>
      <c r="D1031" s="84"/>
      <c r="E1031" s="327"/>
      <c r="F1031" s="328"/>
      <c r="G1031" s="24"/>
      <c r="H1031" s="598"/>
      <c r="I1031" s="599"/>
      <c r="J1031" s="329"/>
      <c r="K1031" s="330"/>
      <c r="L1031" s="331"/>
      <c r="M1031" s="329"/>
      <c r="N1031" s="332"/>
      <c r="O1031" s="333"/>
      <c r="P1031" s="334"/>
      <c r="Q1031" s="83"/>
      <c r="R1031" s="83"/>
      <c r="S1031" s="83"/>
      <c r="T1031" s="83"/>
    </row>
    <row r="1032" spans="1:20" ht="15">
      <c r="A1032" s="325"/>
      <c r="B1032" s="43"/>
      <c r="C1032" s="326"/>
      <c r="D1032" s="84"/>
      <c r="E1032" s="327"/>
      <c r="F1032" s="328"/>
      <c r="G1032" s="24"/>
      <c r="H1032" s="598"/>
      <c r="I1032" s="599"/>
      <c r="J1032" s="329"/>
      <c r="K1032" s="330"/>
      <c r="L1032" s="331"/>
      <c r="M1032" s="329"/>
      <c r="N1032" s="332"/>
      <c r="O1032" s="333"/>
      <c r="P1032" s="334"/>
      <c r="Q1032" s="83"/>
      <c r="R1032" s="83"/>
      <c r="S1032" s="83"/>
      <c r="T1032" s="83"/>
    </row>
    <row r="1033" spans="1:20" ht="15">
      <c r="A1033" s="325"/>
      <c r="B1033" s="43"/>
      <c r="C1033" s="326"/>
      <c r="D1033" s="84"/>
      <c r="E1033" s="327"/>
      <c r="F1033" s="328"/>
      <c r="G1033" s="24"/>
      <c r="H1033" s="598"/>
      <c r="I1033" s="599"/>
      <c r="J1033" s="329"/>
      <c r="K1033" s="330"/>
      <c r="L1033" s="331"/>
      <c r="M1033" s="329"/>
      <c r="N1033" s="332"/>
      <c r="O1033" s="333"/>
      <c r="P1033" s="334"/>
      <c r="Q1033" s="83"/>
      <c r="R1033" s="83"/>
      <c r="S1033" s="83"/>
      <c r="T1033" s="83"/>
    </row>
    <row r="1034" spans="1:20" ht="15">
      <c r="A1034" s="325"/>
      <c r="B1034" s="43"/>
      <c r="C1034" s="326"/>
      <c r="D1034" s="84"/>
      <c r="E1034" s="327"/>
      <c r="F1034" s="328"/>
      <c r="G1034" s="24"/>
      <c r="H1034" s="598"/>
      <c r="I1034" s="599"/>
      <c r="J1034" s="329"/>
      <c r="K1034" s="330"/>
      <c r="L1034" s="331"/>
      <c r="M1034" s="329"/>
      <c r="N1034" s="332"/>
      <c r="O1034" s="333"/>
      <c r="P1034" s="334"/>
      <c r="Q1034" s="83"/>
      <c r="R1034" s="83"/>
      <c r="S1034" s="83"/>
      <c r="T1034" s="83"/>
    </row>
    <row r="1035" spans="1:20" ht="15">
      <c r="A1035" s="325"/>
      <c r="B1035" s="43"/>
      <c r="C1035" s="326"/>
      <c r="D1035" s="84"/>
      <c r="E1035" s="327"/>
      <c r="F1035" s="328"/>
      <c r="G1035" s="24"/>
      <c r="H1035" s="598"/>
      <c r="I1035" s="599"/>
      <c r="J1035" s="329"/>
      <c r="K1035" s="330"/>
      <c r="L1035" s="331"/>
      <c r="M1035" s="329"/>
      <c r="N1035" s="332"/>
      <c r="O1035" s="333"/>
      <c r="P1035" s="334"/>
      <c r="Q1035" s="83"/>
      <c r="R1035" s="83"/>
      <c r="S1035" s="83"/>
      <c r="T1035" s="83"/>
    </row>
    <row r="1036" spans="1:20" ht="15">
      <c r="A1036" s="325"/>
      <c r="B1036" s="43"/>
      <c r="C1036" s="326"/>
      <c r="D1036" s="84"/>
      <c r="E1036" s="327"/>
      <c r="F1036" s="328"/>
      <c r="G1036" s="24"/>
      <c r="H1036" s="598"/>
      <c r="I1036" s="599"/>
      <c r="J1036" s="329"/>
      <c r="K1036" s="330"/>
      <c r="L1036" s="331"/>
      <c r="M1036" s="329"/>
      <c r="N1036" s="332"/>
      <c r="O1036" s="333"/>
      <c r="P1036" s="334"/>
      <c r="Q1036" s="83"/>
      <c r="R1036" s="83"/>
      <c r="S1036" s="83"/>
      <c r="T1036" s="83"/>
    </row>
    <row r="1037" spans="1:20" ht="15">
      <c r="A1037" s="325"/>
      <c r="B1037" s="43"/>
      <c r="C1037" s="326"/>
      <c r="D1037" s="84"/>
      <c r="E1037" s="327"/>
      <c r="F1037" s="328"/>
      <c r="G1037" s="24"/>
      <c r="H1037" s="598"/>
      <c r="I1037" s="599"/>
      <c r="J1037" s="329"/>
      <c r="K1037" s="330"/>
      <c r="L1037" s="331"/>
      <c r="M1037" s="329"/>
      <c r="N1037" s="332"/>
      <c r="O1037" s="333"/>
      <c r="P1037" s="334"/>
      <c r="Q1037" s="83"/>
      <c r="R1037" s="83"/>
      <c r="S1037" s="83"/>
      <c r="T1037" s="83"/>
    </row>
    <row r="1038" spans="1:20" ht="15">
      <c r="A1038" s="325"/>
      <c r="B1038" s="43"/>
      <c r="C1038" s="326"/>
      <c r="D1038" s="84"/>
      <c r="E1038" s="327"/>
      <c r="F1038" s="328"/>
      <c r="G1038" s="24"/>
      <c r="H1038" s="598"/>
      <c r="I1038" s="599"/>
      <c r="J1038" s="329"/>
      <c r="K1038" s="330"/>
      <c r="L1038" s="331"/>
      <c r="M1038" s="329"/>
      <c r="N1038" s="332"/>
      <c r="O1038" s="333"/>
      <c r="P1038" s="334"/>
      <c r="Q1038" s="83"/>
      <c r="R1038" s="83"/>
      <c r="S1038" s="83"/>
      <c r="T1038" s="83"/>
    </row>
    <row r="1039" spans="1:20" ht="15">
      <c r="A1039" s="325"/>
      <c r="B1039" s="43"/>
      <c r="C1039" s="326"/>
      <c r="D1039" s="84"/>
      <c r="E1039" s="327"/>
      <c r="F1039" s="328"/>
      <c r="G1039" s="24"/>
      <c r="H1039" s="598"/>
      <c r="I1039" s="599"/>
      <c r="J1039" s="329"/>
      <c r="K1039" s="330"/>
      <c r="L1039" s="331"/>
      <c r="M1039" s="329"/>
      <c r="N1039" s="332"/>
      <c r="O1039" s="333"/>
      <c r="P1039" s="334"/>
      <c r="Q1039" s="83"/>
      <c r="R1039" s="83"/>
      <c r="S1039" s="83"/>
      <c r="T1039" s="83"/>
    </row>
    <row r="1040" spans="1:20" ht="15">
      <c r="A1040" s="325"/>
      <c r="B1040" s="43"/>
      <c r="C1040" s="326"/>
      <c r="D1040" s="84"/>
      <c r="E1040" s="327"/>
      <c r="F1040" s="328"/>
      <c r="G1040" s="24"/>
      <c r="H1040" s="598"/>
      <c r="I1040" s="599"/>
      <c r="J1040" s="329"/>
      <c r="K1040" s="330"/>
      <c r="L1040" s="331"/>
      <c r="M1040" s="329"/>
      <c r="N1040" s="332"/>
      <c r="O1040" s="333"/>
      <c r="P1040" s="334"/>
      <c r="Q1040" s="83"/>
      <c r="R1040" s="83"/>
      <c r="S1040" s="83"/>
      <c r="T1040" s="83"/>
    </row>
    <row r="1041" spans="1:20" ht="15">
      <c r="A1041" s="325"/>
      <c r="B1041" s="43"/>
      <c r="C1041" s="326"/>
      <c r="D1041" s="84"/>
      <c r="E1041" s="327"/>
      <c r="F1041" s="328"/>
      <c r="G1041" s="24"/>
      <c r="H1041" s="598"/>
      <c r="I1041" s="599"/>
      <c r="J1041" s="329"/>
      <c r="K1041" s="330"/>
      <c r="L1041" s="331"/>
      <c r="M1041" s="329"/>
      <c r="N1041" s="332"/>
      <c r="O1041" s="333"/>
      <c r="P1041" s="334"/>
      <c r="Q1041" s="83"/>
      <c r="R1041" s="83"/>
      <c r="S1041" s="83"/>
      <c r="T1041" s="83"/>
    </row>
    <row r="1042" spans="1:20" ht="15">
      <c r="A1042" s="325"/>
      <c r="B1042" s="43"/>
      <c r="C1042" s="326"/>
      <c r="D1042" s="84"/>
      <c r="E1042" s="327"/>
      <c r="F1042" s="328"/>
      <c r="G1042" s="24"/>
      <c r="H1042" s="598"/>
      <c r="I1042" s="599"/>
      <c r="J1042" s="329"/>
      <c r="K1042" s="330"/>
      <c r="L1042" s="331"/>
      <c r="M1042" s="329"/>
      <c r="N1042" s="332"/>
      <c r="O1042" s="333"/>
      <c r="P1042" s="334"/>
      <c r="Q1042" s="83"/>
      <c r="R1042" s="83"/>
      <c r="S1042" s="83"/>
      <c r="T1042" s="83"/>
    </row>
    <row r="1043" spans="1:20" ht="15">
      <c r="A1043" s="325"/>
      <c r="B1043" s="43"/>
      <c r="C1043" s="326"/>
      <c r="D1043" s="84"/>
      <c r="E1043" s="327"/>
      <c r="F1043" s="328"/>
      <c r="G1043" s="24"/>
      <c r="H1043" s="598"/>
      <c r="I1043" s="599"/>
      <c r="J1043" s="329"/>
      <c r="K1043" s="330"/>
      <c r="L1043" s="331"/>
      <c r="M1043" s="329"/>
      <c r="N1043" s="332"/>
      <c r="O1043" s="333"/>
      <c r="P1043" s="334"/>
      <c r="Q1043" s="83"/>
      <c r="R1043" s="83"/>
      <c r="S1043" s="83"/>
      <c r="T1043" s="83"/>
    </row>
    <row r="1044" spans="1:20" ht="15">
      <c r="A1044" s="325"/>
      <c r="B1044" s="43"/>
      <c r="C1044" s="326"/>
      <c r="D1044" s="84"/>
      <c r="E1044" s="327"/>
      <c r="F1044" s="328"/>
      <c r="G1044" s="24"/>
      <c r="H1044" s="598"/>
      <c r="I1044" s="599"/>
      <c r="J1044" s="329"/>
      <c r="K1044" s="330"/>
      <c r="L1044" s="331"/>
      <c r="M1044" s="329"/>
      <c r="N1044" s="332"/>
      <c r="O1044" s="333"/>
      <c r="P1044" s="334"/>
      <c r="Q1044" s="83"/>
      <c r="R1044" s="83"/>
      <c r="S1044" s="83"/>
      <c r="T1044" s="83"/>
    </row>
    <row r="1045" spans="1:20" ht="15">
      <c r="A1045" s="325"/>
      <c r="B1045" s="43"/>
      <c r="C1045" s="326"/>
      <c r="D1045" s="84"/>
      <c r="E1045" s="327"/>
      <c r="F1045" s="328"/>
      <c r="G1045" s="24"/>
      <c r="H1045" s="598"/>
      <c r="I1045" s="599"/>
      <c r="J1045" s="329"/>
      <c r="K1045" s="330"/>
      <c r="L1045" s="331"/>
      <c r="M1045" s="329"/>
      <c r="N1045" s="332"/>
      <c r="O1045" s="333"/>
      <c r="P1045" s="334"/>
      <c r="Q1045" s="83"/>
      <c r="R1045" s="83"/>
      <c r="S1045" s="83"/>
      <c r="T1045" s="83"/>
    </row>
    <row r="1046" spans="1:20" ht="15">
      <c r="A1046" s="325"/>
      <c r="B1046" s="43"/>
      <c r="C1046" s="326"/>
      <c r="D1046" s="84"/>
      <c r="E1046" s="327"/>
      <c r="F1046" s="328"/>
      <c r="G1046" s="24"/>
      <c r="H1046" s="598"/>
      <c r="I1046" s="599"/>
      <c r="J1046" s="329"/>
      <c r="K1046" s="330"/>
      <c r="L1046" s="331"/>
      <c r="M1046" s="329"/>
      <c r="N1046" s="332"/>
      <c r="O1046" s="333"/>
      <c r="P1046" s="334"/>
      <c r="Q1046" s="83"/>
      <c r="R1046" s="83"/>
      <c r="S1046" s="83"/>
      <c r="T1046" s="83"/>
    </row>
    <row r="1047" spans="1:20" ht="15">
      <c r="A1047" s="325"/>
      <c r="B1047" s="43"/>
      <c r="C1047" s="326"/>
      <c r="D1047" s="84"/>
      <c r="E1047" s="327"/>
      <c r="F1047" s="328"/>
      <c r="G1047" s="24"/>
      <c r="H1047" s="598"/>
      <c r="I1047" s="599"/>
      <c r="J1047" s="329"/>
      <c r="K1047" s="330"/>
      <c r="L1047" s="331"/>
      <c r="M1047" s="329"/>
      <c r="N1047" s="332"/>
      <c r="O1047" s="333"/>
      <c r="P1047" s="334"/>
      <c r="Q1047" s="83"/>
      <c r="R1047" s="83"/>
      <c r="S1047" s="83"/>
      <c r="T1047" s="83"/>
    </row>
    <row r="1048" spans="1:20" ht="15">
      <c r="A1048" s="325"/>
      <c r="B1048" s="43"/>
      <c r="C1048" s="326"/>
      <c r="D1048" s="84"/>
      <c r="E1048" s="327"/>
      <c r="F1048" s="328"/>
      <c r="G1048" s="24"/>
      <c r="H1048" s="598"/>
      <c r="I1048" s="599"/>
      <c r="J1048" s="329"/>
      <c r="K1048" s="330"/>
      <c r="L1048" s="331"/>
      <c r="M1048" s="329"/>
      <c r="N1048" s="332"/>
      <c r="O1048" s="333"/>
      <c r="P1048" s="334"/>
      <c r="Q1048" s="83"/>
      <c r="R1048" s="83"/>
      <c r="S1048" s="83"/>
      <c r="T1048" s="83"/>
    </row>
    <row r="1049" spans="1:20" ht="15">
      <c r="A1049" s="325"/>
      <c r="B1049" s="43"/>
      <c r="C1049" s="326"/>
      <c r="D1049" s="84"/>
      <c r="E1049" s="327"/>
      <c r="F1049" s="328"/>
      <c r="G1049" s="24"/>
      <c r="H1049" s="598"/>
      <c r="I1049" s="599"/>
      <c r="J1049" s="329"/>
      <c r="K1049" s="330"/>
      <c r="L1049" s="331"/>
      <c r="M1049" s="329"/>
      <c r="N1049" s="332"/>
      <c r="O1049" s="333"/>
      <c r="P1049" s="334"/>
      <c r="Q1049" s="83"/>
      <c r="R1049" s="83"/>
      <c r="S1049" s="83"/>
      <c r="T1049" s="83"/>
    </row>
    <row r="1050" spans="1:20" ht="15">
      <c r="A1050" s="325"/>
      <c r="B1050" s="43"/>
      <c r="C1050" s="326"/>
      <c r="D1050" s="84"/>
      <c r="E1050" s="327"/>
      <c r="F1050" s="328"/>
      <c r="G1050" s="24"/>
      <c r="H1050" s="598"/>
      <c r="I1050" s="599"/>
      <c r="J1050" s="329"/>
      <c r="K1050" s="330"/>
      <c r="L1050" s="331"/>
      <c r="M1050" s="329"/>
      <c r="N1050" s="332"/>
      <c r="O1050" s="333"/>
      <c r="P1050" s="334"/>
      <c r="Q1050" s="83"/>
      <c r="R1050" s="83"/>
      <c r="S1050" s="83"/>
      <c r="T1050" s="83"/>
    </row>
    <row r="1051" spans="1:20" ht="15">
      <c r="A1051" s="325"/>
      <c r="B1051" s="43"/>
      <c r="C1051" s="326"/>
      <c r="D1051" s="84"/>
      <c r="E1051" s="327"/>
      <c r="F1051" s="328"/>
      <c r="G1051" s="24"/>
      <c r="H1051" s="598"/>
      <c r="I1051" s="599"/>
      <c r="J1051" s="329"/>
      <c r="K1051" s="330"/>
      <c r="L1051" s="331"/>
      <c r="M1051" s="329"/>
      <c r="N1051" s="332"/>
      <c r="O1051" s="333"/>
      <c r="P1051" s="334"/>
      <c r="Q1051" s="83"/>
      <c r="R1051" s="83"/>
      <c r="S1051" s="83"/>
      <c r="T1051" s="83"/>
    </row>
    <row r="1052" spans="1:20" ht="15">
      <c r="A1052" s="325"/>
      <c r="B1052" s="43"/>
      <c r="C1052" s="326"/>
      <c r="D1052" s="84"/>
      <c r="E1052" s="327"/>
      <c r="F1052" s="328"/>
      <c r="G1052" s="24"/>
      <c r="H1052" s="598"/>
      <c r="I1052" s="599"/>
      <c r="J1052" s="329"/>
      <c r="K1052" s="330"/>
      <c r="L1052" s="331"/>
      <c r="M1052" s="329"/>
      <c r="N1052" s="332"/>
      <c r="O1052" s="333"/>
      <c r="P1052" s="334"/>
      <c r="Q1052" s="83"/>
      <c r="R1052" s="83"/>
      <c r="S1052" s="83"/>
      <c r="T1052" s="83"/>
    </row>
    <row r="1053" spans="1:20" ht="15">
      <c r="A1053" s="325"/>
      <c r="B1053" s="43"/>
      <c r="C1053" s="326"/>
      <c r="D1053" s="84"/>
      <c r="E1053" s="327"/>
      <c r="F1053" s="328"/>
      <c r="G1053" s="24"/>
      <c r="H1053" s="598"/>
      <c r="I1053" s="599"/>
      <c r="J1053" s="329"/>
      <c r="K1053" s="330"/>
      <c r="L1053" s="331"/>
      <c r="M1053" s="329"/>
      <c r="N1053" s="332"/>
      <c r="O1053" s="333"/>
      <c r="P1053" s="334"/>
      <c r="Q1053" s="83"/>
      <c r="R1053" s="83"/>
      <c r="S1053" s="83"/>
      <c r="T1053" s="83"/>
    </row>
    <row r="1054" spans="1:20" ht="15">
      <c r="A1054" s="325"/>
      <c r="B1054" s="43"/>
      <c r="C1054" s="326"/>
      <c r="D1054" s="84"/>
      <c r="E1054" s="327"/>
      <c r="F1054" s="328"/>
      <c r="G1054" s="24"/>
      <c r="H1054" s="598"/>
      <c r="I1054" s="599"/>
      <c r="J1054" s="329"/>
      <c r="K1054" s="330"/>
      <c r="L1054" s="331"/>
      <c r="M1054" s="329"/>
      <c r="N1054" s="332"/>
      <c r="O1054" s="333"/>
      <c r="P1054" s="334"/>
      <c r="Q1054" s="83"/>
      <c r="R1054" s="83"/>
      <c r="S1054" s="83"/>
      <c r="T1054" s="83"/>
    </row>
    <row r="1055" spans="1:20" ht="15">
      <c r="A1055" s="325"/>
      <c r="B1055" s="43"/>
      <c r="C1055" s="326"/>
      <c r="D1055" s="84"/>
      <c r="E1055" s="327"/>
      <c r="F1055" s="328"/>
      <c r="G1055" s="24"/>
      <c r="H1055" s="598"/>
      <c r="I1055" s="599"/>
      <c r="J1055" s="329"/>
      <c r="K1055" s="330"/>
      <c r="L1055" s="331"/>
      <c r="M1055" s="329"/>
      <c r="N1055" s="332"/>
      <c r="O1055" s="333"/>
      <c r="P1055" s="334"/>
      <c r="Q1055" s="83"/>
      <c r="R1055" s="83"/>
      <c r="S1055" s="83"/>
      <c r="T1055" s="83"/>
    </row>
    <row r="1056" spans="1:20" ht="15">
      <c r="A1056" s="325"/>
      <c r="B1056" s="43"/>
      <c r="C1056" s="326"/>
      <c r="D1056" s="84"/>
      <c r="E1056" s="327"/>
      <c r="F1056" s="328"/>
      <c r="G1056" s="24"/>
      <c r="H1056" s="598"/>
      <c r="I1056" s="599"/>
      <c r="J1056" s="329"/>
      <c r="K1056" s="330"/>
      <c r="L1056" s="331"/>
      <c r="M1056" s="329"/>
      <c r="N1056" s="332"/>
      <c r="O1056" s="333"/>
      <c r="P1056" s="334"/>
      <c r="Q1056" s="83"/>
      <c r="R1056" s="83"/>
      <c r="S1056" s="83"/>
      <c r="T1056" s="83"/>
    </row>
    <row r="1057" spans="1:20" ht="15">
      <c r="A1057" s="325"/>
      <c r="B1057" s="43"/>
      <c r="C1057" s="326"/>
      <c r="D1057" s="84"/>
      <c r="E1057" s="327"/>
      <c r="F1057" s="328"/>
      <c r="G1057" s="24"/>
      <c r="H1057" s="598"/>
      <c r="I1057" s="599"/>
      <c r="J1057" s="329"/>
      <c r="K1057" s="330"/>
      <c r="L1057" s="331"/>
      <c r="M1057" s="329"/>
      <c r="N1057" s="332"/>
      <c r="O1057" s="333"/>
      <c r="P1057" s="334"/>
      <c r="Q1057" s="83"/>
      <c r="R1057" s="83"/>
      <c r="S1057" s="83"/>
      <c r="T1057" s="83"/>
    </row>
    <row r="1058" spans="1:20" ht="15">
      <c r="A1058" s="325"/>
      <c r="B1058" s="43"/>
      <c r="C1058" s="326"/>
      <c r="D1058" s="84"/>
      <c r="E1058" s="327"/>
      <c r="F1058" s="328"/>
      <c r="G1058" s="24"/>
      <c r="H1058" s="598"/>
      <c r="I1058" s="599"/>
      <c r="J1058" s="329"/>
      <c r="K1058" s="330"/>
      <c r="L1058" s="331"/>
      <c r="M1058" s="329"/>
      <c r="N1058" s="332"/>
      <c r="O1058" s="333"/>
      <c r="P1058" s="334"/>
      <c r="Q1058" s="83"/>
      <c r="R1058" s="83"/>
      <c r="S1058" s="83"/>
      <c r="T1058" s="83"/>
    </row>
    <row r="1059" spans="1:20" ht="15">
      <c r="A1059" s="325"/>
      <c r="B1059" s="43"/>
      <c r="C1059" s="326"/>
      <c r="D1059" s="84"/>
      <c r="E1059" s="327"/>
      <c r="F1059" s="328"/>
      <c r="G1059" s="24"/>
      <c r="H1059" s="598"/>
      <c r="I1059" s="599"/>
      <c r="J1059" s="329"/>
      <c r="K1059" s="330"/>
      <c r="L1059" s="331"/>
      <c r="M1059" s="329"/>
      <c r="N1059" s="332"/>
      <c r="O1059" s="333"/>
      <c r="P1059" s="334"/>
      <c r="Q1059" s="83"/>
      <c r="R1059" s="83"/>
      <c r="S1059" s="83"/>
      <c r="T1059" s="83"/>
    </row>
    <row r="1060" spans="1:20" ht="15">
      <c r="A1060" s="325"/>
      <c r="B1060" s="43"/>
      <c r="C1060" s="326"/>
      <c r="D1060" s="84"/>
      <c r="E1060" s="327"/>
      <c r="F1060" s="328"/>
      <c r="G1060" s="24"/>
      <c r="H1060" s="598"/>
      <c r="I1060" s="599"/>
      <c r="J1060" s="329"/>
      <c r="K1060" s="330"/>
      <c r="L1060" s="331"/>
      <c r="M1060" s="329"/>
      <c r="N1060" s="332"/>
      <c r="O1060" s="333"/>
      <c r="P1060" s="334"/>
      <c r="Q1060" s="83"/>
      <c r="R1060" s="83"/>
      <c r="S1060" s="83"/>
      <c r="T1060" s="83"/>
    </row>
    <row r="1061" spans="1:20" ht="15">
      <c r="A1061" s="325"/>
      <c r="B1061" s="43"/>
      <c r="C1061" s="326"/>
      <c r="D1061" s="84"/>
      <c r="E1061" s="327"/>
      <c r="F1061" s="328"/>
      <c r="G1061" s="24"/>
      <c r="H1061" s="598"/>
      <c r="I1061" s="599"/>
      <c r="J1061" s="329"/>
      <c r="K1061" s="330"/>
      <c r="L1061" s="331"/>
      <c r="M1061" s="329"/>
      <c r="N1061" s="332"/>
      <c r="O1061" s="333"/>
      <c r="P1061" s="334"/>
      <c r="Q1061" s="83"/>
      <c r="R1061" s="83"/>
      <c r="S1061" s="83"/>
      <c r="T1061" s="83"/>
    </row>
    <row r="1062" spans="1:20" ht="15">
      <c r="A1062" s="325"/>
      <c r="B1062" s="43"/>
      <c r="C1062" s="326"/>
      <c r="D1062" s="84"/>
      <c r="E1062" s="327"/>
      <c r="F1062" s="328"/>
      <c r="G1062" s="24"/>
      <c r="H1062" s="598"/>
      <c r="I1062" s="599"/>
      <c r="J1062" s="329"/>
      <c r="K1062" s="330"/>
      <c r="L1062" s="331"/>
      <c r="M1062" s="329"/>
      <c r="N1062" s="332"/>
      <c r="O1062" s="333"/>
      <c r="P1062" s="334"/>
      <c r="Q1062" s="83"/>
      <c r="R1062" s="83"/>
      <c r="S1062" s="83"/>
      <c r="T1062" s="83"/>
    </row>
    <row r="1063" spans="1:20" ht="15">
      <c r="A1063" s="325"/>
      <c r="B1063" s="43"/>
      <c r="C1063" s="326"/>
      <c r="D1063" s="84"/>
      <c r="E1063" s="327"/>
      <c r="F1063" s="328"/>
      <c r="G1063" s="24"/>
      <c r="H1063" s="598"/>
      <c r="I1063" s="599"/>
      <c r="J1063" s="329"/>
      <c r="K1063" s="330"/>
      <c r="L1063" s="331"/>
      <c r="M1063" s="329"/>
      <c r="N1063" s="332"/>
      <c r="O1063" s="333"/>
      <c r="P1063" s="334"/>
      <c r="Q1063" s="83"/>
      <c r="R1063" s="83"/>
      <c r="S1063" s="83"/>
      <c r="T1063" s="83"/>
    </row>
    <row r="1064" spans="1:20" ht="15">
      <c r="A1064" s="325"/>
      <c r="B1064" s="43"/>
      <c r="C1064" s="326"/>
      <c r="D1064" s="84"/>
      <c r="E1064" s="327"/>
      <c r="F1064" s="328"/>
      <c r="G1064" s="24"/>
      <c r="H1064" s="598"/>
      <c r="I1064" s="599"/>
      <c r="J1064" s="329"/>
      <c r="K1064" s="330"/>
      <c r="L1064" s="331"/>
      <c r="M1064" s="329"/>
      <c r="N1064" s="332"/>
      <c r="O1064" s="333"/>
      <c r="P1064" s="334"/>
      <c r="Q1064" s="83"/>
      <c r="R1064" s="83"/>
      <c r="S1064" s="83"/>
      <c r="T1064" s="83"/>
    </row>
    <row r="1065" spans="1:20" ht="15">
      <c r="A1065" s="325"/>
      <c r="B1065" s="43"/>
      <c r="C1065" s="326"/>
      <c r="D1065" s="84"/>
      <c r="E1065" s="327"/>
      <c r="F1065" s="328"/>
      <c r="G1065" s="24"/>
      <c r="H1065" s="598"/>
      <c r="I1065" s="599"/>
      <c r="J1065" s="329"/>
      <c r="K1065" s="330"/>
      <c r="L1065" s="331"/>
      <c r="M1065" s="329"/>
      <c r="N1065" s="332"/>
      <c r="O1065" s="333"/>
      <c r="P1065" s="334"/>
      <c r="Q1065" s="83"/>
      <c r="R1065" s="83"/>
      <c r="S1065" s="83"/>
      <c r="T1065" s="83"/>
    </row>
    <row r="1066" spans="1:20" ht="15">
      <c r="A1066" s="325"/>
      <c r="B1066" s="43"/>
      <c r="C1066" s="326"/>
      <c r="D1066" s="84"/>
      <c r="E1066" s="327"/>
      <c r="F1066" s="328"/>
      <c r="G1066" s="24"/>
      <c r="H1066" s="598"/>
      <c r="I1066" s="599"/>
      <c r="J1066" s="329"/>
      <c r="K1066" s="330"/>
      <c r="L1066" s="331"/>
      <c r="M1066" s="329"/>
      <c r="N1066" s="332"/>
      <c r="O1066" s="333"/>
      <c r="P1066" s="334"/>
      <c r="Q1066" s="83"/>
      <c r="R1066" s="83"/>
      <c r="S1066" s="83"/>
      <c r="T1066" s="83"/>
    </row>
    <row r="1067" spans="1:20" ht="15">
      <c r="A1067" s="325"/>
      <c r="B1067" s="43"/>
      <c r="C1067" s="326"/>
      <c r="D1067" s="84"/>
      <c r="E1067" s="327"/>
      <c r="F1067" s="328"/>
      <c r="G1067" s="24"/>
      <c r="H1067" s="598"/>
      <c r="I1067" s="599"/>
      <c r="J1067" s="329"/>
      <c r="K1067" s="330"/>
      <c r="L1067" s="331"/>
      <c r="M1067" s="329"/>
      <c r="N1067" s="332"/>
      <c r="O1067" s="333"/>
      <c r="P1067" s="334"/>
      <c r="Q1067" s="83"/>
      <c r="R1067" s="83"/>
      <c r="S1067" s="83"/>
      <c r="T1067" s="83"/>
    </row>
    <row r="1068" spans="1:20" ht="15">
      <c r="A1068" s="325"/>
      <c r="B1068" s="43"/>
      <c r="C1068" s="326"/>
      <c r="D1068" s="84"/>
      <c r="E1068" s="327"/>
      <c r="F1068" s="328"/>
      <c r="G1068" s="24"/>
      <c r="H1068" s="598"/>
      <c r="I1068" s="599"/>
      <c r="J1068" s="329"/>
      <c r="K1068" s="330"/>
      <c r="L1068" s="331"/>
      <c r="M1068" s="329"/>
      <c r="N1068" s="332"/>
      <c r="O1068" s="333"/>
      <c r="P1068" s="334"/>
      <c r="Q1068" s="83"/>
      <c r="R1068" s="83"/>
      <c r="S1068" s="83"/>
      <c r="T1068" s="83"/>
    </row>
    <row r="1069" spans="1:20" ht="15">
      <c r="A1069" s="325"/>
      <c r="B1069" s="43"/>
      <c r="C1069" s="326"/>
      <c r="D1069" s="84"/>
      <c r="E1069" s="327"/>
      <c r="F1069" s="328"/>
      <c r="G1069" s="24"/>
      <c r="H1069" s="598"/>
      <c r="I1069" s="599"/>
      <c r="J1069" s="329"/>
      <c r="K1069" s="330"/>
      <c r="L1069" s="331"/>
      <c r="M1069" s="329"/>
      <c r="N1069" s="332"/>
      <c r="O1069" s="333"/>
      <c r="P1069" s="334"/>
      <c r="Q1069" s="83"/>
      <c r="R1069" s="83"/>
      <c r="S1069" s="83"/>
      <c r="T1069" s="83"/>
    </row>
    <row r="1070" spans="1:20" ht="15">
      <c r="A1070" s="325"/>
      <c r="B1070" s="43"/>
      <c r="C1070" s="326"/>
      <c r="D1070" s="84"/>
      <c r="E1070" s="327"/>
      <c r="F1070" s="328"/>
      <c r="G1070" s="24"/>
      <c r="H1070" s="598"/>
      <c r="I1070" s="599"/>
      <c r="J1070" s="329"/>
      <c r="K1070" s="330"/>
      <c r="L1070" s="331"/>
      <c r="M1070" s="329"/>
      <c r="N1070" s="332"/>
      <c r="O1070" s="333"/>
      <c r="P1070" s="334"/>
      <c r="Q1070" s="83"/>
      <c r="R1070" s="83"/>
      <c r="S1070" s="83"/>
      <c r="T1070" s="83"/>
    </row>
    <row r="1071" spans="1:20" ht="15">
      <c r="A1071" s="325"/>
      <c r="B1071" s="43"/>
      <c r="C1071" s="326"/>
      <c r="D1071" s="84"/>
      <c r="E1071" s="327"/>
      <c r="F1071" s="328"/>
      <c r="G1071" s="24"/>
      <c r="H1071" s="598"/>
      <c r="I1071" s="599"/>
      <c r="J1071" s="329"/>
      <c r="K1071" s="330"/>
      <c r="L1071" s="331"/>
      <c r="M1071" s="329"/>
      <c r="N1071" s="332"/>
      <c r="O1071" s="333"/>
      <c r="P1071" s="334"/>
      <c r="Q1071" s="83"/>
      <c r="R1071" s="83"/>
      <c r="S1071" s="83"/>
      <c r="T1071" s="83"/>
    </row>
    <row r="1072" spans="1:20" ht="15">
      <c r="A1072" s="325"/>
      <c r="B1072" s="43"/>
      <c r="C1072" s="326"/>
      <c r="D1072" s="84"/>
      <c r="E1072" s="327"/>
      <c r="F1072" s="328"/>
      <c r="G1072" s="24"/>
      <c r="H1072" s="598"/>
      <c r="I1072" s="599"/>
      <c r="J1072" s="329"/>
      <c r="K1072" s="330"/>
      <c r="L1072" s="331"/>
      <c r="M1072" s="329"/>
      <c r="N1072" s="332"/>
      <c r="O1072" s="333"/>
      <c r="P1072" s="334"/>
      <c r="Q1072" s="83"/>
      <c r="R1072" s="83"/>
      <c r="S1072" s="83"/>
      <c r="T1072" s="83"/>
    </row>
    <row r="1073" spans="1:20" ht="15">
      <c r="A1073" s="325"/>
      <c r="B1073" s="43"/>
      <c r="C1073" s="326"/>
      <c r="D1073" s="84"/>
      <c r="E1073" s="327"/>
      <c r="F1073" s="328"/>
      <c r="G1073" s="24"/>
      <c r="H1073" s="598"/>
      <c r="I1073" s="599"/>
      <c r="J1073" s="329"/>
      <c r="K1073" s="330"/>
      <c r="L1073" s="331"/>
      <c r="M1073" s="329"/>
      <c r="N1073" s="332"/>
      <c r="O1073" s="333"/>
      <c r="P1073" s="334"/>
      <c r="Q1073" s="83"/>
      <c r="R1073" s="83"/>
      <c r="S1073" s="83"/>
      <c r="T1073" s="83"/>
    </row>
    <row r="1074" spans="1:20" ht="15">
      <c r="A1074" s="325"/>
      <c r="B1074" s="43"/>
      <c r="C1074" s="326"/>
      <c r="D1074" s="84"/>
      <c r="E1074" s="327"/>
      <c r="F1074" s="328"/>
      <c r="G1074" s="24"/>
      <c r="H1074" s="598"/>
      <c r="I1074" s="599"/>
      <c r="J1074" s="329"/>
      <c r="K1074" s="330"/>
      <c r="L1074" s="331"/>
      <c r="M1074" s="329"/>
      <c r="N1074" s="332"/>
      <c r="O1074" s="333"/>
      <c r="P1074" s="334"/>
      <c r="Q1074" s="83"/>
      <c r="R1074" s="83"/>
      <c r="S1074" s="83"/>
      <c r="T1074" s="83"/>
    </row>
    <row r="1075" spans="1:20" ht="15">
      <c r="A1075" s="325"/>
      <c r="B1075" s="43"/>
      <c r="C1075" s="326"/>
      <c r="D1075" s="84"/>
      <c r="E1075" s="327"/>
      <c r="F1075" s="328"/>
      <c r="G1075" s="24"/>
      <c r="H1075" s="598"/>
      <c r="I1075" s="599"/>
      <c r="J1075" s="329"/>
      <c r="K1075" s="330"/>
      <c r="L1075" s="331"/>
      <c r="M1075" s="329"/>
      <c r="N1075" s="332"/>
      <c r="O1075" s="333"/>
      <c r="P1075" s="334"/>
      <c r="Q1075" s="83"/>
      <c r="R1075" s="83"/>
      <c r="S1075" s="83"/>
      <c r="T1075" s="83"/>
    </row>
    <row r="1076" spans="1:20" ht="15">
      <c r="A1076" s="325"/>
      <c r="B1076" s="43"/>
      <c r="C1076" s="326"/>
      <c r="D1076" s="84"/>
      <c r="E1076" s="327"/>
      <c r="F1076" s="328"/>
      <c r="G1076" s="24"/>
      <c r="H1076" s="598"/>
      <c r="I1076" s="599"/>
      <c r="J1076" s="329"/>
      <c r="K1076" s="330"/>
      <c r="L1076" s="331"/>
      <c r="M1076" s="329"/>
      <c r="N1076" s="332"/>
      <c r="O1076" s="333"/>
      <c r="P1076" s="334"/>
      <c r="Q1076" s="83"/>
      <c r="R1076" s="83"/>
      <c r="S1076" s="83"/>
      <c r="T1076" s="83"/>
    </row>
    <row r="1077" spans="1:20" ht="15">
      <c r="A1077" s="325"/>
      <c r="B1077" s="43"/>
      <c r="C1077" s="326"/>
      <c r="D1077" s="84"/>
      <c r="E1077" s="327"/>
      <c r="F1077" s="328"/>
      <c r="G1077" s="24"/>
      <c r="H1077" s="598"/>
      <c r="I1077" s="599"/>
      <c r="J1077" s="329"/>
      <c r="K1077" s="330"/>
      <c r="L1077" s="331"/>
      <c r="M1077" s="329"/>
      <c r="N1077" s="332"/>
      <c r="O1077" s="333"/>
      <c r="P1077" s="334"/>
      <c r="Q1077" s="83"/>
      <c r="R1077" s="83"/>
      <c r="S1077" s="83"/>
      <c r="T1077" s="83"/>
    </row>
    <row r="1078" spans="1:20" ht="15">
      <c r="A1078" s="325"/>
      <c r="B1078" s="43"/>
      <c r="C1078" s="326"/>
      <c r="D1078" s="84"/>
      <c r="E1078" s="327"/>
      <c r="F1078" s="328"/>
      <c r="G1078" s="24"/>
      <c r="H1078" s="598"/>
      <c r="I1078" s="599"/>
      <c r="J1078" s="329"/>
      <c r="K1078" s="330"/>
      <c r="L1078" s="331"/>
      <c r="M1078" s="329"/>
      <c r="N1078" s="332"/>
      <c r="O1078" s="333"/>
      <c r="P1078" s="334"/>
      <c r="Q1078" s="83"/>
      <c r="R1078" s="83"/>
      <c r="S1078" s="83"/>
      <c r="T1078" s="83"/>
    </row>
    <row r="1079" spans="1:20" ht="15">
      <c r="A1079" s="325"/>
      <c r="B1079" s="43"/>
      <c r="C1079" s="326"/>
      <c r="D1079" s="84"/>
      <c r="E1079" s="327"/>
      <c r="F1079" s="328"/>
      <c r="G1079" s="24"/>
      <c r="H1079" s="598"/>
      <c r="I1079" s="599"/>
      <c r="J1079" s="329"/>
      <c r="K1079" s="330"/>
      <c r="L1079" s="331"/>
      <c r="M1079" s="329"/>
      <c r="N1079" s="332"/>
      <c r="O1079" s="333"/>
      <c r="P1079" s="334"/>
      <c r="Q1079" s="83"/>
      <c r="R1079" s="83"/>
      <c r="S1079" s="83"/>
      <c r="T1079" s="83"/>
    </row>
    <row r="1080" spans="1:20" ht="15">
      <c r="A1080" s="325"/>
      <c r="B1080" s="43"/>
      <c r="C1080" s="326"/>
      <c r="D1080" s="84"/>
      <c r="E1080" s="327"/>
      <c r="F1080" s="328"/>
      <c r="G1080" s="24"/>
      <c r="H1080" s="598"/>
      <c r="I1080" s="599"/>
      <c r="J1080" s="329"/>
      <c r="K1080" s="330"/>
      <c r="L1080" s="331"/>
      <c r="M1080" s="329"/>
      <c r="N1080" s="332"/>
      <c r="O1080" s="333"/>
      <c r="P1080" s="334"/>
      <c r="Q1080" s="83"/>
      <c r="R1080" s="83"/>
      <c r="S1080" s="83"/>
      <c r="T1080" s="83"/>
    </row>
    <row r="1081" spans="1:20" ht="15">
      <c r="A1081" s="325"/>
      <c r="B1081" s="43"/>
      <c r="C1081" s="326"/>
      <c r="D1081" s="84"/>
      <c r="E1081" s="327"/>
      <c r="F1081" s="328"/>
      <c r="G1081" s="24"/>
      <c r="H1081" s="598"/>
      <c r="I1081" s="599"/>
      <c r="J1081" s="329"/>
      <c r="K1081" s="330"/>
      <c r="L1081" s="331"/>
      <c r="M1081" s="329"/>
      <c r="N1081" s="332"/>
      <c r="O1081" s="333"/>
      <c r="P1081" s="334"/>
      <c r="Q1081" s="83"/>
      <c r="R1081" s="83"/>
      <c r="S1081" s="83"/>
      <c r="T1081" s="83"/>
    </row>
    <row r="1082" spans="1:20" ht="15">
      <c r="A1082" s="325"/>
      <c r="B1082" s="43"/>
      <c r="C1082" s="326"/>
      <c r="D1082" s="84"/>
      <c r="E1082" s="327"/>
      <c r="F1082" s="328"/>
      <c r="G1082" s="24"/>
      <c r="H1082" s="598"/>
      <c r="I1082" s="599"/>
      <c r="J1082" s="329"/>
      <c r="K1082" s="330"/>
      <c r="L1082" s="331"/>
      <c r="M1082" s="329"/>
      <c r="N1082" s="332"/>
      <c r="O1082" s="333"/>
      <c r="P1082" s="334"/>
      <c r="Q1082" s="83"/>
      <c r="R1082" s="83"/>
      <c r="S1082" s="83"/>
      <c r="T1082" s="83"/>
    </row>
    <row r="1083" spans="1:20" ht="15">
      <c r="A1083" s="325"/>
      <c r="B1083" s="43"/>
      <c r="C1083" s="326"/>
      <c r="D1083" s="84"/>
      <c r="E1083" s="327"/>
      <c r="F1083" s="328"/>
      <c r="G1083" s="24"/>
      <c r="H1083" s="598"/>
      <c r="I1083" s="599"/>
      <c r="J1083" s="329"/>
      <c r="K1083" s="330"/>
      <c r="L1083" s="331"/>
      <c r="M1083" s="329"/>
      <c r="N1083" s="332"/>
      <c r="O1083" s="333"/>
      <c r="P1083" s="334"/>
      <c r="Q1083" s="83"/>
      <c r="R1083" s="83"/>
      <c r="S1083" s="83"/>
      <c r="T1083" s="83"/>
    </row>
    <row r="1084" spans="1:20" ht="15">
      <c r="A1084" s="325"/>
      <c r="B1084" s="43"/>
      <c r="C1084" s="326"/>
      <c r="D1084" s="84"/>
      <c r="E1084" s="327"/>
      <c r="F1084" s="328"/>
      <c r="G1084" s="24"/>
      <c r="H1084" s="598"/>
      <c r="I1084" s="599"/>
      <c r="J1084" s="329"/>
      <c r="K1084" s="330"/>
      <c r="L1084" s="331"/>
      <c r="M1084" s="329"/>
      <c r="N1084" s="332"/>
      <c r="O1084" s="333"/>
      <c r="P1084" s="334"/>
      <c r="Q1084" s="83"/>
      <c r="R1084" s="83"/>
      <c r="S1084" s="83"/>
      <c r="T1084" s="83"/>
    </row>
    <row r="1085" spans="1:20" ht="15">
      <c r="A1085" s="325"/>
      <c r="B1085" s="43"/>
      <c r="C1085" s="326"/>
      <c r="D1085" s="84"/>
      <c r="E1085" s="327"/>
      <c r="F1085" s="328"/>
      <c r="G1085" s="24"/>
      <c r="H1085" s="598"/>
      <c r="I1085" s="599"/>
      <c r="J1085" s="329"/>
      <c r="K1085" s="330"/>
      <c r="L1085" s="331"/>
      <c r="M1085" s="329"/>
      <c r="N1085" s="332"/>
      <c r="O1085" s="333"/>
      <c r="P1085" s="334"/>
      <c r="Q1085" s="83"/>
      <c r="R1085" s="83"/>
      <c r="S1085" s="83"/>
      <c r="T1085" s="83"/>
    </row>
    <row r="1086" spans="1:20" ht="15">
      <c r="A1086" s="325"/>
      <c r="B1086" s="43"/>
      <c r="C1086" s="326"/>
      <c r="D1086" s="84"/>
      <c r="E1086" s="327"/>
      <c r="F1086" s="328"/>
      <c r="G1086" s="24"/>
      <c r="H1086" s="598"/>
      <c r="I1086" s="599"/>
      <c r="J1086" s="329"/>
      <c r="K1086" s="330"/>
      <c r="L1086" s="331"/>
      <c r="M1086" s="329"/>
      <c r="N1086" s="332"/>
      <c r="O1086" s="333"/>
      <c r="P1086" s="334"/>
      <c r="Q1086" s="83"/>
      <c r="R1086" s="83"/>
      <c r="S1086" s="83"/>
      <c r="T1086" s="83"/>
    </row>
    <row r="1087" spans="1:20" ht="15">
      <c r="A1087" s="325"/>
      <c r="B1087" s="43"/>
      <c r="C1087" s="326"/>
      <c r="D1087" s="84"/>
      <c r="E1087" s="327"/>
      <c r="F1087" s="328"/>
      <c r="G1087" s="24"/>
      <c r="H1087" s="598"/>
      <c r="I1087" s="599"/>
      <c r="J1087" s="329"/>
      <c r="K1087" s="330"/>
      <c r="L1087" s="331"/>
      <c r="M1087" s="329"/>
      <c r="N1087" s="332"/>
      <c r="O1087" s="333"/>
      <c r="P1087" s="334"/>
      <c r="Q1087" s="83"/>
      <c r="R1087" s="83"/>
      <c r="S1087" s="83"/>
      <c r="T1087" s="83"/>
    </row>
    <row r="1088" spans="1:20" ht="15">
      <c r="A1088" s="325"/>
      <c r="B1088" s="43"/>
      <c r="C1088" s="326"/>
      <c r="D1088" s="84"/>
      <c r="E1088" s="327"/>
      <c r="F1088" s="328"/>
      <c r="G1088" s="24"/>
      <c r="H1088" s="598"/>
      <c r="I1088" s="599"/>
      <c r="J1088" s="329"/>
      <c r="K1088" s="330"/>
      <c r="L1088" s="331"/>
      <c r="M1088" s="329"/>
      <c r="N1088" s="332"/>
      <c r="O1088" s="333"/>
      <c r="P1088" s="334"/>
      <c r="Q1088" s="83"/>
      <c r="R1088" s="83"/>
      <c r="S1088" s="83"/>
      <c r="T1088" s="83"/>
    </row>
    <row r="1089" spans="1:20" ht="15">
      <c r="A1089" s="325"/>
      <c r="B1089" s="43"/>
      <c r="C1089" s="326"/>
      <c r="D1089" s="84"/>
      <c r="E1089" s="327"/>
      <c r="F1089" s="328"/>
      <c r="G1089" s="24"/>
      <c r="H1089" s="598"/>
      <c r="I1089" s="599"/>
      <c r="J1089" s="329"/>
      <c r="K1089" s="330"/>
      <c r="L1089" s="331"/>
      <c r="M1089" s="329"/>
      <c r="N1089" s="332"/>
      <c r="O1089" s="333"/>
      <c r="P1089" s="334"/>
      <c r="Q1089" s="83"/>
      <c r="R1089" s="83"/>
      <c r="S1089" s="83"/>
      <c r="T1089" s="83"/>
    </row>
    <row r="1090" spans="1:20" ht="15">
      <c r="A1090" s="325"/>
      <c r="B1090" s="43"/>
      <c r="C1090" s="326"/>
      <c r="D1090" s="84"/>
      <c r="E1090" s="327"/>
      <c r="F1090" s="328"/>
      <c r="G1090" s="24"/>
      <c r="H1090" s="598"/>
      <c r="I1090" s="599"/>
      <c r="J1090" s="329"/>
      <c r="K1090" s="330"/>
      <c r="L1090" s="331"/>
      <c r="M1090" s="329"/>
      <c r="N1090" s="332"/>
      <c r="O1090" s="333"/>
      <c r="P1090" s="334"/>
      <c r="Q1090" s="83"/>
      <c r="R1090" s="83"/>
      <c r="S1090" s="83"/>
      <c r="T1090" s="83"/>
    </row>
    <row r="1091" spans="1:20" ht="15">
      <c r="A1091" s="325"/>
      <c r="B1091" s="43"/>
      <c r="C1091" s="326"/>
      <c r="D1091" s="84"/>
      <c r="E1091" s="327"/>
      <c r="F1091" s="328"/>
      <c r="G1091" s="24"/>
      <c r="H1091" s="598"/>
      <c r="I1091" s="599"/>
      <c r="J1091" s="329"/>
      <c r="K1091" s="330"/>
      <c r="L1091" s="331"/>
      <c r="M1091" s="329"/>
      <c r="N1091" s="332"/>
      <c r="O1091" s="333"/>
      <c r="P1091" s="334"/>
      <c r="Q1091" s="83"/>
      <c r="R1091" s="83"/>
      <c r="S1091" s="83"/>
      <c r="T1091" s="83"/>
    </row>
    <row r="1092" spans="1:20" ht="15">
      <c r="A1092" s="325"/>
      <c r="B1092" s="43"/>
      <c r="C1092" s="326"/>
      <c r="D1092" s="84"/>
      <c r="E1092" s="327"/>
      <c r="F1092" s="328"/>
      <c r="G1092" s="24"/>
      <c r="H1092" s="598"/>
      <c r="I1092" s="599"/>
      <c r="J1092" s="329"/>
      <c r="K1092" s="330"/>
      <c r="L1092" s="331"/>
      <c r="M1092" s="329"/>
      <c r="N1092" s="332"/>
      <c r="O1092" s="333"/>
      <c r="P1092" s="334"/>
      <c r="Q1092" s="83"/>
      <c r="R1092" s="83"/>
      <c r="S1092" s="83"/>
      <c r="T1092" s="83"/>
    </row>
    <row r="1093" spans="1:20" ht="15">
      <c r="A1093" s="325"/>
      <c r="B1093" s="43"/>
      <c r="C1093" s="326"/>
      <c r="D1093" s="84"/>
      <c r="E1093" s="327"/>
      <c r="F1093" s="328"/>
      <c r="G1093" s="24"/>
      <c r="H1093" s="598"/>
      <c r="I1093" s="599"/>
      <c r="J1093" s="329"/>
      <c r="K1093" s="330"/>
      <c r="L1093" s="331"/>
      <c r="M1093" s="329"/>
      <c r="N1093" s="332"/>
      <c r="O1093" s="333"/>
      <c r="P1093" s="334"/>
      <c r="Q1093" s="83"/>
      <c r="R1093" s="83"/>
      <c r="S1093" s="83"/>
      <c r="T1093" s="83"/>
    </row>
    <row r="1094" spans="1:20" ht="15">
      <c r="A1094" s="325"/>
      <c r="B1094" s="43"/>
      <c r="C1094" s="326"/>
      <c r="D1094" s="84"/>
      <c r="E1094" s="327"/>
      <c r="F1094" s="328"/>
      <c r="G1094" s="24"/>
      <c r="H1094" s="598"/>
      <c r="I1094" s="599"/>
      <c r="J1094" s="329"/>
      <c r="K1094" s="330"/>
      <c r="L1094" s="331"/>
      <c r="M1094" s="329"/>
      <c r="N1094" s="332"/>
      <c r="O1094" s="333"/>
      <c r="P1094" s="334"/>
      <c r="Q1094" s="83"/>
      <c r="R1094" s="83"/>
      <c r="S1094" s="83"/>
      <c r="T1094" s="83"/>
    </row>
    <row r="1095" spans="1:20" ht="15">
      <c r="A1095" s="325"/>
      <c r="B1095" s="43"/>
      <c r="C1095" s="326"/>
      <c r="D1095" s="84"/>
      <c r="E1095" s="327"/>
      <c r="F1095" s="328"/>
      <c r="G1095" s="24"/>
      <c r="H1095" s="598"/>
      <c r="I1095" s="599"/>
      <c r="J1095" s="329"/>
      <c r="K1095" s="330"/>
      <c r="L1095" s="331"/>
      <c r="M1095" s="329"/>
      <c r="N1095" s="332"/>
      <c r="O1095" s="333"/>
      <c r="P1095" s="334"/>
      <c r="Q1095" s="83"/>
      <c r="R1095" s="83"/>
      <c r="S1095" s="83"/>
      <c r="T1095" s="83"/>
    </row>
    <row r="1096" spans="1:20" ht="15">
      <c r="A1096" s="325"/>
      <c r="B1096" s="43"/>
      <c r="C1096" s="326"/>
      <c r="D1096" s="84"/>
      <c r="E1096" s="327"/>
      <c r="F1096" s="328"/>
      <c r="G1096" s="24"/>
      <c r="H1096" s="598"/>
      <c r="I1096" s="599"/>
      <c r="J1096" s="329"/>
      <c r="K1096" s="330"/>
      <c r="L1096" s="331"/>
      <c r="M1096" s="329"/>
      <c r="N1096" s="332"/>
      <c r="O1096" s="333"/>
      <c r="P1096" s="334"/>
      <c r="Q1096" s="83"/>
      <c r="R1096" s="83"/>
      <c r="S1096" s="83"/>
      <c r="T1096" s="83"/>
    </row>
    <row r="1097" spans="1:20" ht="15">
      <c r="A1097" s="325"/>
      <c r="B1097" s="43"/>
      <c r="C1097" s="326"/>
      <c r="D1097" s="84"/>
      <c r="E1097" s="327"/>
      <c r="F1097" s="328"/>
      <c r="G1097" s="24"/>
      <c r="H1097" s="598"/>
      <c r="I1097" s="599"/>
      <c r="J1097" s="329"/>
      <c r="K1097" s="330"/>
      <c r="L1097" s="331"/>
      <c r="M1097" s="329"/>
      <c r="N1097" s="332"/>
      <c r="O1097" s="333"/>
      <c r="P1097" s="334"/>
      <c r="Q1097" s="83"/>
      <c r="R1097" s="83"/>
      <c r="S1097" s="83"/>
      <c r="T1097" s="83"/>
    </row>
    <row r="1098" spans="1:20" ht="15">
      <c r="A1098" s="325"/>
      <c r="B1098" s="43"/>
      <c r="C1098" s="326"/>
      <c r="D1098" s="84"/>
      <c r="E1098" s="327"/>
      <c r="F1098" s="328"/>
      <c r="G1098" s="24"/>
      <c r="H1098" s="598"/>
      <c r="I1098" s="599"/>
      <c r="J1098" s="329"/>
      <c r="K1098" s="330"/>
      <c r="L1098" s="331"/>
      <c r="M1098" s="329"/>
      <c r="N1098" s="332"/>
      <c r="O1098" s="333"/>
      <c r="P1098" s="334"/>
      <c r="Q1098" s="83"/>
      <c r="R1098" s="83"/>
      <c r="S1098" s="83"/>
      <c r="T1098" s="83"/>
    </row>
    <row r="1099" spans="1:20" ht="15">
      <c r="A1099" s="325"/>
      <c r="B1099" s="43"/>
      <c r="C1099" s="326"/>
      <c r="D1099" s="84"/>
      <c r="E1099" s="327"/>
      <c r="F1099" s="328"/>
      <c r="G1099" s="24"/>
      <c r="H1099" s="598"/>
      <c r="I1099" s="599"/>
      <c r="J1099" s="329"/>
      <c r="K1099" s="330"/>
      <c r="L1099" s="331"/>
      <c r="M1099" s="329"/>
      <c r="N1099" s="332"/>
      <c r="O1099" s="333"/>
      <c r="P1099" s="334"/>
      <c r="Q1099" s="83"/>
      <c r="R1099" s="83"/>
      <c r="S1099" s="83"/>
      <c r="T1099" s="83"/>
    </row>
    <row r="1100" spans="1:20" ht="15">
      <c r="A1100" s="325"/>
      <c r="B1100" s="43"/>
      <c r="C1100" s="326"/>
      <c r="D1100" s="84"/>
      <c r="E1100" s="327"/>
      <c r="F1100" s="328"/>
      <c r="G1100" s="24"/>
      <c r="H1100" s="598"/>
      <c r="I1100" s="599"/>
      <c r="J1100" s="329"/>
      <c r="K1100" s="330"/>
      <c r="L1100" s="331"/>
      <c r="M1100" s="329"/>
      <c r="N1100" s="332"/>
      <c r="O1100" s="333"/>
      <c r="P1100" s="334"/>
      <c r="Q1100" s="83"/>
      <c r="R1100" s="83"/>
      <c r="S1100" s="83"/>
      <c r="T1100" s="83"/>
    </row>
    <row r="1101" spans="1:20" ht="15">
      <c r="A1101" s="325"/>
      <c r="B1101" s="43"/>
      <c r="C1101" s="326"/>
      <c r="D1101" s="84"/>
      <c r="E1101" s="327"/>
      <c r="F1101" s="328"/>
      <c r="G1101" s="24"/>
      <c r="H1101" s="598"/>
      <c r="I1101" s="599"/>
      <c r="J1101" s="329"/>
      <c r="K1101" s="330"/>
      <c r="L1101" s="331"/>
      <c r="M1101" s="329"/>
      <c r="N1101" s="332"/>
      <c r="O1101" s="333"/>
      <c r="P1101" s="334"/>
      <c r="Q1101" s="83"/>
      <c r="R1101" s="83"/>
      <c r="S1101" s="83"/>
      <c r="T1101" s="83"/>
    </row>
    <row r="1102" spans="1:20" ht="15">
      <c r="A1102" s="325"/>
      <c r="B1102" s="43"/>
      <c r="C1102" s="326"/>
      <c r="D1102" s="84"/>
      <c r="E1102" s="327"/>
      <c r="F1102" s="328"/>
      <c r="G1102" s="24"/>
      <c r="H1102" s="598"/>
      <c r="I1102" s="599"/>
      <c r="J1102" s="329"/>
      <c r="K1102" s="330"/>
      <c r="L1102" s="331"/>
      <c r="M1102" s="329"/>
      <c r="N1102" s="332"/>
      <c r="O1102" s="333"/>
      <c r="P1102" s="334"/>
      <c r="Q1102" s="83"/>
      <c r="R1102" s="83"/>
      <c r="S1102" s="83"/>
      <c r="T1102" s="83"/>
    </row>
    <row r="1103" spans="1:20" ht="15">
      <c r="A1103" s="325"/>
      <c r="B1103" s="43"/>
      <c r="C1103" s="326"/>
      <c r="D1103" s="84"/>
      <c r="E1103" s="327"/>
      <c r="F1103" s="328"/>
      <c r="G1103" s="24"/>
      <c r="H1103" s="598"/>
      <c r="I1103" s="599"/>
      <c r="J1103" s="329"/>
      <c r="K1103" s="330"/>
      <c r="L1103" s="331"/>
      <c r="M1103" s="329"/>
      <c r="N1103" s="332"/>
      <c r="O1103" s="333"/>
      <c r="P1103" s="334"/>
      <c r="Q1103" s="83"/>
      <c r="R1103" s="83"/>
      <c r="S1103" s="83"/>
      <c r="T1103" s="83"/>
    </row>
    <row r="1104" spans="1:20" ht="15">
      <c r="A1104" s="325"/>
      <c r="B1104" s="43"/>
      <c r="C1104" s="326"/>
      <c r="D1104" s="84"/>
      <c r="E1104" s="327"/>
      <c r="F1104" s="328"/>
      <c r="G1104" s="24"/>
      <c r="H1104" s="598"/>
      <c r="I1104" s="599"/>
      <c r="J1104" s="329"/>
      <c r="K1104" s="330"/>
      <c r="L1104" s="331"/>
      <c r="M1104" s="329"/>
      <c r="N1104" s="332"/>
      <c r="O1104" s="333"/>
      <c r="P1104" s="334"/>
      <c r="Q1104" s="83"/>
      <c r="R1104" s="83"/>
      <c r="S1104" s="83"/>
      <c r="T1104" s="83"/>
    </row>
  </sheetData>
  <sheetProtection/>
  <mergeCells count="12">
    <mergeCell ref="A2:N2"/>
    <mergeCell ref="A861:N861"/>
    <mergeCell ref="A862:N864"/>
    <mergeCell ref="A865:N868"/>
    <mergeCell ref="E3:E4"/>
    <mergeCell ref="B3:B4"/>
    <mergeCell ref="C3:C4"/>
    <mergeCell ref="D3:D4"/>
    <mergeCell ref="F3:F4"/>
    <mergeCell ref="G3:G4"/>
    <mergeCell ref="H3:K3"/>
    <mergeCell ref="L3:N3"/>
  </mergeCells>
  <printOptions/>
  <pageMargins left="0.75" right="0.75" top="1" bottom="1" header="0.5" footer="0.5"/>
  <pageSetup orientation="portrait" paperSize="9"/>
  <ignoredErrors>
    <ignoredError sqref="R755:U800 R625:U672 R110:S110 R111:S111" formula="1"/>
    <ignoredError sqref="R21:S21 R5:S8 R4:S4 I5:J31 L5:M31 H5:H32 I32:J32 K5:K32 N5:N32 L32:M32 L34:M37" unlockedFormula="1"/>
    <ignoredError sqref="R62:S63 R27:S28 R71:S75 R88:S109 R22:S23"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ao</cp:lastModifiedBy>
  <cp:lastPrinted>2010-11-23T10:11:42Z</cp:lastPrinted>
  <dcterms:created xsi:type="dcterms:W3CDTF">2006-03-17T12:24:26Z</dcterms:created>
  <dcterms:modified xsi:type="dcterms:W3CDTF">2010-12-25T15:24:20Z</dcterms:modified>
  <cp:category/>
  <cp:version/>
  <cp:contentType/>
  <cp:contentStatus/>
</cp:coreProperties>
</file>