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420" windowWidth="20610" windowHeight="11640" tabRatio="867" activeTab="0"/>
  </bookViews>
  <sheets>
    <sheet name="19-25 Nov' 10 (WK 47)" sheetId="1" r:id="rId1"/>
    <sheet name="01 Jan'-25 Nov' 10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'01 Jan'-25 Nov' 10 (Annual)'!#REF!</definedName>
    <definedName name="_xlnm.Print_Area" localSheetId="0">'19-25 Nov'' 10 (WK 47)'!$A$1:$N$80</definedName>
  </definedNames>
  <calcPr fullCalcOnLoad="1"/>
</workbook>
</file>

<file path=xl/sharedStrings.xml><?xml version="1.0" encoding="utf-8"?>
<sst xmlns="http://schemas.openxmlformats.org/spreadsheetml/2006/main" count="2282" uniqueCount="505">
  <si>
    <t>A NIGHTMARE ON ELM STREET</t>
  </si>
  <si>
    <t>3 HARFLİLER: MARİD (LOCAL)</t>
  </si>
  <si>
    <t>THE SOCIAL NETWORK</t>
  </si>
  <si>
    <t>THE AMERICAN</t>
  </si>
  <si>
    <t>THE BOUNTY HUNTER</t>
  </si>
  <si>
    <t>THE KARATE KID</t>
  </si>
  <si>
    <t>THE A-TEAM</t>
  </si>
  <si>
    <t>THE REBOUND</t>
  </si>
  <si>
    <t>LE PETIT NICOLAS</t>
  </si>
  <si>
    <t>VAY ARKADAŞ (LOCAL)</t>
  </si>
  <si>
    <t>THE BACK-UP PLAN</t>
  </si>
  <si>
    <t>THE GIRL WITH THE DRAGON TATTOO</t>
  </si>
  <si>
    <t>L'IMMORTEL</t>
  </si>
  <si>
    <t>THE STONING OF SORAYA M.</t>
  </si>
  <si>
    <t>SİYAH BEYAZ (LOCAL)</t>
  </si>
  <si>
    <t>THE OTHER GUYS</t>
  </si>
  <si>
    <t>SENRITSU MEIKYU 3D</t>
  </si>
  <si>
    <t>THE DESCENT: PART 2</t>
  </si>
  <si>
    <t>THE COLLECTOR</t>
  </si>
  <si>
    <t>THE IMAGINARIUM OF DOCTOR PARNASSUS</t>
  </si>
  <si>
    <t>THE LAST STATION</t>
  </si>
  <si>
    <t>MEN WHO STARE AT GOATS</t>
  </si>
  <si>
    <t>AN EDUCATION</t>
  </si>
  <si>
    <t>THE CRAZIES</t>
  </si>
  <si>
    <t>ARTHUR ET LA VENGEANCE DE MALTAZARD</t>
  </si>
  <si>
    <t>THE LOVELY BONES</t>
  </si>
  <si>
    <t>PAK PANTER (LOCAL)</t>
  </si>
  <si>
    <t>THE LAST EXORCISM</t>
  </si>
  <si>
    <t>PUS (LOCAL)</t>
  </si>
  <si>
    <t>THE GOOD HEART</t>
  </si>
  <si>
    <t>LOONG BOONMEE RALEUK CHAT</t>
  </si>
  <si>
    <t>DEUSYNLIGE</t>
  </si>
  <si>
    <t>THE COVE</t>
  </si>
  <si>
    <t>DOĞUŞ YAYIN</t>
  </si>
  <si>
    <r>
      <t xml:space="preserve">NEFES: VATAN SAĞOLSUN  </t>
    </r>
    <r>
      <rPr>
        <b/>
        <sz val="10"/>
        <color indexed="10"/>
        <rFont val="Trebuchet MS"/>
        <family val="0"/>
      </rPr>
      <t>(LOCAL)</t>
    </r>
  </si>
  <si>
    <r>
      <t>NEFES: VATAN SAĞOLSUN</t>
    </r>
    <r>
      <rPr>
        <b/>
        <sz val="10"/>
        <color indexed="10"/>
        <rFont val="Trebuchet MS"/>
        <family val="0"/>
      </rPr>
      <t xml:space="preserve"> (LOCAL)</t>
    </r>
  </si>
  <si>
    <r>
      <t xml:space="preserve">NEFES: VATAN SAĞOLSUN </t>
    </r>
    <r>
      <rPr>
        <sz val="10"/>
        <color indexed="10"/>
        <rFont val="Trebuchet MS"/>
        <family val="0"/>
      </rPr>
      <t>(LOCAL)</t>
    </r>
  </si>
  <si>
    <r>
      <t xml:space="preserve">NEFES: VATAN SAĞOLSUN </t>
    </r>
    <r>
      <rPr>
        <b/>
        <sz val="10"/>
        <color indexed="10"/>
        <rFont val="Trebuchet MS"/>
        <family val="0"/>
      </rPr>
      <t>(LOCAL)</t>
    </r>
  </si>
  <si>
    <r>
      <t>NEFES: VATAN SAĞOLSUN</t>
    </r>
    <r>
      <rPr>
        <sz val="10"/>
        <color indexed="10"/>
        <rFont val="Trebuchet MS"/>
        <family val="0"/>
      </rPr>
      <t xml:space="preserve"> (LOCAL)</t>
    </r>
  </si>
  <si>
    <r>
      <t xml:space="preserve">NEŞELİ HAYAT </t>
    </r>
    <r>
      <rPr>
        <sz val="10"/>
        <color indexed="10"/>
        <rFont val="Trebuchet MS"/>
        <family val="0"/>
      </rPr>
      <t>(LOCAL)</t>
    </r>
  </si>
  <si>
    <r>
      <t>NEŞELİ HAYAT</t>
    </r>
    <r>
      <rPr>
        <sz val="10"/>
        <color indexed="10"/>
        <rFont val="Trebuchet MS"/>
        <family val="0"/>
      </rPr>
      <t xml:space="preserve"> (LOCAL)</t>
    </r>
  </si>
  <si>
    <r>
      <t xml:space="preserve">NOKTA </t>
    </r>
    <r>
      <rPr>
        <sz val="10"/>
        <color indexed="10"/>
        <rFont val="Trebuchet MS"/>
        <family val="0"/>
      </rPr>
      <t>(LOCAL)</t>
    </r>
  </si>
  <si>
    <r>
      <t>ORADA</t>
    </r>
    <r>
      <rPr>
        <sz val="10"/>
        <color indexed="10"/>
        <rFont val="Trebuchet MS"/>
        <family val="0"/>
      </rPr>
      <t xml:space="preserve"> (LOCAL)</t>
    </r>
  </si>
  <si>
    <r>
      <t xml:space="preserve">ORADA </t>
    </r>
    <r>
      <rPr>
        <sz val="10"/>
        <color indexed="10"/>
        <rFont val="Trebuchet MS"/>
        <family val="0"/>
      </rPr>
      <t>(LOCAL)</t>
    </r>
  </si>
  <si>
    <r>
      <t xml:space="preserve">PANDORA'NIN KUTUSU  </t>
    </r>
    <r>
      <rPr>
        <b/>
        <sz val="10"/>
        <color indexed="10"/>
        <rFont val="Trebuchet MS"/>
        <family val="0"/>
      </rPr>
      <t>(LOCAL)</t>
    </r>
  </si>
  <si>
    <r>
      <t xml:space="preserve">PANDORA'NIN KUTUSU </t>
    </r>
    <r>
      <rPr>
        <sz val="10"/>
        <color indexed="10"/>
        <rFont val="Trebuchet MS"/>
        <family val="0"/>
      </rPr>
      <t>(LOCAL)</t>
    </r>
  </si>
  <si>
    <r>
      <t xml:space="preserve">SİZİ SEVİYORUM </t>
    </r>
    <r>
      <rPr>
        <b/>
        <sz val="10"/>
        <color indexed="10"/>
        <rFont val="Trebuchet MS"/>
        <family val="0"/>
      </rPr>
      <t xml:space="preserve"> (LOCAL)</t>
    </r>
  </si>
  <si>
    <r>
      <t xml:space="preserve">SİZİ SEVİYORUM </t>
    </r>
    <r>
      <rPr>
        <sz val="10"/>
        <color indexed="10"/>
        <rFont val="Trebuchet MS"/>
        <family val="0"/>
      </rPr>
      <t>(LOCAL)</t>
    </r>
  </si>
  <si>
    <r>
      <t xml:space="preserve">SİZİ SEVİYORUM </t>
    </r>
    <r>
      <rPr>
        <b/>
        <sz val="10"/>
        <color indexed="10"/>
        <rFont val="Trebuchet MS"/>
        <family val="0"/>
      </rPr>
      <t>(LOCAL)</t>
    </r>
  </si>
  <si>
    <r>
      <t>SİZİ SEVİYORUM</t>
    </r>
    <r>
      <rPr>
        <sz val="10"/>
        <color indexed="10"/>
        <rFont val="Trebuchet MS"/>
        <family val="0"/>
      </rPr>
      <t xml:space="preserve"> (LOCAL)</t>
    </r>
  </si>
  <si>
    <r>
      <t xml:space="preserve">SON BULUŞMA </t>
    </r>
    <r>
      <rPr>
        <sz val="10"/>
        <color indexed="10"/>
        <rFont val="Trebuchet MS"/>
        <family val="0"/>
      </rPr>
      <t>(LOCAL)</t>
    </r>
  </si>
  <si>
    <r>
      <t xml:space="preserve">SONBAHAR </t>
    </r>
    <r>
      <rPr>
        <b/>
        <sz val="10"/>
        <color indexed="10"/>
        <rFont val="Trebuchet MS"/>
        <family val="0"/>
      </rPr>
      <t>(LOCAL)</t>
    </r>
  </si>
  <si>
    <r>
      <t xml:space="preserve">SONBAHAR </t>
    </r>
    <r>
      <rPr>
        <sz val="10"/>
        <color indexed="10"/>
        <rFont val="Trebuchet MS"/>
        <family val="0"/>
      </rPr>
      <t>(LOCAL)</t>
    </r>
  </si>
  <si>
    <t>EJDER KAPANI (LOCAL)</t>
  </si>
  <si>
    <t>ROMANTİK KOMEDİ (LOCAL)</t>
  </si>
  <si>
    <t>WALTZ WITH BASHIR</t>
  </si>
  <si>
    <t>ETZ LEMON</t>
  </si>
  <si>
    <t>PARADISE NOW</t>
  </si>
  <si>
    <t>BAŞKA DİLDE AŞK</t>
  </si>
  <si>
    <t>DABBE 2</t>
  </si>
  <si>
    <t>SORCERER’S APPRENTICE</t>
  </si>
  <si>
    <t>40</t>
  </si>
  <si>
    <t>SEX AND THE CITY 2</t>
  </si>
  <si>
    <t>ORDINARY PEOPLE</t>
  </si>
  <si>
    <t>SPLICE</t>
  </si>
  <si>
    <t>SALT</t>
  </si>
  <si>
    <t>BEYAZ MELEK</t>
  </si>
  <si>
    <t>7 KOCALI HÜRMÜZ</t>
  </si>
  <si>
    <t>PAZAR: BİR TİCARET MASALI</t>
  </si>
  <si>
    <t>[REC] 2</t>
  </si>
  <si>
    <t>ALVIN AND THE CHIPMUNKS 2</t>
  </si>
  <si>
    <r>
      <t xml:space="preserve">HAYAT VAR </t>
    </r>
    <r>
      <rPr>
        <sz val="10"/>
        <color indexed="10"/>
        <rFont val="Trebuchet MS"/>
        <family val="0"/>
      </rPr>
      <t>(LOCAL)</t>
    </r>
  </si>
  <si>
    <r>
      <t xml:space="preserve">HAYATIN TUZU </t>
    </r>
    <r>
      <rPr>
        <sz val="10"/>
        <color indexed="10"/>
        <rFont val="Trebuchet MS"/>
        <family val="0"/>
      </rPr>
      <t>(LOCAL)</t>
    </r>
  </si>
  <si>
    <r>
      <t xml:space="preserve">İKİ ÇİZGİ </t>
    </r>
    <r>
      <rPr>
        <sz val="10"/>
        <color indexed="10"/>
        <rFont val="Trebuchet MS"/>
        <family val="0"/>
      </rPr>
      <t>(LOCAL)</t>
    </r>
  </si>
  <si>
    <r>
      <t xml:space="preserve">İKİ DİL BİR BAVUL </t>
    </r>
    <r>
      <rPr>
        <b/>
        <sz val="10"/>
        <color indexed="10"/>
        <rFont val="Trebuchet MS"/>
        <family val="0"/>
      </rPr>
      <t xml:space="preserve"> (LOCAL)</t>
    </r>
  </si>
  <si>
    <r>
      <t xml:space="preserve">İKİ DİL BİR BAVUL </t>
    </r>
    <r>
      <rPr>
        <sz val="10"/>
        <color indexed="10"/>
        <rFont val="Trebuchet MS"/>
        <family val="0"/>
      </rPr>
      <t>(LOCAL)</t>
    </r>
  </si>
  <si>
    <r>
      <t xml:space="preserve">IKI DIL BIR BAVUL </t>
    </r>
    <r>
      <rPr>
        <b/>
        <sz val="10"/>
        <color indexed="10"/>
        <rFont val="Trebuchet MS"/>
        <family val="0"/>
      </rPr>
      <t>(LOCAL)</t>
    </r>
  </si>
  <si>
    <r>
      <t>İKİ DİL BİR BAVUL</t>
    </r>
    <r>
      <rPr>
        <sz val="10"/>
        <color indexed="10"/>
        <rFont val="Trebuchet MS"/>
        <family val="0"/>
      </rPr>
      <t xml:space="preserve"> (LOCAL)</t>
    </r>
  </si>
  <si>
    <r>
      <t>İNCİR ÇEKİRDEĞİ</t>
    </r>
    <r>
      <rPr>
        <sz val="10"/>
        <color indexed="10"/>
        <rFont val="Trebuchet MS"/>
        <family val="0"/>
      </rPr>
      <t xml:space="preserve"> (LOCAL)</t>
    </r>
  </si>
  <si>
    <r>
      <t xml:space="preserve">İNCİR ÇEKİRDEĞİ </t>
    </r>
    <r>
      <rPr>
        <sz val="10"/>
        <color indexed="10"/>
        <rFont val="Trebuchet MS"/>
        <family val="0"/>
      </rPr>
      <t>(LOCAL)</t>
    </r>
  </si>
  <si>
    <r>
      <t>KAMPÜSTE ÇIPLAK AYAKLAR</t>
    </r>
    <r>
      <rPr>
        <sz val="10"/>
        <color indexed="10"/>
        <rFont val="Trebuchet MS"/>
        <family val="0"/>
      </rPr>
      <t xml:space="preserve"> (LOCAL)</t>
    </r>
  </si>
  <si>
    <r>
      <t xml:space="preserve">KAMPÜSTE ÇIPLAK AYAKLAR </t>
    </r>
    <r>
      <rPr>
        <sz val="10"/>
        <color indexed="10"/>
        <rFont val="Trebuchet MS"/>
        <family val="0"/>
      </rPr>
      <t>(LOCAL)</t>
    </r>
  </si>
  <si>
    <r>
      <t xml:space="preserve">KANAL-İ-ZASYON </t>
    </r>
    <r>
      <rPr>
        <sz val="10"/>
        <color indexed="10"/>
        <rFont val="Trebuchet MS"/>
        <family val="0"/>
      </rPr>
      <t>(LOCAL)</t>
    </r>
  </si>
  <si>
    <r>
      <t xml:space="preserve">KARŞILAŞMA </t>
    </r>
    <r>
      <rPr>
        <sz val="10"/>
        <color indexed="10"/>
        <rFont val="Trebuchet MS"/>
        <family val="0"/>
      </rPr>
      <t>(LOCAL)</t>
    </r>
  </si>
  <si>
    <r>
      <t xml:space="preserve">KELEBEK </t>
    </r>
    <r>
      <rPr>
        <sz val="10"/>
        <color indexed="10"/>
        <rFont val="Trebuchet MS"/>
        <family val="0"/>
      </rPr>
      <t>(LOCAL)</t>
    </r>
  </si>
  <si>
    <r>
      <t>KELEBEK</t>
    </r>
    <r>
      <rPr>
        <sz val="10"/>
        <color indexed="10"/>
        <rFont val="Trebuchet MS"/>
        <family val="0"/>
      </rPr>
      <t xml:space="preserve"> (LOCAL)</t>
    </r>
  </si>
  <si>
    <r>
      <t xml:space="preserve">KISKANMAK </t>
    </r>
    <r>
      <rPr>
        <sz val="10"/>
        <color indexed="10"/>
        <rFont val="Trebuchet MS"/>
        <family val="0"/>
      </rPr>
      <t>(LOCAL)</t>
    </r>
  </si>
  <si>
    <r>
      <t>KISKANMAK</t>
    </r>
    <r>
      <rPr>
        <sz val="10"/>
        <color indexed="10"/>
        <rFont val="Trebuchet MS"/>
        <family val="0"/>
      </rPr>
      <t xml:space="preserve"> (LOCAL)</t>
    </r>
  </si>
  <si>
    <r>
      <t xml:space="preserve">KISKANMAK </t>
    </r>
    <r>
      <rPr>
        <b/>
        <sz val="10"/>
        <color indexed="10"/>
        <rFont val="Trebuchet MS"/>
        <family val="0"/>
      </rPr>
      <t>(LOCAL)</t>
    </r>
  </si>
  <si>
    <r>
      <t xml:space="preserve">KOLPAÇİNO </t>
    </r>
    <r>
      <rPr>
        <b/>
        <sz val="10"/>
        <color indexed="10"/>
        <rFont val="Trebuchet MS"/>
        <family val="0"/>
      </rPr>
      <t xml:space="preserve"> (LOCAL)</t>
    </r>
  </si>
  <si>
    <r>
      <t xml:space="preserve">KOLPAÇİNO </t>
    </r>
    <r>
      <rPr>
        <sz val="10"/>
        <color indexed="10"/>
        <rFont val="Trebuchet MS"/>
        <family val="0"/>
      </rPr>
      <t>(LOCAL)</t>
    </r>
  </si>
  <si>
    <t>SAW VII 3D</t>
  </si>
  <si>
    <t>HARRY POTTER 7</t>
  </si>
  <si>
    <t>SKYLINE</t>
  </si>
  <si>
    <t>UNSTOPPABLE</t>
  </si>
  <si>
    <t>CHAIN LETTER</t>
  </si>
  <si>
    <t>NENE HATUN (LOCAL)</t>
  </si>
  <si>
    <r>
      <t xml:space="preserve">SONSUZ </t>
    </r>
    <r>
      <rPr>
        <sz val="10"/>
        <color indexed="10"/>
        <rFont val="Trebuchet MS"/>
        <family val="0"/>
      </rPr>
      <t>(LOCAL)</t>
    </r>
  </si>
  <si>
    <r>
      <t>SÜPÜRRR!</t>
    </r>
    <r>
      <rPr>
        <sz val="10"/>
        <color indexed="10"/>
        <rFont val="Trebuchet MS"/>
        <family val="0"/>
      </rPr>
      <t xml:space="preserve"> (LOCAL)</t>
    </r>
  </si>
  <si>
    <r>
      <t xml:space="preserve">SÜPÜRRR! </t>
    </r>
    <r>
      <rPr>
        <sz val="10"/>
        <color indexed="10"/>
        <rFont val="Trebuchet MS"/>
        <family val="0"/>
      </rPr>
      <t>(LOCAL)</t>
    </r>
  </si>
  <si>
    <r>
      <t xml:space="preserve">TATİL KİTABI </t>
    </r>
    <r>
      <rPr>
        <sz val="10"/>
        <color indexed="10"/>
        <rFont val="Trebuchet MS"/>
        <family val="0"/>
      </rPr>
      <t>(LOCAL)</t>
    </r>
  </si>
  <si>
    <r>
      <t xml:space="preserve">TÜRKLER ÇILDIRMIŞ OLMALI </t>
    </r>
    <r>
      <rPr>
        <sz val="10"/>
        <color indexed="10"/>
        <rFont val="Trebuchet MS"/>
        <family val="0"/>
      </rPr>
      <t>(LOCAL)</t>
    </r>
  </si>
  <si>
    <r>
      <t xml:space="preserve">AŞK GELİYORUM DEMEZ </t>
    </r>
    <r>
      <rPr>
        <sz val="10"/>
        <color indexed="10"/>
        <rFont val="Trebuchet MS"/>
        <family val="0"/>
      </rPr>
      <t>(LOCAL)</t>
    </r>
  </si>
  <si>
    <r>
      <t xml:space="preserve">AŞK GELIYORUM DEMEZ </t>
    </r>
    <r>
      <rPr>
        <b/>
        <sz val="10"/>
        <color indexed="10"/>
        <rFont val="Trebuchet MS"/>
        <family val="0"/>
      </rPr>
      <t>(LOCAL)</t>
    </r>
  </si>
  <si>
    <r>
      <t xml:space="preserve">BAŞKA DİLDE AŞK </t>
    </r>
    <r>
      <rPr>
        <b/>
        <sz val="10"/>
        <color indexed="10"/>
        <rFont val="Trebuchet MS"/>
        <family val="0"/>
      </rPr>
      <t xml:space="preserve"> (LOCAL)</t>
    </r>
  </si>
  <si>
    <r>
      <t>BAŞKA DİLDE AŞK</t>
    </r>
    <r>
      <rPr>
        <b/>
        <sz val="10"/>
        <color indexed="10"/>
        <rFont val="Trebuchet MS"/>
        <family val="0"/>
      </rPr>
      <t xml:space="preserve">  (LOCAL)</t>
    </r>
  </si>
  <si>
    <r>
      <t>BAŞKA DİLDE AŞK</t>
    </r>
    <r>
      <rPr>
        <sz val="10"/>
        <color indexed="10"/>
        <rFont val="Trebuchet MS"/>
        <family val="0"/>
      </rPr>
      <t xml:space="preserve"> (LOCAL)</t>
    </r>
  </si>
  <si>
    <r>
      <t xml:space="preserve">BAŞKA DİLDE AŞK </t>
    </r>
    <r>
      <rPr>
        <sz val="10"/>
        <color indexed="10"/>
        <rFont val="Trebuchet MS"/>
        <family val="0"/>
      </rPr>
      <t>(LOCAL)</t>
    </r>
  </si>
  <si>
    <t>YÜREĞİNE SOR (LOCAL)</t>
  </si>
  <si>
    <t>PIRANHA</t>
  </si>
  <si>
    <r>
      <t>ABİMM</t>
    </r>
    <r>
      <rPr>
        <sz val="10"/>
        <color indexed="10"/>
        <rFont val="Trebuchet MS"/>
        <family val="0"/>
      </rPr>
      <t xml:space="preserve"> (LOCAL)</t>
    </r>
  </si>
  <si>
    <r>
      <t xml:space="preserve">ABİMM </t>
    </r>
    <r>
      <rPr>
        <sz val="10"/>
        <color indexed="10"/>
        <rFont val="Trebuchet MS"/>
        <family val="0"/>
      </rPr>
      <t>(LOCAL)</t>
    </r>
  </si>
  <si>
    <r>
      <t xml:space="preserve">ACI </t>
    </r>
    <r>
      <rPr>
        <sz val="10"/>
        <color indexed="10"/>
        <rFont val="Trebuchet MS"/>
        <family val="0"/>
      </rPr>
      <t>(LOCAL)</t>
    </r>
  </si>
  <si>
    <r>
      <t xml:space="preserve">ACI AŞK </t>
    </r>
    <r>
      <rPr>
        <sz val="10"/>
        <color indexed="10"/>
        <rFont val="Trebuchet MS"/>
        <family val="0"/>
      </rPr>
      <t>(LOCAL)</t>
    </r>
  </si>
  <si>
    <r>
      <t>ACI AŞK</t>
    </r>
    <r>
      <rPr>
        <sz val="10"/>
        <color indexed="10"/>
        <rFont val="Trebuchet MS"/>
        <family val="0"/>
      </rPr>
      <t xml:space="preserve"> (LOCAL)</t>
    </r>
  </si>
  <si>
    <r>
      <t xml:space="preserve">ADINI SEN KOY </t>
    </r>
    <r>
      <rPr>
        <sz val="10"/>
        <color indexed="10"/>
        <rFont val="Trebuchet MS"/>
        <family val="0"/>
      </rPr>
      <t>(LOCAL)</t>
    </r>
  </si>
  <si>
    <r>
      <t>ADINI SEN KOY</t>
    </r>
    <r>
      <rPr>
        <sz val="10"/>
        <color indexed="10"/>
        <rFont val="Trebuchet MS"/>
        <family val="0"/>
      </rPr>
      <t xml:space="preserve"> (LOCAL)</t>
    </r>
  </si>
  <si>
    <r>
      <t xml:space="preserve">AKREBİN YOLCULUĞU </t>
    </r>
    <r>
      <rPr>
        <sz val="10"/>
        <color indexed="10"/>
        <rFont val="Trebuchet MS"/>
        <family val="0"/>
      </rPr>
      <t>(LOCAL)</t>
    </r>
  </si>
  <si>
    <r>
      <t>ANAYURT OTELİ</t>
    </r>
    <r>
      <rPr>
        <sz val="10"/>
        <color indexed="10"/>
        <rFont val="Trebuchet MS"/>
        <family val="0"/>
      </rPr>
      <t xml:space="preserve"> (LOCAL)</t>
    </r>
  </si>
  <si>
    <r>
      <t xml:space="preserve">ASK GELIYORUM DEMEZ </t>
    </r>
    <r>
      <rPr>
        <b/>
        <sz val="10"/>
        <color indexed="10"/>
        <rFont val="Trebuchet MS"/>
        <family val="0"/>
      </rPr>
      <t>(LOCAL)</t>
    </r>
  </si>
  <si>
    <r>
      <t>AŞK GELIYORUM DEMEZ</t>
    </r>
    <r>
      <rPr>
        <b/>
        <sz val="10"/>
        <color indexed="10"/>
        <rFont val="Trebuchet MS"/>
        <family val="0"/>
      </rPr>
      <t xml:space="preserve">  (LOCAL)</t>
    </r>
  </si>
  <si>
    <t>BLUE ELEPHANT, THE</t>
  </si>
  <si>
    <t>15</t>
  </si>
  <si>
    <r>
      <t xml:space="preserve">BAŞKA DİLDE AŞK </t>
    </r>
    <r>
      <rPr>
        <b/>
        <sz val="10"/>
        <color indexed="10"/>
        <rFont val="Trebuchet MS"/>
        <family val="0"/>
      </rPr>
      <t>(LOCAL)</t>
    </r>
  </si>
  <si>
    <r>
      <t>BAŞKA DİLDE AŞK</t>
    </r>
    <r>
      <rPr>
        <b/>
        <sz val="10"/>
        <color indexed="10"/>
        <rFont val="Trebuchet MS"/>
        <family val="0"/>
      </rPr>
      <t xml:space="preserve"> (LOCAL)</t>
    </r>
  </si>
  <si>
    <r>
      <t>BAŞKA DİLDE AŞK</t>
    </r>
    <r>
      <rPr>
        <b/>
        <sz val="10"/>
        <rFont val="Trebuchet MS"/>
        <family val="2"/>
      </rPr>
      <t xml:space="preserve"> </t>
    </r>
    <r>
      <rPr>
        <b/>
        <sz val="10"/>
        <color indexed="10"/>
        <rFont val="Trebuchet MS"/>
        <family val="0"/>
      </rPr>
      <t>(LOCAL)</t>
    </r>
  </si>
  <si>
    <r>
      <t xml:space="preserve">BORNOVA BORNOVA </t>
    </r>
    <r>
      <rPr>
        <b/>
        <sz val="10"/>
        <color indexed="10"/>
        <rFont val="Trebuchet MS"/>
        <family val="0"/>
      </rPr>
      <t>(LOCAL)</t>
    </r>
  </si>
  <si>
    <r>
      <t>BORNOVA BORNOVA</t>
    </r>
    <r>
      <rPr>
        <b/>
        <sz val="10"/>
        <color indexed="10"/>
        <rFont val="Trebuchet MS"/>
        <family val="0"/>
      </rPr>
      <t xml:space="preserve"> (LOCAL)</t>
    </r>
  </si>
  <si>
    <r>
      <t xml:space="preserve">BORNOVA BORNOVA </t>
    </r>
    <r>
      <rPr>
        <sz val="10"/>
        <color indexed="10"/>
        <rFont val="Trebuchet MS"/>
        <family val="0"/>
      </rPr>
      <t>(LOCAL)</t>
    </r>
  </si>
  <si>
    <r>
      <t>BORNOVA BORNOVA</t>
    </r>
    <r>
      <rPr>
        <sz val="10"/>
        <color indexed="10"/>
        <rFont val="Trebuchet MS"/>
        <family val="0"/>
      </rPr>
      <t xml:space="preserve"> (LOCAL)</t>
    </r>
  </si>
  <si>
    <r>
      <t xml:space="preserve">DABBE 2  </t>
    </r>
    <r>
      <rPr>
        <b/>
        <sz val="10"/>
        <color indexed="10"/>
        <rFont val="Trebuchet MS"/>
        <family val="0"/>
      </rPr>
      <t>(LOCAL)</t>
    </r>
  </si>
  <si>
    <r>
      <t xml:space="preserve">DABBE 2 </t>
    </r>
    <r>
      <rPr>
        <sz val="10"/>
        <color indexed="10"/>
        <rFont val="Trebuchet MS"/>
        <family val="0"/>
      </rPr>
      <t>(LOCAL)</t>
    </r>
  </si>
  <si>
    <r>
      <t>DABBE 2</t>
    </r>
    <r>
      <rPr>
        <sz val="10"/>
        <color indexed="10"/>
        <rFont val="Trebuchet MS"/>
        <family val="0"/>
      </rPr>
      <t xml:space="preserve"> (LOCAL)</t>
    </r>
  </si>
  <si>
    <r>
      <t xml:space="preserve">DABBE 2 </t>
    </r>
    <r>
      <rPr>
        <b/>
        <sz val="10"/>
        <color indexed="10"/>
        <rFont val="Trebuchet MS"/>
        <family val="0"/>
      </rPr>
      <t>(LOCAL)</t>
    </r>
  </si>
  <si>
    <r>
      <t>DABBE 2</t>
    </r>
    <r>
      <rPr>
        <b/>
        <sz val="10"/>
        <color indexed="10"/>
        <rFont val="Trebuchet MS"/>
        <family val="0"/>
      </rPr>
      <t xml:space="preserve"> (LOCAL)</t>
    </r>
  </si>
  <si>
    <r>
      <t xml:space="preserve">DELİ DELİ OLMA </t>
    </r>
    <r>
      <rPr>
        <sz val="10"/>
        <color indexed="10"/>
        <rFont val="Trebuchet MS"/>
        <family val="0"/>
      </rPr>
      <t>(LOCAL)</t>
    </r>
  </si>
  <si>
    <r>
      <t xml:space="preserve">GECENİN KANATLARI </t>
    </r>
    <r>
      <rPr>
        <sz val="10"/>
        <color indexed="10"/>
        <rFont val="Trebuchet MS"/>
        <family val="0"/>
      </rPr>
      <t>(LOCAL)</t>
    </r>
  </si>
  <si>
    <r>
      <t>GECENİN KANATLARI</t>
    </r>
    <r>
      <rPr>
        <sz val="10"/>
        <color indexed="10"/>
        <rFont val="Trebuchet MS"/>
        <family val="0"/>
      </rPr>
      <t xml:space="preserve"> (LOCAL)</t>
    </r>
  </si>
  <si>
    <r>
      <t xml:space="preserve">GECENİN KANATLARI </t>
    </r>
    <r>
      <rPr>
        <b/>
        <sz val="10"/>
        <color indexed="10"/>
        <rFont val="Trebuchet MS"/>
        <family val="0"/>
      </rPr>
      <t>(LOCAL)</t>
    </r>
  </si>
  <si>
    <r>
      <t>GİZLİ YÜZ</t>
    </r>
    <r>
      <rPr>
        <sz val="10"/>
        <color indexed="10"/>
        <rFont val="Trebuchet MS"/>
        <family val="0"/>
      </rPr>
      <t xml:space="preserve"> (LOCAL)</t>
    </r>
  </si>
  <si>
    <r>
      <t xml:space="preserve">GÜNEŞİ GÖRDÜM </t>
    </r>
    <r>
      <rPr>
        <sz val="10"/>
        <color indexed="10"/>
        <rFont val="Trebuchet MS"/>
        <family val="0"/>
      </rPr>
      <t>(LOCAL)</t>
    </r>
  </si>
  <si>
    <r>
      <t xml:space="preserve">GÜNEŞİN OĞLU </t>
    </r>
    <r>
      <rPr>
        <sz val="10"/>
        <color indexed="10"/>
        <rFont val="Trebuchet MS"/>
        <family val="0"/>
      </rPr>
      <t>(LOCAL)</t>
    </r>
  </si>
  <si>
    <r>
      <t xml:space="preserve">GÜZ SANCISI </t>
    </r>
    <r>
      <rPr>
        <sz val="10"/>
        <color indexed="10"/>
        <rFont val="Trebuchet MS"/>
        <family val="0"/>
      </rPr>
      <t>(LOCAL)</t>
    </r>
  </si>
  <si>
    <t>DERSİMİZ: ATATÜRK (LOCAL)</t>
  </si>
  <si>
    <t>EŞREFPAŞALILAR (LOCAL)</t>
  </si>
  <si>
    <t>AY LAV YU (LOCAL)</t>
  </si>
  <si>
    <t>AŞKIN İKİNCİ YARISI (LOCAL)</t>
  </si>
  <si>
    <t>MAHPEYKER: KÖSEM SULTAN (LOCAL)</t>
  </si>
  <si>
    <t>CEHENNEM 3D (LOCAL)</t>
  </si>
  <si>
    <t>HERKES Mİ ALDATIR? (LOCAL)</t>
  </si>
  <si>
    <t>GELECEKTEN BİR GÜN (LOCAL)</t>
  </si>
  <si>
    <t>ANTICHRIST</t>
  </si>
  <si>
    <t>NANNY MC PHEE AND THE BIG BANG</t>
  </si>
  <si>
    <t>L'AFFAIRE FAREWELL</t>
  </si>
  <si>
    <t>THE LAST SONG</t>
  </si>
  <si>
    <t>THE BOX</t>
  </si>
  <si>
    <t>AZİZİYE TABYALARI NENE HATUN (LOCAL)</t>
  </si>
  <si>
    <t>THE JONESES</t>
  </si>
  <si>
    <t>IN GOTTES NAMEN</t>
  </si>
  <si>
    <t>SES (LOCAL)</t>
  </si>
  <si>
    <t>EN MUTLU OLDUĞUM YER (LOCAL)</t>
  </si>
  <si>
    <t>HARBİ DEFİNE (LOCAL)</t>
  </si>
  <si>
    <t>BAL (LOCAL)</t>
  </si>
  <si>
    <t>DELİ DUMRUL: KURTLAR KUŞLAR ALEMINDE (LOCAL)</t>
  </si>
  <si>
    <t>EV (LOCAL)</t>
  </si>
  <si>
    <t>RİNA (LOCAL)</t>
  </si>
  <si>
    <r>
      <t>ÇOĞUNLUK</t>
    </r>
    <r>
      <rPr>
        <b/>
        <sz val="10"/>
        <color indexed="10"/>
        <rFont val="Trebuchet MS"/>
        <family val="0"/>
      </rPr>
      <t xml:space="preserve"> (LOCAL)</t>
    </r>
  </si>
  <si>
    <t>MIN DIT / MIN DIT: THE CHILDREN OF DIYARBAKIR</t>
  </si>
  <si>
    <t>DIE TUR</t>
  </si>
  <si>
    <t>DIE FREMDE</t>
  </si>
  <si>
    <t>LES AVENTURES EXTRAORDINAIRES D'ADELE BLANC-SEC</t>
  </si>
  <si>
    <t>A SINGLE MAN</t>
  </si>
  <si>
    <t>LE CONCERT</t>
  </si>
  <si>
    <t>THE SPY NEXT DOOR</t>
  </si>
  <si>
    <t>A SERIOUS MAN</t>
  </si>
  <si>
    <t>KUBİLAY (LOCAL)</t>
  </si>
  <si>
    <t>SNARVEIVEN</t>
  </si>
  <si>
    <t>YOGA HAKWON</t>
  </si>
  <si>
    <t>SELVİ BOYLUM AL YAZMALIM (LOCAL)</t>
  </si>
  <si>
    <t>ZEYTİN DALI - DENİZDEN GELEN (LOCAL)</t>
  </si>
  <si>
    <t>O KUL - HAYAL BİLE ETME (LOCAL)</t>
  </si>
  <si>
    <t>CAMCI - ADI AŞK BU EZİYETİN (LOCAL)</t>
  </si>
  <si>
    <t>THE YOUNG VICTORIA</t>
  </si>
  <si>
    <t>DAMSALA DAWİ: SEWAXAN (LOCAL)</t>
  </si>
  <si>
    <t>KARA KÖPEKELR HAVLARKEN (LOCAL)</t>
  </si>
  <si>
    <t>EDEN A L'QUEST</t>
  </si>
  <si>
    <t>LE REFUGE</t>
  </si>
  <si>
    <t>LE HERISSON</t>
  </si>
  <si>
    <t>TENGRI</t>
  </si>
  <si>
    <t>WAVE, THE</t>
  </si>
  <si>
    <r>
      <t>KOLPAÇİNO</t>
    </r>
    <r>
      <rPr>
        <sz val="10"/>
        <color indexed="10"/>
        <rFont val="Trebuchet MS"/>
        <family val="0"/>
      </rPr>
      <t xml:space="preserve"> (LOCAL)</t>
    </r>
  </si>
  <si>
    <r>
      <t>KONAK</t>
    </r>
    <r>
      <rPr>
        <b/>
        <sz val="10"/>
        <color indexed="10"/>
        <rFont val="Trebuchet MS"/>
        <family val="0"/>
      </rPr>
      <t xml:space="preserve"> (LOCAL)</t>
    </r>
  </si>
  <si>
    <r>
      <t xml:space="preserve">KONAK </t>
    </r>
    <r>
      <rPr>
        <sz val="10"/>
        <color indexed="10"/>
        <rFont val="Trebuchet MS"/>
        <family val="0"/>
      </rPr>
      <t>(LOCAL)</t>
    </r>
  </si>
  <si>
    <r>
      <t>KONAK</t>
    </r>
    <r>
      <rPr>
        <sz val="10"/>
        <color indexed="10"/>
        <rFont val="Trebuchet MS"/>
        <family val="0"/>
      </rPr>
      <t xml:space="preserve"> (LOCAL)</t>
    </r>
  </si>
  <si>
    <r>
      <t xml:space="preserve">KONAK </t>
    </r>
    <r>
      <rPr>
        <b/>
        <sz val="10"/>
        <color indexed="10"/>
        <rFont val="Trebuchet MS"/>
        <family val="0"/>
      </rPr>
      <t>(LOCAL)</t>
    </r>
  </si>
  <si>
    <r>
      <t xml:space="preserve">KURTLAR VADİSİ GLADİO </t>
    </r>
    <r>
      <rPr>
        <sz val="10"/>
        <color indexed="10"/>
        <rFont val="Trebuchet MS"/>
        <family val="0"/>
      </rPr>
      <t>(LOCAL)</t>
    </r>
  </si>
  <si>
    <r>
      <t xml:space="preserve">KURTLAR VADİSİ GLADIO </t>
    </r>
    <r>
      <rPr>
        <b/>
        <sz val="10"/>
        <color indexed="10"/>
        <rFont val="Trebuchet MS"/>
        <family val="0"/>
      </rPr>
      <t>(LOCAL)</t>
    </r>
  </si>
  <si>
    <r>
      <t>KURTLAR VADİSİ GLADIO</t>
    </r>
    <r>
      <rPr>
        <b/>
        <sz val="10"/>
        <rFont val="Trebuchet MS"/>
        <family val="2"/>
      </rPr>
      <t xml:space="preserve"> </t>
    </r>
    <r>
      <rPr>
        <b/>
        <sz val="10"/>
        <color indexed="10"/>
        <rFont val="Trebuchet MS"/>
        <family val="0"/>
      </rPr>
      <t>(LOCAL)</t>
    </r>
  </si>
  <si>
    <r>
      <t>MEZUNİYET</t>
    </r>
    <r>
      <rPr>
        <sz val="10"/>
        <color indexed="10"/>
        <rFont val="Trebuchet MS"/>
        <family val="0"/>
      </rPr>
      <t xml:space="preserve"> (LOCAL)</t>
    </r>
  </si>
  <si>
    <r>
      <t xml:space="preserve">MOMMO </t>
    </r>
    <r>
      <rPr>
        <sz val="10"/>
        <color indexed="10"/>
        <rFont val="Trebuchet MS"/>
        <family val="0"/>
      </rPr>
      <t>(LOCAL)</t>
    </r>
  </si>
  <si>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</si>
  <si>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</si>
  <si>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</si>
  <si>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</si>
  <si>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</si>
  <si>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OZEN-UMUT</t>
  </si>
  <si>
    <t>Türkiye Distributor</t>
  </si>
  <si>
    <t>Release
Date</t>
  </si>
  <si>
    <t># of
Prints</t>
  </si>
  <si>
    <t>Week</t>
  </si>
  <si>
    <t>Cumulative</t>
  </si>
  <si>
    <t>G.B.O.</t>
  </si>
  <si>
    <t>Adm.</t>
  </si>
  <si>
    <t>Avg.
Ticket</t>
  </si>
  <si>
    <t xml:space="preserve">Avg.
Ticket </t>
  </si>
  <si>
    <t># of
Screen</t>
  </si>
  <si>
    <t>NEFES: VATAN SAĞOLSUN</t>
  </si>
  <si>
    <t>KOLPAÇİNO</t>
  </si>
  <si>
    <t>INCEPTION</t>
  </si>
  <si>
    <t>GET HIM TO THE GREEK</t>
  </si>
  <si>
    <t>MOTHER AND CHILD</t>
  </si>
  <si>
    <t>AUSTRALIA</t>
  </si>
  <si>
    <t>NIKO AND THE WAY TO THE STARS</t>
  </si>
  <si>
    <t xml:space="preserve">CLOUDY WITH A CHANCE OF MEATBALLS </t>
  </si>
  <si>
    <t>GROWN UPS</t>
  </si>
  <si>
    <t>GOSA</t>
  </si>
  <si>
    <t>PRINCE OF PERSIA: THE SANDS OF TIME</t>
  </si>
  <si>
    <r>
      <t>TÜRKLER ÇILDIRMIŞ OLMALI</t>
    </r>
    <r>
      <rPr>
        <sz val="10"/>
        <color indexed="10"/>
        <rFont val="Trebuchet MS"/>
        <family val="0"/>
      </rPr>
      <t xml:space="preserve"> (LOCAL)</t>
    </r>
  </si>
  <si>
    <r>
      <t xml:space="preserve">UMUT </t>
    </r>
    <r>
      <rPr>
        <b/>
        <sz val="10"/>
        <color indexed="10"/>
        <rFont val="Trebuchet MS"/>
        <family val="0"/>
      </rPr>
      <t>(LOCAL)</t>
    </r>
  </si>
  <si>
    <r>
      <t xml:space="preserve">UZAK İHTİMAL </t>
    </r>
    <r>
      <rPr>
        <sz val="10"/>
        <color indexed="10"/>
        <rFont val="Trebuchet MS"/>
        <family val="0"/>
      </rPr>
      <t>(LOCAL)</t>
    </r>
  </si>
  <si>
    <r>
      <t>UZAK İHTİMAL</t>
    </r>
    <r>
      <rPr>
        <b/>
        <sz val="10"/>
        <color indexed="10"/>
        <rFont val="Trebuchet MS"/>
        <family val="0"/>
      </rPr>
      <t xml:space="preserve"> (LOCAL)</t>
    </r>
  </si>
  <si>
    <r>
      <t>VALİ</t>
    </r>
    <r>
      <rPr>
        <sz val="10"/>
        <color indexed="10"/>
        <rFont val="Trebuchet MS"/>
        <family val="0"/>
      </rPr>
      <t xml:space="preserve"> (LOCAL)</t>
    </r>
  </si>
  <si>
    <r>
      <t xml:space="preserve">VALİ </t>
    </r>
    <r>
      <rPr>
        <sz val="10"/>
        <color indexed="10"/>
        <rFont val="Trebuchet MS"/>
        <family val="0"/>
      </rPr>
      <t>(LOCAL)</t>
    </r>
  </si>
  <si>
    <r>
      <t>VAVİEN</t>
    </r>
    <r>
      <rPr>
        <sz val="10"/>
        <color indexed="10"/>
        <rFont val="Trebuchet MS"/>
        <family val="0"/>
      </rPr>
      <t xml:space="preserve"> (LOCAL)</t>
    </r>
  </si>
  <si>
    <r>
      <t xml:space="preserve">VAVİEN </t>
    </r>
    <r>
      <rPr>
        <sz val="10"/>
        <color indexed="10"/>
        <rFont val="Trebuchet MS"/>
        <family val="0"/>
      </rPr>
      <t>(LOCAL)</t>
    </r>
  </si>
  <si>
    <r>
      <t xml:space="preserve">VİCDAN  </t>
    </r>
    <r>
      <rPr>
        <sz val="10"/>
        <color indexed="10"/>
        <rFont val="Trebuchet MS"/>
        <family val="0"/>
      </rPr>
      <t>(LOCAL)</t>
    </r>
  </si>
  <si>
    <r>
      <t>ZEYTİNİN HAYALİ</t>
    </r>
    <r>
      <rPr>
        <sz val="10"/>
        <color indexed="10"/>
        <rFont val="Trebuchet MS"/>
        <family val="0"/>
      </rPr>
      <t xml:space="preserve"> (LOCAL)</t>
    </r>
  </si>
  <si>
    <t>YAHŞİ BATI (LOCAL)</t>
  </si>
  <si>
    <t>NEW YORK'TA BEŞ MİNARE (LOCAL)</t>
  </si>
  <si>
    <t>THE TWILIGHT SAGA: ECLIPSE</t>
  </si>
  <si>
    <t>THE LAST AIRBENDER</t>
  </si>
  <si>
    <t>THE SORCERER’S APPRENTICE</t>
  </si>
  <si>
    <t>THE EXPENDABLES</t>
  </si>
  <si>
    <t>THE PRINCESS AND THE FROG</t>
  </si>
  <si>
    <t>SAMMY'S AVONTUREN: DE GEHEIME DOORGANG</t>
  </si>
  <si>
    <t>THE BOOK OF ELI</t>
  </si>
  <si>
    <t>THE WOLFMAN</t>
  </si>
  <si>
    <r>
      <t xml:space="preserve">11'E 10 KALA </t>
    </r>
    <r>
      <rPr>
        <sz val="10"/>
        <color indexed="10"/>
        <rFont val="Trebuchet MS"/>
        <family val="0"/>
      </rPr>
      <t>(LOCAL)</t>
    </r>
  </si>
  <si>
    <r>
      <t>120</t>
    </r>
    <r>
      <rPr>
        <sz val="10"/>
        <color indexed="10"/>
        <rFont val="Trebuchet MS"/>
        <family val="0"/>
      </rPr>
      <t xml:space="preserve"> (LOCAL)</t>
    </r>
  </si>
  <si>
    <r>
      <t xml:space="preserve">7 KOCALI HÜRMÜZ </t>
    </r>
    <r>
      <rPr>
        <sz val="10"/>
        <color indexed="10"/>
        <rFont val="Trebuchet MS"/>
        <family val="0"/>
      </rPr>
      <t>(LOCAL)</t>
    </r>
  </si>
  <si>
    <t>BRIDE WARS</t>
  </si>
  <si>
    <t>DESPICABLE ME</t>
  </si>
  <si>
    <t>GOING THE DISTANCE</t>
  </si>
  <si>
    <t>PREDATORS</t>
  </si>
  <si>
    <t>MACHETE</t>
  </si>
  <si>
    <t>JOHN RABE</t>
  </si>
  <si>
    <t>HOODWINKED</t>
  </si>
  <si>
    <t>RESIDENT EVIL: AFTERLIFE</t>
  </si>
  <si>
    <t>DIARY OF A WIMPY KID</t>
  </si>
  <si>
    <t>TOUS A L'OUEST: UNE AVENTURE DE LUCKY LUKE</t>
  </si>
  <si>
    <t>NIGHT AT THE MUSEUM: BATTLE OF THE SMITHSONIAN</t>
  </si>
  <si>
    <t>DEAR JOHN</t>
  </si>
  <si>
    <t>MOON</t>
  </si>
  <si>
    <t>MINE VAGANTI</t>
  </si>
  <si>
    <t>LEAP YEAR</t>
  </si>
  <si>
    <t>AWAY WE GO</t>
  </si>
  <si>
    <t>NAR FILM</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</si>
  <si>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</si>
  <si>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Admission</t>
  </si>
  <si>
    <t>Title</t>
  </si>
  <si>
    <t>PINEMA</t>
  </si>
  <si>
    <t>PARIS</t>
  </si>
  <si>
    <t>G.B.O. YTL</t>
  </si>
  <si>
    <t>GNOMES AND TROLLS: THE SECRET CHAMBER</t>
  </si>
  <si>
    <t>SECRET OF MOONACRE, THE</t>
  </si>
  <si>
    <t>8</t>
  </si>
  <si>
    <t>HURT LOCKER</t>
  </si>
  <si>
    <t>TAKING WOODSOCK</t>
  </si>
  <si>
    <t>BOLT</t>
  </si>
  <si>
    <t>VALKYRIE</t>
  </si>
  <si>
    <t>DIARY OF A NYMPHOMANIAC</t>
  </si>
  <si>
    <t>PLANET 51</t>
  </si>
  <si>
    <t>ONDINE</t>
  </si>
  <si>
    <t>TALE 52</t>
  </si>
  <si>
    <t>TWILIGHT</t>
  </si>
  <si>
    <t>DUKA FİLM</t>
  </si>
  <si>
    <t>FROM PARIS WITH LOVE</t>
  </si>
  <si>
    <t>TORMENTED</t>
  </si>
  <si>
    <t>RED KIT</t>
  </si>
  <si>
    <t>TOY STORY 3</t>
  </si>
  <si>
    <t>CHLOE</t>
  </si>
  <si>
    <t>CLIENTE</t>
  </si>
  <si>
    <t>CHANTIER</t>
  </si>
  <si>
    <t>AŞK GELİYORUM DEMEZ</t>
  </si>
  <si>
    <t>İKİ DİL BİR BAVUL</t>
  </si>
  <si>
    <t>BÜŞRA (LOCAL)</t>
  </si>
  <si>
    <t>SON İSTASYON (LOCAL)</t>
  </si>
  <si>
    <t>ADA: ZOMBİLERİN DÜĞÜNÜ (LOCAL)</t>
  </si>
  <si>
    <t>KAVŞAK (LOCAL)</t>
  </si>
  <si>
    <t>ÇOĞUNLUK (LOCAL)</t>
  </si>
  <si>
    <t>KOSMOS (LOCAL)</t>
  </si>
  <si>
    <t>PARAMPARÇA (LOCAL)</t>
  </si>
  <si>
    <t>ANADOLU'NUN KAYIP ŞARKILARI (LOCAL)</t>
  </si>
  <si>
    <t>BÜYÜK OYUN (LOCAL)</t>
  </si>
  <si>
    <t>OFF KARADENİZ (LOCAL)</t>
  </si>
  <si>
    <t>BEŞ ŞEHİR (LOCAL)</t>
  </si>
  <si>
    <t>KAKO Sİ? (LOCAL)</t>
  </si>
  <si>
    <t>KAPTAN FEZA (LOCAL)</t>
  </si>
  <si>
    <t>KÖPRÜDEKİLER  (LOCAL)</t>
  </si>
  <si>
    <t>BAHTI KARA (LOCAL)</t>
  </si>
  <si>
    <t xml:space="preserve">YEO-HAENG-JA </t>
  </si>
  <si>
    <t>WINX CLUB 3D: MAGICAL ADVENTURE</t>
  </si>
  <si>
    <r>
      <t>NENE HATUN</t>
    </r>
    <r>
      <rPr>
        <b/>
        <sz val="10"/>
        <color indexed="10"/>
        <rFont val="Trebuchet MS"/>
        <family val="0"/>
      </rPr>
      <t xml:space="preserve"> (LOCAL)</t>
    </r>
  </si>
  <si>
    <r>
      <t xml:space="preserve">MAHPEYKER: KÖSEM SULTAN </t>
    </r>
    <r>
      <rPr>
        <b/>
        <sz val="10"/>
        <color indexed="10"/>
        <rFont val="Trebuchet MS"/>
        <family val="0"/>
      </rPr>
      <t>(LOCAL)</t>
    </r>
  </si>
  <si>
    <t>L'ILLUSIONNIST</t>
  </si>
  <si>
    <t>INHALE</t>
  </si>
  <si>
    <t>WHATEVER WORKS</t>
  </si>
  <si>
    <t xml:space="preserve">VODITEL DLYA VERY </t>
  </si>
  <si>
    <t>LOOKING FOR ERIC</t>
  </si>
  <si>
    <t>SCAR</t>
  </si>
  <si>
    <t>UIP TÜRKİYE</t>
  </si>
  <si>
    <t>WARNER BROS. TÜRKİYE</t>
  </si>
  <si>
    <t>TİGLON FİLM</t>
  </si>
  <si>
    <t>CINE FILM</t>
  </si>
  <si>
    <t>CHANTIER FILMS</t>
  </si>
  <si>
    <t>AVŞAR FİLM</t>
  </si>
  <si>
    <t>DATE NIGHT</t>
  </si>
  <si>
    <t>RICKY</t>
  </si>
  <si>
    <t>HALLOWEEN II</t>
  </si>
  <si>
    <t>SHREK FOREVER AFTER</t>
  </si>
  <si>
    <t>UIP</t>
  </si>
  <si>
    <t>FROZEN</t>
  </si>
  <si>
    <t>ALFA FİLM</t>
  </si>
  <si>
    <t>ÖZEN FİLM</t>
  </si>
  <si>
    <t>TIGLON FİLM</t>
  </si>
  <si>
    <t>PİNEMA</t>
  </si>
  <si>
    <t>HOW TO TRAIN DRAGON</t>
  </si>
  <si>
    <t>CHUGYEOGJA</t>
  </si>
  <si>
    <t>CLASH OF THE TITANS</t>
  </si>
  <si>
    <t>NINE</t>
  </si>
  <si>
    <t>LEGION</t>
  </si>
  <si>
    <t>ICE AGE 3: DAWN OF THE DINOSAURS</t>
  </si>
  <si>
    <t>LA VERITABLE HISTOIRE DU CHAT BOTTE</t>
  </si>
  <si>
    <t>ALIENS IN THE ATTIC</t>
  </si>
  <si>
    <t>G-FORCE</t>
  </si>
  <si>
    <t>(500) DAYS OF SUMMER</t>
  </si>
  <si>
    <t>UP</t>
  </si>
  <si>
    <t>JENNIFER'S BODY</t>
  </si>
  <si>
    <t>TOTALLY SPIES</t>
  </si>
  <si>
    <t>OZEN FILM</t>
  </si>
  <si>
    <t>DREAD</t>
  </si>
  <si>
    <t>DISTRICT 9</t>
  </si>
  <si>
    <t>TOURNAMENT, THE</t>
  </si>
  <si>
    <t>TWILIGHT SAGA: NEW MOON</t>
  </si>
  <si>
    <t>CHRISTMAS CAROL</t>
  </si>
  <si>
    <t>CLOUDY WITH A CHANCE OF MEATBALLS</t>
  </si>
  <si>
    <t>DON'T LOOK BACK</t>
  </si>
  <si>
    <t>DUST OF TIME, THE</t>
  </si>
  <si>
    <t>SAW VI</t>
  </si>
  <si>
    <t>MFP-CINEGROUP</t>
  </si>
  <si>
    <t>AVATAR</t>
  </si>
  <si>
    <t>COUPLES RETREAT</t>
  </si>
  <si>
    <t>ZOMBIELAND</t>
  </si>
  <si>
    <t xml:space="preserve">ALVIN &amp; THE CHIPMUNKS: THE SQUEAKQUEL </t>
  </si>
  <si>
    <t>SOUL KITCHEN</t>
  </si>
  <si>
    <t>LAW ABIDING CITIZEN</t>
  </si>
  <si>
    <t xml:space="preserve">BAKJWI </t>
  </si>
  <si>
    <t>NIKO - LENTAJAN POIKA</t>
  </si>
  <si>
    <t>LOS ABRAZOS ROTOS</t>
  </si>
  <si>
    <t>INVICTUS</t>
  </si>
  <si>
    <t>WALL-E</t>
  </si>
  <si>
    <t>MAN WHO LOVES, THE</t>
  </si>
  <si>
    <t>DUKA FILM</t>
  </si>
  <si>
    <t>10</t>
  </si>
  <si>
    <t>5</t>
  </si>
  <si>
    <t>VIAGGIO SEGRETO</t>
  </si>
  <si>
    <t>BELGE FILM</t>
  </si>
  <si>
    <t>OPEN SEASON 2</t>
  </si>
  <si>
    <t>11</t>
  </si>
  <si>
    <t>1</t>
  </si>
  <si>
    <t>17</t>
  </si>
  <si>
    <t>DRAG ME TO HELL</t>
  </si>
  <si>
    <t>CAPITALISM: A LOVE STORY</t>
  </si>
  <si>
    <t>Weeks in Release</t>
  </si>
  <si>
    <t>Weekly Movie Magazine Antrakt Presents - Haftalık Antrakt Sinema Gazetesi Sunar</t>
  </si>
  <si>
    <t>Distributor</t>
  </si>
  <si>
    <t>DEVIL, THE</t>
  </si>
  <si>
    <t>ZACK AND MIRI MAKE A PORNO</t>
  </si>
  <si>
    <t>TINKER BELL AND THE GREAT FAIRY RESCUE</t>
  </si>
  <si>
    <t>CAMINO</t>
  </si>
  <si>
    <t>OCEAN WORLD 3D</t>
  </si>
  <si>
    <t>WALL STREET: MONEY NEVER SLEEPS</t>
  </si>
  <si>
    <t>CHARLIE ST.CLOUD</t>
  </si>
  <si>
    <t>J'AI TUE MA MERE</t>
  </si>
  <si>
    <t>LEGEND OF THE GUARDIANS</t>
  </si>
  <si>
    <t>OCEAN WORLD</t>
  </si>
  <si>
    <t>MAN ON WIRE</t>
  </si>
  <si>
    <t>EAT PRAY LOVE</t>
  </si>
  <si>
    <t>STONE</t>
  </si>
  <si>
    <t>BURIED</t>
  </si>
  <si>
    <t>MY SOUL TO TAKE</t>
  </si>
  <si>
    <t>WILD TARGET</t>
  </si>
  <si>
    <t>AYLA</t>
  </si>
  <si>
    <t>PERCY JACKSON &amp; THE OLYMPIANS: THE LIGHTNING THIEF</t>
  </si>
  <si>
    <t>PARANORMAL ACTIVITY 2</t>
  </si>
  <si>
    <t>RED</t>
  </si>
  <si>
    <t>CENTURION</t>
  </si>
  <si>
    <t>L'AGE DE RAISON</t>
  </si>
  <si>
    <t>ADRENAL FİLM</t>
  </si>
  <si>
    <t>RECEP İVEDİK 3 (LOCAL)</t>
  </si>
  <si>
    <t>EYYVAH EYVAH (LOCAL)</t>
  </si>
  <si>
    <t>ÇOK FİLİM HAREKETLER BUNLAR (LOCAL)</t>
  </si>
  <si>
    <t>VEDA (LOCAL)</t>
  </si>
  <si>
    <t>KUTSAL DAMACANA 2: İTMEN (LOCAL)</t>
  </si>
  <si>
    <t>CATS AND DOGS: REVENGE OF KITTY GALORE</t>
  </si>
  <si>
    <t>AFTER.LIFE</t>
  </si>
  <si>
    <t>COCO CHANEL AND IGOR STRAVINSKY</t>
  </si>
  <si>
    <t>*Sorted according to Week Total G.B.O. - Haftalık toplam hasılat sütununa göre sıralanmıştır.</t>
  </si>
  <si>
    <t>MEDYAVIZYON</t>
  </si>
  <si>
    <t>LEMON TREE</t>
  </si>
  <si>
    <t>9</t>
  </si>
  <si>
    <t>IMPY'S WONDERLAND</t>
  </si>
  <si>
    <t>NORTH</t>
  </si>
  <si>
    <t>HUNGER</t>
  </si>
  <si>
    <t>MY BEST FRIEND'S GIRL</t>
  </si>
  <si>
    <t>COCO AVANT CHANEL</t>
  </si>
  <si>
    <t>VALENTINE'S DAY</t>
  </si>
  <si>
    <t>KUNG FU PANDA</t>
  </si>
  <si>
    <t>SUNSHINE CLEANING</t>
  </si>
  <si>
    <t>EL SECRETO DE SUS OJOS</t>
  </si>
  <si>
    <t>NORDWAND</t>
  </si>
  <si>
    <t>LAT DEN RATTE KOMME IN</t>
  </si>
  <si>
    <t>UP IN THE AIR</t>
  </si>
  <si>
    <t>DID YOU HEAR ABOUT THE MORGANS?</t>
  </si>
  <si>
    <t>NINJA ASSASSIN</t>
  </si>
  <si>
    <t>CHERI</t>
  </si>
  <si>
    <t>AMELIA</t>
  </si>
  <si>
    <t>DAYBREAKERS</t>
  </si>
  <si>
    <t>ALICE IN WONDERLAND</t>
  </si>
  <si>
    <t>SHUTTER ISLAND</t>
  </si>
  <si>
    <t>PRECIOUS: BASED ON THE NOVEL PUSH BY SAPPHIRE</t>
  </si>
  <si>
    <t>CRAZY HEART</t>
  </si>
  <si>
    <t>COCO CHANEL &amp; IGOR STRAVINSKY</t>
  </si>
  <si>
    <t>UGLY TRUTH</t>
  </si>
  <si>
    <t>MEDYAVİZYON</t>
  </si>
  <si>
    <r>
      <t>2010 Türkiye Annual Box Office Report</t>
    </r>
    <r>
      <rPr>
        <b/>
        <sz val="26"/>
        <rFont val="Garamond"/>
        <family val="1"/>
      </rPr>
      <t xml:space="preserve">  </t>
    </r>
    <r>
      <rPr>
        <b/>
        <sz val="12"/>
        <rFont val="Garamond"/>
        <family val="1"/>
      </rPr>
      <t>01 January - 25 November 2010</t>
    </r>
  </si>
  <si>
    <t>2010 Türkiye Ex Years Releases Annual Box Office Report  01 January - 25 November 2010</t>
  </si>
  <si>
    <r>
      <t>HARRY POTTER 7a</t>
    </r>
    <r>
      <rPr>
        <b/>
        <sz val="10"/>
        <rFont val="Trebuchet MS"/>
        <family val="2"/>
      </rPr>
      <t xml:space="preserve"> </t>
    </r>
    <r>
      <rPr>
        <b/>
        <sz val="10"/>
        <color indexed="12"/>
        <rFont val="Trebuchet MS"/>
        <family val="0"/>
      </rPr>
      <t>(NEW)</t>
    </r>
  </si>
  <si>
    <t>CINE FİLM</t>
  </si>
  <si>
    <r>
      <t xml:space="preserve">VAY ARKADAŞ </t>
    </r>
    <r>
      <rPr>
        <b/>
        <sz val="10"/>
        <color indexed="10"/>
        <rFont val="Trebuchet MS"/>
        <family val="0"/>
      </rPr>
      <t>(LOCAL)</t>
    </r>
  </si>
  <si>
    <r>
      <t xml:space="preserve">AŞKIN İKİNCİ YARISI </t>
    </r>
    <r>
      <rPr>
        <b/>
        <sz val="10"/>
        <color indexed="10"/>
        <rFont val="Trebuchet MS"/>
        <family val="0"/>
      </rPr>
      <t>(LOCAL)</t>
    </r>
  </si>
  <si>
    <r>
      <t xml:space="preserve">HARBİ DEFİNE </t>
    </r>
    <r>
      <rPr>
        <b/>
        <sz val="10"/>
        <color indexed="10"/>
        <rFont val="Trebuchet MS"/>
        <family val="0"/>
      </rPr>
      <t>(LOCAL)</t>
    </r>
  </si>
  <si>
    <r>
      <t xml:space="preserve">ÜÇ HARFLİLER: MARİD </t>
    </r>
    <r>
      <rPr>
        <b/>
        <sz val="10"/>
        <color indexed="10"/>
        <rFont val="Trebuchet MS"/>
        <family val="0"/>
      </rPr>
      <t>(LOCAL)</t>
    </r>
  </si>
  <si>
    <r>
      <t xml:space="preserve">KUBİLAY </t>
    </r>
    <r>
      <rPr>
        <b/>
        <sz val="10"/>
        <color indexed="10"/>
        <rFont val="Trebuchet MS"/>
        <family val="0"/>
      </rPr>
      <t>(LOCAL)</t>
    </r>
  </si>
  <si>
    <r>
      <t xml:space="preserve">KOSMOS </t>
    </r>
    <r>
      <rPr>
        <b/>
        <sz val="10"/>
        <color indexed="10"/>
        <rFont val="Trebuchet MS"/>
        <family val="0"/>
      </rPr>
      <t>(LOCAL)</t>
    </r>
  </si>
  <si>
    <r>
      <t xml:space="preserve">CEHENNEM 3D </t>
    </r>
    <r>
      <rPr>
        <b/>
        <sz val="10"/>
        <color indexed="10"/>
        <rFont val="Trebuchet MS"/>
        <family val="0"/>
      </rPr>
      <t>(LOCAL)</t>
    </r>
  </si>
  <si>
    <t>KNIGHT AND DAY</t>
  </si>
  <si>
    <r>
      <t xml:space="preserve">EYYVAH EYVAH </t>
    </r>
    <r>
      <rPr>
        <b/>
        <sz val="10"/>
        <color indexed="10"/>
        <rFont val="Trebuchet MS"/>
        <family val="0"/>
      </rPr>
      <t>(LOCAL)</t>
    </r>
  </si>
  <si>
    <t>YEO-HAENG-JA</t>
  </si>
  <si>
    <r>
      <t xml:space="preserve">O KUL - HAYAL BİLE ETME </t>
    </r>
    <r>
      <rPr>
        <b/>
        <sz val="10"/>
        <color indexed="10"/>
        <rFont val="Trebuchet MS"/>
        <family val="0"/>
      </rPr>
      <t>(LOCAL)</t>
    </r>
  </si>
  <si>
    <r>
      <t xml:space="preserve">PAK PANTER </t>
    </r>
    <r>
      <rPr>
        <b/>
        <sz val="10"/>
        <color indexed="10"/>
        <rFont val="Trebuchet MS"/>
        <family val="0"/>
      </rPr>
      <t>(LOCAL)</t>
    </r>
  </si>
  <si>
    <r>
      <t>PRENSESİN UYKUSU</t>
    </r>
    <r>
      <rPr>
        <b/>
        <sz val="10"/>
        <color indexed="10"/>
        <rFont val="Trebuchet MS"/>
        <family val="0"/>
      </rPr>
      <t xml:space="preserve"> (LOCAL)</t>
    </r>
    <r>
      <rPr>
        <sz val="10"/>
        <color indexed="12"/>
        <rFont val="Trebuchet MS"/>
        <family val="0"/>
      </rPr>
      <t xml:space="preserve"> </t>
    </r>
    <r>
      <rPr>
        <b/>
        <sz val="10"/>
        <color indexed="12"/>
        <rFont val="Trebuchet MS"/>
        <family val="0"/>
      </rPr>
      <t>(NEW)</t>
    </r>
  </si>
  <si>
    <r>
      <t>NEW YORK'TA BEŞ MİNARE</t>
    </r>
    <r>
      <rPr>
        <b/>
        <sz val="10"/>
        <rFont val="Trebuchet MS"/>
        <family val="2"/>
      </rPr>
      <t xml:space="preserve"> </t>
    </r>
    <r>
      <rPr>
        <b/>
        <sz val="10"/>
        <color indexed="10"/>
        <rFont val="Trebuchet MS"/>
        <family val="0"/>
      </rPr>
      <t>(LOCAL)</t>
    </r>
  </si>
  <si>
    <t>HARRY POTTER 7a (NEW)</t>
  </si>
  <si>
    <t>ÜÇ HARFLİLER: MARİD (LOCAL)</t>
  </si>
  <si>
    <t>PRENSESİN UYKUSU (LOCAL) (NEW)</t>
  </si>
  <si>
    <t>GARFIELD'S PET FORCE</t>
  </si>
  <si>
    <t>EDGE OF DARKNESS</t>
  </si>
  <si>
    <t>IT'S COMPLICATED</t>
  </si>
  <si>
    <t>7</t>
  </si>
  <si>
    <t>6</t>
  </si>
  <si>
    <t>FRITT WILT II</t>
  </si>
  <si>
    <t>18</t>
  </si>
  <si>
    <t>I SKONI TOU HRONOU</t>
  </si>
  <si>
    <t>VERTIGE</t>
  </si>
  <si>
    <t>CARRIERS</t>
  </si>
  <si>
    <t>FROZEN RIVER</t>
  </si>
  <si>
    <t>BEDTIME STORIES</t>
  </si>
  <si>
    <t>SHERLOCK HOLMES</t>
  </si>
  <si>
    <t>PARANORMAL ACTIVITY</t>
  </si>
  <si>
    <t>INKHEART</t>
  </si>
  <si>
    <t>INGLOURIOUS BASTERDS</t>
  </si>
  <si>
    <t>PUBLIC ENEMIES</t>
  </si>
  <si>
    <t>ROADSIDE ROMEO</t>
  </si>
  <si>
    <t>GAMER</t>
  </si>
  <si>
    <t>FAME</t>
  </si>
  <si>
    <t>PONTYPOOL</t>
  </si>
  <si>
    <t>EASTERN PLAYS</t>
  </si>
  <si>
    <t>OLD DOGS</t>
  </si>
  <si>
    <t>ASTRO BOY</t>
  </si>
  <si>
    <t>CATCHER: CAT CITY 2</t>
  </si>
  <si>
    <t>DONKEY XOTE</t>
  </si>
  <si>
    <t>E'ELLERMANI: STORY OF LEO AND LEVA, THE</t>
  </si>
  <si>
    <t>TMNT</t>
  </si>
  <si>
    <t xml:space="preserve">EVERYBODY'S FINE </t>
  </si>
  <si>
    <t>WEGA FILM</t>
  </si>
  <si>
    <t>REMEMBER ME</t>
  </si>
  <si>
    <t>UMUT SANAT</t>
  </si>
  <si>
    <t>GREEN ZONE</t>
  </si>
  <si>
    <t>WHEN IN ROME</t>
  </si>
  <si>
    <t xml:space="preserve">DAS WEISSE BAND </t>
  </si>
  <si>
    <t>BRIGHT STAR</t>
  </si>
  <si>
    <t>IRON MAN 2</t>
  </si>
  <si>
    <t>SUNSHINE BARRY AND THE DISCO WORMS (DISCO ORMENE)</t>
  </si>
  <si>
    <t>ROBIN HOOD</t>
  </si>
</sst>
</file>

<file path=xl/styles.xml><?xml version="1.0" encoding="utf-8"?>
<styleSheet xmlns="http://schemas.openxmlformats.org/spreadsheetml/2006/main">
  <numFmts count="5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 numFmtId="210" formatCode="#,##0.00\ _T_L"/>
    <numFmt numFmtId="211" formatCode="#,##0.00\ _Y_T_L"/>
  </numFmts>
  <fonts count="96">
    <font>
      <sz val="10"/>
      <name val="Arial"/>
      <family val="0"/>
    </font>
    <font>
      <u val="single"/>
      <sz val="8"/>
      <color indexed="36"/>
      <name val="Arial"/>
      <family val="2"/>
    </font>
    <font>
      <u val="single"/>
      <sz val="8"/>
      <color indexed="12"/>
      <name val="Arial"/>
      <family val="2"/>
    </font>
    <font>
      <sz val="14"/>
      <name val="Impact"/>
      <family val="2"/>
    </font>
    <font>
      <sz val="10"/>
      <name val="Impact"/>
      <family val="2"/>
    </font>
    <font>
      <sz val="14"/>
      <name val="Arial"/>
      <family val="2"/>
    </font>
    <font>
      <sz val="8"/>
      <name val="Trebuchet MS"/>
      <family val="0"/>
    </font>
    <font>
      <sz val="20"/>
      <name val="Impact"/>
      <family val="2"/>
    </font>
    <font>
      <sz val="10"/>
      <name val="Trebuchet MS"/>
      <family val="2"/>
    </font>
    <font>
      <sz val="10"/>
      <color indexed="9"/>
      <name val="Trebuchet MS"/>
      <family val="2"/>
    </font>
    <font>
      <sz val="10"/>
      <color indexed="9"/>
      <name val="Arial"/>
      <family val="0"/>
    </font>
    <font>
      <b/>
      <sz val="8"/>
      <color indexed="9"/>
      <name val="Trebuchet MS"/>
      <family val="0"/>
    </font>
    <font>
      <sz val="8"/>
      <name val="Arial"/>
      <family val="2"/>
    </font>
    <font>
      <sz val="9"/>
      <name val="Arial"/>
      <family val="0"/>
    </font>
    <font>
      <b/>
      <sz val="10"/>
      <name val="Garamond"/>
      <family val="1"/>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0"/>
    </font>
    <font>
      <b/>
      <sz val="8"/>
      <color indexed="18"/>
      <name val="Verdana"/>
      <family val="2"/>
    </font>
    <font>
      <b/>
      <sz val="14"/>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9"/>
      <name val="Verdana"/>
      <family val="2"/>
    </font>
    <font>
      <sz val="9"/>
      <name val="Verdana"/>
      <family val="2"/>
    </font>
    <font>
      <b/>
      <sz val="9"/>
      <color indexed="9"/>
      <name val="Verdana"/>
      <family val="2"/>
    </font>
    <font>
      <sz val="9"/>
      <color indexed="9"/>
      <name val="Verdana"/>
      <family val="2"/>
    </font>
    <font>
      <i/>
      <sz val="9"/>
      <name val="Arial"/>
      <family val="2"/>
    </font>
    <font>
      <i/>
      <sz val="9"/>
      <color indexed="10"/>
      <name val="Arial"/>
      <family val="2"/>
    </font>
    <font>
      <b/>
      <sz val="16"/>
      <name val="Garamond"/>
      <family val="1"/>
    </font>
    <font>
      <b/>
      <sz val="26"/>
      <name val="Garamond"/>
      <family val="1"/>
    </font>
    <font>
      <b/>
      <sz val="8"/>
      <color indexed="9"/>
      <name val="Arial"/>
      <family val="2"/>
    </font>
    <font>
      <b/>
      <sz val="8"/>
      <name val="Arial"/>
      <family val="2"/>
    </font>
    <font>
      <b/>
      <sz val="10"/>
      <color indexed="9"/>
      <name val="Arial"/>
      <family val="0"/>
    </font>
    <font>
      <b/>
      <sz val="10"/>
      <name val="Arial"/>
      <family val="2"/>
    </font>
    <font>
      <b/>
      <sz val="20"/>
      <name val="Garamond"/>
      <family val="1"/>
    </font>
    <font>
      <b/>
      <sz val="12"/>
      <name val="Garamond"/>
      <family val="1"/>
    </font>
    <font>
      <sz val="8"/>
      <color indexed="9"/>
      <name val="Trebuchet MS"/>
      <family val="2"/>
    </font>
    <font>
      <sz val="14"/>
      <color indexed="9"/>
      <name val="Impact"/>
      <family val="2"/>
    </font>
    <font>
      <sz val="20"/>
      <color indexed="9"/>
      <name val="Impact"/>
      <family val="2"/>
    </font>
    <font>
      <sz val="14"/>
      <color indexed="9"/>
      <name val="Arial"/>
      <family val="2"/>
    </font>
    <font>
      <sz val="12"/>
      <color indexed="47"/>
      <name val="GoudyLight"/>
      <family val="0"/>
    </font>
    <font>
      <sz val="12"/>
      <color indexed="47"/>
      <name val="Arial"/>
      <family val="0"/>
    </font>
    <font>
      <b/>
      <sz val="9"/>
      <name val="Garamond"/>
      <family val="1"/>
    </font>
    <font>
      <sz val="9"/>
      <name val="Garamond"/>
      <family val="1"/>
    </font>
    <font>
      <b/>
      <sz val="9"/>
      <color indexed="9"/>
      <name val="Garamond"/>
      <family val="1"/>
    </font>
    <font>
      <b/>
      <sz val="9"/>
      <name val="Arial"/>
      <family val="0"/>
    </font>
    <font>
      <b/>
      <sz val="9"/>
      <color indexed="9"/>
      <name val="Arial"/>
      <family val="0"/>
    </font>
    <font>
      <sz val="10"/>
      <color indexed="10"/>
      <name val="Trebuchet MS"/>
      <family val="0"/>
    </font>
    <font>
      <b/>
      <sz val="10"/>
      <name val="Trebuchet MS"/>
      <family val="2"/>
    </font>
    <font>
      <b/>
      <sz val="10"/>
      <color indexed="10"/>
      <name val="Trebuchet MS"/>
      <family val="0"/>
    </font>
    <font>
      <b/>
      <sz val="10"/>
      <color indexed="12"/>
      <name val="Trebuchet MS"/>
      <family val="0"/>
    </font>
    <font>
      <sz val="10"/>
      <color indexed="12"/>
      <name val="Trebuchet MS"/>
      <family val="0"/>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14"/>
      <color indexed="8"/>
      <name val="Garamond"/>
      <family val="0"/>
    </font>
    <font>
      <sz val="14"/>
      <color indexed="8"/>
      <name val="Garamond"/>
      <family val="0"/>
    </font>
    <font>
      <sz val="11"/>
      <color indexed="8"/>
      <name val="Bookman Old Style"/>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65"/>
        <bgColor indexed="64"/>
      </patternFill>
    </fill>
    <fill>
      <patternFill patternType="solid">
        <fgColor indexed="9"/>
        <bgColor indexed="64"/>
      </patternFill>
    </fill>
    <fill>
      <patternFill patternType="solid">
        <fgColor indexed="47"/>
        <bgColor indexed="64"/>
      </patternFill>
    </fill>
  </fills>
  <borders count="6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color indexed="63"/>
      </left>
      <right style="hair"/>
      <top style="hair"/>
      <bottom style="hair"/>
    </border>
    <border>
      <left style="hair"/>
      <right style="hair"/>
      <top style="medium"/>
      <bottom style="hair"/>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style="medium"/>
      <right style="hair"/>
      <top style="medium"/>
      <bottom style="medium"/>
    </border>
    <border>
      <left style="hair"/>
      <right style="hair"/>
      <top style="medium"/>
      <bottom>
        <color indexed="63"/>
      </bottom>
    </border>
    <border>
      <left style="hair"/>
      <right style="medium"/>
      <top style="medium"/>
      <bottom>
        <color indexed="63"/>
      </bottom>
    </border>
    <border>
      <left style="medium"/>
      <right>
        <color indexed="63"/>
      </right>
      <top style="medium"/>
      <bottom style="hair"/>
    </border>
    <border>
      <left style="medium"/>
      <right>
        <color indexed="63"/>
      </right>
      <top style="hair"/>
      <bottom style="hair"/>
    </border>
    <border>
      <left style="thin"/>
      <right style="thin"/>
      <top style="thin"/>
      <bottom style="medium"/>
    </border>
    <border>
      <left style="thin"/>
      <right style="medium"/>
      <top style="thin"/>
      <bottom style="medium"/>
    </border>
    <border>
      <left style="medium"/>
      <right style="hair"/>
      <top style="medium"/>
      <bottom style="hair"/>
    </border>
    <border>
      <left style="medium"/>
      <right>
        <color indexed="63"/>
      </right>
      <top style="hair"/>
      <bottom style="thin"/>
    </border>
    <border>
      <left style="medium"/>
      <right>
        <color indexed="63"/>
      </right>
      <top>
        <color indexed="63"/>
      </top>
      <bottom style="hair"/>
    </border>
    <border>
      <left>
        <color indexed="63"/>
      </left>
      <right>
        <color indexed="63"/>
      </right>
      <top>
        <color indexed="63"/>
      </top>
      <bottom style="thin"/>
    </border>
    <border>
      <left style="medium"/>
      <right>
        <color indexed="63"/>
      </right>
      <top style="hair"/>
      <bottom>
        <color indexed="63"/>
      </bottom>
    </border>
    <border>
      <left>
        <color indexed="63"/>
      </left>
      <right>
        <color indexed="63"/>
      </right>
      <top style="hair"/>
      <bottom style="hair"/>
    </border>
    <border>
      <left>
        <color indexed="63"/>
      </left>
      <right>
        <color indexed="63"/>
      </right>
      <top>
        <color indexed="63"/>
      </top>
      <bottom style="medium"/>
    </border>
    <border>
      <left>
        <color indexed="63"/>
      </left>
      <right style="hair"/>
      <top style="hair"/>
      <bottom>
        <color indexed="63"/>
      </bottom>
    </border>
    <border>
      <left style="thin"/>
      <right style="thin"/>
      <top style="thin"/>
      <bottom>
        <color indexed="63"/>
      </bottom>
    </border>
    <border>
      <left style="thin"/>
      <right style="medium"/>
      <top style="thin"/>
      <bottom>
        <color indexed="63"/>
      </bottom>
    </border>
    <border>
      <left style="hair"/>
      <right style="hair"/>
      <top style="hair"/>
      <bottom>
        <color indexed="63"/>
      </bottom>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hair"/>
      <right style="medium"/>
      <top style="medium"/>
      <bottom style="hair"/>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
      <left style="medium"/>
      <right style="hair"/>
      <top style="hair"/>
      <bottom>
        <color indexed="63"/>
      </bottom>
    </border>
    <border>
      <left style="hair"/>
      <right style="medium"/>
      <top style="hair"/>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1" applyNumberFormat="0" applyFill="0" applyAlignment="0" applyProtection="0"/>
    <xf numFmtId="0" fontId="84" fillId="0" borderId="2" applyNumberFormat="0" applyFill="0" applyAlignment="0" applyProtection="0"/>
    <xf numFmtId="0" fontId="85" fillId="0" borderId="3" applyNumberFormat="0" applyFill="0" applyAlignment="0" applyProtection="0"/>
    <xf numFmtId="0" fontId="86" fillId="0" borderId="4" applyNumberFormat="0" applyFill="0" applyAlignment="0" applyProtection="0"/>
    <xf numFmtId="0" fontId="8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87" fillId="20" borderId="5" applyNumberFormat="0" applyAlignment="0" applyProtection="0"/>
    <xf numFmtId="0" fontId="88" fillId="21" borderId="6" applyNumberFormat="0" applyAlignment="0" applyProtection="0"/>
    <xf numFmtId="0" fontId="89" fillId="20" borderId="6" applyNumberFormat="0" applyAlignment="0" applyProtection="0"/>
    <xf numFmtId="0" fontId="90" fillId="22" borderId="7" applyNumberFormat="0" applyAlignment="0" applyProtection="0"/>
    <xf numFmtId="0" fontId="91"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92" fillId="24" borderId="0" applyNumberFormat="0" applyBorder="0" applyAlignment="0" applyProtection="0"/>
    <xf numFmtId="0" fontId="0" fillId="0" borderId="0">
      <alignment/>
      <protection/>
    </xf>
    <xf numFmtId="0" fontId="0" fillId="0" borderId="0">
      <alignment/>
      <protection/>
    </xf>
    <xf numFmtId="0" fontId="0" fillId="25" borderId="8" applyNumberFormat="0" applyFont="0" applyAlignment="0" applyProtection="0"/>
    <xf numFmtId="0" fontId="93"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9" applyNumberFormat="0" applyFill="0" applyAlignment="0" applyProtection="0"/>
    <xf numFmtId="0" fontId="95" fillId="0" borderId="0" applyNumberFormat="0" applyFill="0" applyBorder="0" applyAlignment="0" applyProtection="0"/>
    <xf numFmtId="0" fontId="80" fillId="27" borderId="0" applyNumberFormat="0" applyBorder="0" applyAlignment="0" applyProtection="0"/>
    <xf numFmtId="0" fontId="80" fillId="28" borderId="0" applyNumberFormat="0" applyBorder="0" applyAlignment="0" applyProtection="0"/>
    <xf numFmtId="0" fontId="80" fillId="29" borderId="0" applyNumberFormat="0" applyBorder="0" applyAlignment="0" applyProtection="0"/>
    <xf numFmtId="0" fontId="80" fillId="30" borderId="0" applyNumberFormat="0" applyBorder="0" applyAlignment="0" applyProtection="0"/>
    <xf numFmtId="0" fontId="80" fillId="31" borderId="0" applyNumberFormat="0" applyBorder="0" applyAlignment="0" applyProtection="0"/>
    <xf numFmtId="0" fontId="80" fillId="32" borderId="0" applyNumberFormat="0" applyBorder="0" applyAlignment="0" applyProtection="0"/>
    <xf numFmtId="9" fontId="0" fillId="0" borderId="0" applyFont="0" applyFill="0" applyBorder="0" applyAlignment="0" applyProtection="0"/>
  </cellStyleXfs>
  <cellXfs count="554">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184" fontId="9" fillId="33" borderId="10" xfId="0" applyNumberFormat="1" applyFont="1" applyFill="1" applyBorder="1" applyAlignment="1">
      <alignment horizontal="center" vertical="center"/>
    </xf>
    <xf numFmtId="0" fontId="11" fillId="0" borderId="0" xfId="0" applyFont="1" applyFill="1" applyBorder="1" applyAlignment="1" applyProtection="1">
      <alignment vertical="center"/>
      <protection locked="0"/>
    </xf>
    <xf numFmtId="0" fontId="9" fillId="33" borderId="10" xfId="0" applyFont="1" applyFill="1" applyBorder="1" applyAlignment="1">
      <alignment horizontal="left" vertical="center"/>
    </xf>
    <xf numFmtId="0" fontId="10" fillId="0" borderId="0" xfId="0" applyFont="1" applyFill="1" applyAlignment="1">
      <alignment/>
    </xf>
    <xf numFmtId="200" fontId="21" fillId="33" borderId="10" xfId="0" applyNumberFormat="1" applyFont="1" applyFill="1" applyBorder="1" applyAlignment="1">
      <alignment horizontal="right" vertical="center"/>
    </xf>
    <xf numFmtId="193" fontId="21" fillId="33" borderId="10" xfId="0" applyNumberFormat="1" applyFont="1" applyFill="1" applyBorder="1" applyAlignment="1">
      <alignment horizontal="right" vertical="center"/>
    </xf>
    <xf numFmtId="0" fontId="15" fillId="0" borderId="0" xfId="0" applyFont="1" applyAlignment="1">
      <alignment/>
    </xf>
    <xf numFmtId="0" fontId="26" fillId="0" borderId="0" xfId="0" applyFont="1" applyAlignment="1">
      <alignment/>
    </xf>
    <xf numFmtId="193" fontId="31" fillId="33" borderId="10" xfId="0" applyNumberFormat="1" applyFont="1" applyFill="1" applyBorder="1" applyAlignment="1">
      <alignment horizontal="right" vertical="center"/>
    </xf>
    <xf numFmtId="192" fontId="32" fillId="33" borderId="10" xfId="0" applyNumberFormat="1" applyFont="1" applyFill="1" applyBorder="1" applyAlignment="1">
      <alignment horizontal="right" vertical="center"/>
    </xf>
    <xf numFmtId="200" fontId="32" fillId="33" borderId="10" xfId="0" applyNumberFormat="1" applyFont="1" applyFill="1" applyBorder="1" applyAlignment="1">
      <alignment horizontal="right" vertical="center"/>
    </xf>
    <xf numFmtId="193" fontId="32" fillId="33" borderId="10" xfId="0" applyNumberFormat="1" applyFont="1" applyFill="1" applyBorder="1" applyAlignment="1">
      <alignment horizontal="right" vertical="center"/>
    </xf>
    <xf numFmtId="0" fontId="15" fillId="0" borderId="0" xfId="0" applyFont="1" applyAlignment="1">
      <alignment horizontal="center"/>
    </xf>
    <xf numFmtId="4" fontId="17" fillId="0" borderId="0" xfId="0" applyNumberFormat="1" applyFont="1" applyAlignment="1">
      <alignment horizontal="right"/>
    </xf>
    <xf numFmtId="3" fontId="17" fillId="0" borderId="0" xfId="0" applyNumberFormat="1" applyFont="1" applyAlignment="1">
      <alignment horizontal="right"/>
    </xf>
    <xf numFmtId="3" fontId="30" fillId="0" borderId="0" xfId="0" applyNumberFormat="1" applyFont="1" applyAlignment="1">
      <alignment horizontal="right"/>
    </xf>
    <xf numFmtId="2" fontId="30" fillId="0" borderId="0" xfId="0" applyNumberFormat="1" applyFont="1" applyAlignment="1">
      <alignment/>
    </xf>
    <xf numFmtId="4" fontId="30" fillId="0" borderId="0" xfId="0" applyNumberFormat="1" applyFont="1" applyAlignment="1">
      <alignment horizontal="right"/>
    </xf>
    <xf numFmtId="0" fontId="39" fillId="0" borderId="0" xfId="0" applyFont="1" applyFill="1" applyAlignment="1">
      <alignment/>
    </xf>
    <xf numFmtId="0" fontId="40" fillId="0" borderId="0" xfId="0" applyFont="1" applyAlignment="1">
      <alignment/>
    </xf>
    <xf numFmtId="0" fontId="28" fillId="33" borderId="10" xfId="0" applyFont="1" applyFill="1" applyBorder="1" applyAlignment="1">
      <alignment horizontal="right" vertical="center"/>
    </xf>
    <xf numFmtId="3" fontId="28" fillId="33" borderId="10" xfId="0" applyNumberFormat="1" applyFont="1" applyFill="1" applyBorder="1" applyAlignment="1">
      <alignment horizontal="right" vertical="center"/>
    </xf>
    <xf numFmtId="0" fontId="18" fillId="0" borderId="0" xfId="0" applyFont="1" applyAlignment="1">
      <alignment horizontal="right" vertical="center"/>
    </xf>
    <xf numFmtId="0" fontId="18" fillId="0" borderId="11" xfId="0" applyFont="1" applyBorder="1" applyAlignment="1">
      <alignment horizontal="right" vertical="center"/>
    </xf>
    <xf numFmtId="0" fontId="17" fillId="0" borderId="11" xfId="0" applyFont="1" applyFill="1" applyBorder="1" applyAlignment="1" applyProtection="1">
      <alignment horizontal="left" vertical="center"/>
      <protection locked="0"/>
    </xf>
    <xf numFmtId="0" fontId="17" fillId="0" borderId="11" xfId="0" applyFont="1" applyFill="1" applyBorder="1" applyAlignment="1">
      <alignment horizontal="left" vertical="center"/>
    </xf>
    <xf numFmtId="0" fontId="17" fillId="0" borderId="11" xfId="0" applyFont="1" applyFill="1" applyBorder="1" applyAlignment="1">
      <alignment horizontal="left"/>
    </xf>
    <xf numFmtId="0" fontId="17" fillId="0" borderId="12" xfId="0" applyFont="1" applyFill="1" applyBorder="1" applyAlignment="1" applyProtection="1">
      <alignment horizontal="left" vertical="center"/>
      <protection locked="0"/>
    </xf>
    <xf numFmtId="0" fontId="17" fillId="0" borderId="12" xfId="0" applyFont="1" applyFill="1" applyBorder="1" applyAlignment="1">
      <alignment horizontal="left" vertical="center"/>
    </xf>
    <xf numFmtId="0" fontId="17" fillId="0" borderId="12" xfId="0" applyFont="1" applyFill="1" applyBorder="1" applyAlignment="1">
      <alignment horizontal="left"/>
    </xf>
    <xf numFmtId="200" fontId="19" fillId="0" borderId="0" xfId="0" applyNumberFormat="1" applyFont="1" applyAlignment="1">
      <alignment horizontal="right" vertical="center"/>
    </xf>
    <xf numFmtId="193" fontId="19" fillId="0" borderId="0" xfId="0" applyNumberFormat="1" applyFont="1" applyAlignment="1">
      <alignment horizontal="right" vertical="center"/>
    </xf>
    <xf numFmtId="0" fontId="27" fillId="0" borderId="11" xfId="0" applyFont="1" applyFill="1" applyBorder="1" applyAlignment="1" applyProtection="1">
      <alignment vertical="center"/>
      <protection locked="0"/>
    </xf>
    <xf numFmtId="184"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left" vertical="center"/>
      <protection locked="0"/>
    </xf>
    <xf numFmtId="0" fontId="18" fillId="0" borderId="11" xfId="0" applyNumberFormat="1" applyFont="1" applyFill="1" applyBorder="1" applyAlignment="1" applyProtection="1">
      <alignment horizontal="right" vertical="center"/>
      <protection locked="0"/>
    </xf>
    <xf numFmtId="200" fontId="22" fillId="0" borderId="11" xfId="0" applyNumberFormat="1" applyFont="1" applyFill="1" applyBorder="1" applyAlignment="1" applyProtection="1">
      <alignment horizontal="right" vertical="center"/>
      <protection locked="0"/>
    </xf>
    <xf numFmtId="193" fontId="19" fillId="0" borderId="11" xfId="0" applyNumberFormat="1" applyFont="1" applyFill="1" applyBorder="1" applyAlignment="1" applyProtection="1">
      <alignment horizontal="right" vertical="center"/>
      <protection locked="0"/>
    </xf>
    <xf numFmtId="193" fontId="29" fillId="0" borderId="11" xfId="0" applyNumberFormat="1" applyFont="1" applyFill="1" applyBorder="1" applyAlignment="1" applyProtection="1">
      <alignment horizontal="right" vertical="center"/>
      <protection locked="0"/>
    </xf>
    <xf numFmtId="192" fontId="30" fillId="0" borderId="11" xfId="0" applyNumberFormat="1" applyFont="1" applyFill="1" applyBorder="1" applyAlignment="1" applyProtection="1">
      <alignment horizontal="right" vertical="center"/>
      <protection locked="0"/>
    </xf>
    <xf numFmtId="200" fontId="30" fillId="0" borderId="11" xfId="40" applyNumberFormat="1" applyFont="1" applyFill="1" applyBorder="1" applyAlignment="1" applyProtection="1">
      <alignment horizontal="right" vertical="center"/>
      <protection/>
    </xf>
    <xf numFmtId="193" fontId="30" fillId="0" borderId="11" xfId="0" applyNumberFormat="1" applyFont="1" applyFill="1" applyBorder="1" applyAlignment="1" applyProtection="1">
      <alignment horizontal="right" vertical="center"/>
      <protection locked="0"/>
    </xf>
    <xf numFmtId="0" fontId="26" fillId="0" borderId="11" xfId="0" applyFont="1" applyBorder="1" applyAlignment="1">
      <alignment/>
    </xf>
    <xf numFmtId="184" fontId="0" fillId="0" borderId="11" xfId="0" applyNumberFormat="1" applyBorder="1" applyAlignment="1">
      <alignment horizontal="center"/>
    </xf>
    <xf numFmtId="0" fontId="0" fillId="0" borderId="11" xfId="0" applyBorder="1" applyAlignment="1">
      <alignment horizontal="left"/>
    </xf>
    <xf numFmtId="0" fontId="18" fillId="0" borderId="11" xfId="0" applyFont="1" applyBorder="1" applyAlignment="1">
      <alignment horizontal="right"/>
    </xf>
    <xf numFmtId="0" fontId="19" fillId="0" borderId="11" xfId="0" applyFont="1" applyBorder="1" applyAlignment="1">
      <alignment horizontal="right" vertical="center"/>
    </xf>
    <xf numFmtId="187" fontId="19" fillId="0" borderId="11" xfId="0" applyNumberFormat="1" applyFont="1" applyFill="1" applyBorder="1" applyAlignment="1" applyProtection="1">
      <alignment horizontal="right" vertical="center"/>
      <protection locked="0"/>
    </xf>
    <xf numFmtId="0" fontId="26" fillId="0" borderId="11" xfId="0" applyFont="1" applyBorder="1" applyAlignment="1">
      <alignment vertical="center" readingOrder="1"/>
    </xf>
    <xf numFmtId="184" fontId="0" fillId="0" borderId="11" xfId="0" applyNumberFormat="1" applyBorder="1" applyAlignment="1">
      <alignment horizontal="center" vertical="center"/>
    </xf>
    <xf numFmtId="0" fontId="0" fillId="0" borderId="11" xfId="0" applyBorder="1" applyAlignment="1">
      <alignment horizontal="left" vertical="center"/>
    </xf>
    <xf numFmtId="200" fontId="16" fillId="0" borderId="11" xfId="0" applyNumberFormat="1" applyFont="1" applyBorder="1" applyAlignment="1">
      <alignment horizontal="right" vertical="center"/>
    </xf>
    <xf numFmtId="193" fontId="16" fillId="0" borderId="11" xfId="0" applyNumberFormat="1" applyFont="1" applyBorder="1" applyAlignment="1">
      <alignment horizontal="right" vertical="center"/>
    </xf>
    <xf numFmtId="193" fontId="29" fillId="0" borderId="11" xfId="0" applyNumberFormat="1" applyFont="1" applyBorder="1" applyAlignment="1">
      <alignment horizontal="right" vertical="center"/>
    </xf>
    <xf numFmtId="192" fontId="30" fillId="0" borderId="11" xfId="0" applyNumberFormat="1" applyFont="1" applyBorder="1" applyAlignment="1">
      <alignment horizontal="right" vertical="center"/>
    </xf>
    <xf numFmtId="200" fontId="30" fillId="0" borderId="11" xfId="0" applyNumberFormat="1" applyFont="1" applyBorder="1" applyAlignment="1">
      <alignment horizontal="right" vertical="center"/>
    </xf>
    <xf numFmtId="193" fontId="30" fillId="0" borderId="11" xfId="0" applyNumberFormat="1" applyFont="1" applyBorder="1" applyAlignment="1">
      <alignment horizontal="right" vertical="center"/>
    </xf>
    <xf numFmtId="200" fontId="20" fillId="0" borderId="11" xfId="0" applyNumberFormat="1" applyFont="1" applyFill="1" applyBorder="1" applyAlignment="1" applyProtection="1">
      <alignment horizontal="right" vertical="center"/>
      <protection locked="0"/>
    </xf>
    <xf numFmtId="193" fontId="23" fillId="0" borderId="11" xfId="0" applyNumberFormat="1" applyFont="1" applyFill="1" applyBorder="1" applyAlignment="1" applyProtection="1">
      <alignment horizontal="right" vertical="center"/>
      <protection locked="0"/>
    </xf>
    <xf numFmtId="200" fontId="30" fillId="0" borderId="11" xfId="0" applyNumberFormat="1" applyFont="1" applyFill="1" applyBorder="1" applyAlignment="1" applyProtection="1">
      <alignment horizontal="right" vertical="center"/>
      <protection locked="0"/>
    </xf>
    <xf numFmtId="0" fontId="25" fillId="0" borderId="11" xfId="0" applyFont="1" applyFill="1" applyBorder="1" applyAlignment="1" applyProtection="1">
      <alignment vertical="center"/>
      <protection locked="0"/>
    </xf>
    <xf numFmtId="184" fontId="5" fillId="0" borderId="11"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left" vertical="center"/>
      <protection locked="0"/>
    </xf>
    <xf numFmtId="43" fontId="25" fillId="0" borderId="13" xfId="40" applyFont="1" applyFill="1" applyBorder="1" applyAlignment="1" applyProtection="1">
      <alignment vertical="center"/>
      <protection/>
    </xf>
    <xf numFmtId="184" fontId="3" fillId="0" borderId="13" xfId="0" applyNumberFormat="1"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xf>
    <xf numFmtId="0" fontId="18" fillId="0" borderId="13" xfId="0" applyNumberFormat="1" applyFont="1" applyFill="1" applyBorder="1" applyAlignment="1" applyProtection="1">
      <alignment horizontal="right" vertical="center"/>
      <protection/>
    </xf>
    <xf numFmtId="200" fontId="20" fillId="0" borderId="13" xfId="0" applyNumberFormat="1" applyFont="1" applyFill="1" applyBorder="1" applyAlignment="1" applyProtection="1">
      <alignment horizontal="right" vertical="center"/>
      <protection/>
    </xf>
    <xf numFmtId="193" fontId="23" fillId="0" borderId="13" xfId="0" applyNumberFormat="1" applyFont="1" applyFill="1" applyBorder="1" applyAlignment="1" applyProtection="1">
      <alignment horizontal="right" vertical="center"/>
      <protection/>
    </xf>
    <xf numFmtId="193" fontId="29" fillId="0" borderId="13" xfId="0" applyNumberFormat="1" applyFont="1" applyFill="1" applyBorder="1" applyAlignment="1" applyProtection="1">
      <alignment horizontal="right" vertical="center"/>
      <protection/>
    </xf>
    <xf numFmtId="192" fontId="30" fillId="0" borderId="13" xfId="0" applyNumberFormat="1" applyFont="1" applyFill="1" applyBorder="1" applyAlignment="1" applyProtection="1">
      <alignment horizontal="right" vertical="center"/>
      <protection/>
    </xf>
    <xf numFmtId="200" fontId="30" fillId="0" borderId="13" xfId="0" applyNumberFormat="1" applyFont="1" applyFill="1" applyBorder="1" applyAlignment="1" applyProtection="1">
      <alignment horizontal="right" vertical="center"/>
      <protection/>
    </xf>
    <xf numFmtId="193" fontId="30" fillId="0" borderId="13" xfId="0" applyNumberFormat="1" applyFont="1" applyFill="1" applyBorder="1" applyAlignment="1" applyProtection="1">
      <alignment horizontal="right" vertical="center"/>
      <protection/>
    </xf>
    <xf numFmtId="192" fontId="30" fillId="0" borderId="14" xfId="0" applyNumberFormat="1" applyFont="1" applyFill="1" applyBorder="1" applyAlignment="1" applyProtection="1">
      <alignment horizontal="right" vertical="center"/>
      <protection/>
    </xf>
    <xf numFmtId="192" fontId="32" fillId="33" borderId="15" xfId="0" applyNumberFormat="1" applyFont="1" applyFill="1" applyBorder="1" applyAlignment="1">
      <alignment horizontal="right" vertical="center"/>
    </xf>
    <xf numFmtId="192" fontId="30" fillId="0" borderId="16" xfId="0" applyNumberFormat="1" applyFont="1" applyFill="1" applyBorder="1" applyAlignment="1" applyProtection="1">
      <alignment horizontal="right" vertical="center"/>
      <protection locked="0"/>
    </xf>
    <xf numFmtId="192" fontId="30" fillId="0" borderId="16" xfId="0" applyNumberFormat="1" applyFont="1" applyBorder="1" applyAlignment="1">
      <alignment horizontal="right" vertical="center"/>
    </xf>
    <xf numFmtId="2" fontId="30" fillId="0" borderId="0" xfId="0" applyNumberFormat="1" applyFont="1" applyAlignment="1">
      <alignment/>
    </xf>
    <xf numFmtId="0" fontId="44" fillId="0" borderId="0" xfId="0" applyFont="1" applyFill="1" applyBorder="1" applyAlignment="1" applyProtection="1">
      <alignment vertical="center"/>
      <protection locked="0"/>
    </xf>
    <xf numFmtId="0" fontId="45" fillId="0" borderId="0" xfId="0" applyFont="1" applyFill="1" applyBorder="1" applyAlignment="1" applyProtection="1">
      <alignment vertical="center"/>
      <protection locked="0"/>
    </xf>
    <xf numFmtId="0" fontId="43"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46" fillId="0" borderId="0" xfId="0" applyFont="1" applyFill="1" applyBorder="1" applyAlignment="1" applyProtection="1">
      <alignment vertical="center"/>
      <protection locked="0"/>
    </xf>
    <xf numFmtId="0" fontId="17" fillId="0" borderId="11" xfId="0" applyFont="1" applyFill="1" applyBorder="1" applyAlignment="1" applyProtection="1">
      <alignment vertical="center"/>
      <protection locked="0"/>
    </xf>
    <xf numFmtId="0" fontId="17" fillId="0" borderId="11" xfId="0" applyFont="1" applyBorder="1" applyAlignment="1">
      <alignment/>
    </xf>
    <xf numFmtId="0" fontId="17" fillId="0" borderId="11" xfId="0" applyFont="1" applyFill="1" applyBorder="1" applyAlignment="1">
      <alignment vertical="center"/>
    </xf>
    <xf numFmtId="0" fontId="17" fillId="0" borderId="12" xfId="0" applyFont="1" applyFill="1" applyBorder="1" applyAlignment="1" applyProtection="1">
      <alignment vertical="center"/>
      <protection locked="0"/>
    </xf>
    <xf numFmtId="0" fontId="17" fillId="0" borderId="12" xfId="0" applyFont="1" applyFill="1" applyBorder="1" applyAlignment="1">
      <alignment vertical="center"/>
    </xf>
    <xf numFmtId="0" fontId="17" fillId="0" borderId="12" xfId="0" applyFont="1" applyBorder="1" applyAlignment="1">
      <alignment/>
    </xf>
    <xf numFmtId="0" fontId="0" fillId="0" borderId="11" xfId="0" applyBorder="1" applyAlignment="1">
      <alignment/>
    </xf>
    <xf numFmtId="0" fontId="15" fillId="0" borderId="11" xfId="0" applyFont="1" applyBorder="1" applyAlignment="1">
      <alignment vertical="center"/>
    </xf>
    <xf numFmtId="3" fontId="38" fillId="0" borderId="11" xfId="0" applyNumberFormat="1" applyFont="1" applyFill="1" applyBorder="1" applyAlignment="1">
      <alignment vertical="center"/>
    </xf>
    <xf numFmtId="4" fontId="38" fillId="0" borderId="11" xfId="0" applyNumberFormat="1" applyFont="1" applyFill="1" applyBorder="1" applyAlignment="1">
      <alignment vertical="center"/>
    </xf>
    <xf numFmtId="0" fontId="38" fillId="0" borderId="11" xfId="0" applyFont="1" applyBorder="1" applyAlignment="1">
      <alignment vertical="center"/>
    </xf>
    <xf numFmtId="3" fontId="15" fillId="0" borderId="11" xfId="0" applyNumberFormat="1" applyFont="1" applyBorder="1" applyAlignment="1">
      <alignment vertical="center"/>
    </xf>
    <xf numFmtId="4" fontId="15" fillId="0" borderId="11" xfId="0" applyNumberFormat="1" applyFont="1" applyBorder="1" applyAlignment="1">
      <alignment vertical="center"/>
    </xf>
    <xf numFmtId="0" fontId="15" fillId="0" borderId="11" xfId="0" applyFont="1" applyBorder="1" applyAlignment="1">
      <alignment/>
    </xf>
    <xf numFmtId="4" fontId="0" fillId="0" borderId="11" xfId="0" applyNumberFormat="1" applyBorder="1" applyAlignment="1">
      <alignment vertical="center"/>
    </xf>
    <xf numFmtId="3" fontId="0" fillId="0" borderId="11" xfId="0" applyNumberFormat="1" applyBorder="1" applyAlignment="1">
      <alignment vertical="center"/>
    </xf>
    <xf numFmtId="0" fontId="0" fillId="0" borderId="11" xfId="0" applyBorder="1" applyAlignment="1">
      <alignment vertical="center"/>
    </xf>
    <xf numFmtId="0" fontId="12" fillId="0" borderId="11" xfId="0" applyFont="1" applyBorder="1" applyAlignment="1">
      <alignment horizontal="center" vertical="center"/>
    </xf>
    <xf numFmtId="193" fontId="16" fillId="0" borderId="11" xfId="0" applyNumberFormat="1" applyFont="1" applyBorder="1" applyAlignment="1">
      <alignment horizontal="right" vertical="center" indent="1"/>
    </xf>
    <xf numFmtId="192" fontId="17" fillId="0" borderId="11" xfId="0" applyNumberFormat="1" applyFont="1" applyBorder="1" applyAlignment="1">
      <alignment horizontal="right" vertical="center" indent="1"/>
    </xf>
    <xf numFmtId="0" fontId="40" fillId="0" borderId="17" xfId="0" applyFont="1" applyBorder="1" applyAlignment="1">
      <alignment horizontal="right" vertical="center"/>
    </xf>
    <xf numFmtId="0" fontId="40" fillId="0" borderId="11" xfId="0" applyFont="1" applyBorder="1" applyAlignment="1">
      <alignment horizontal="right" vertical="center"/>
    </xf>
    <xf numFmtId="0" fontId="15" fillId="0" borderId="18" xfId="0" applyFont="1" applyFill="1" applyBorder="1" applyAlignment="1">
      <alignment vertical="center"/>
    </xf>
    <xf numFmtId="0" fontId="15" fillId="0" borderId="18" xfId="0" applyFont="1" applyFill="1" applyBorder="1" applyAlignment="1">
      <alignment horizontal="center" vertical="center"/>
    </xf>
    <xf numFmtId="200" fontId="14" fillId="0" borderId="18" xfId="0" applyNumberFormat="1" applyFont="1" applyFill="1" applyBorder="1" applyAlignment="1">
      <alignment horizontal="right" vertical="center"/>
    </xf>
    <xf numFmtId="193" fontId="14" fillId="0" borderId="18" xfId="0" applyNumberFormat="1" applyFont="1" applyFill="1" applyBorder="1" applyAlignment="1">
      <alignment horizontal="right" vertical="center" indent="1"/>
    </xf>
    <xf numFmtId="192" fontId="15" fillId="0" borderId="19" xfId="0" applyNumberFormat="1" applyFont="1" applyFill="1" applyBorder="1" applyAlignment="1">
      <alignment horizontal="right" vertical="center" indent="1"/>
    </xf>
    <xf numFmtId="3" fontId="0" fillId="0" borderId="12" xfId="0" applyNumberFormat="1" applyBorder="1" applyAlignment="1">
      <alignment vertical="center"/>
    </xf>
    <xf numFmtId="0" fontId="16" fillId="0" borderId="0" xfId="0" applyFont="1" applyFill="1" applyBorder="1" applyAlignment="1">
      <alignment horizontal="right" vertical="center"/>
    </xf>
    <xf numFmtId="1" fontId="49" fillId="0" borderId="20" xfId="0" applyNumberFormat="1" applyFont="1" applyFill="1" applyBorder="1" applyAlignment="1" applyProtection="1">
      <alignment horizontal="center" wrapText="1"/>
      <protection/>
    </xf>
    <xf numFmtId="0" fontId="51" fillId="0" borderId="0" xfId="0" applyFont="1" applyFill="1" applyBorder="1" applyAlignment="1" applyProtection="1">
      <alignment horizontal="center" wrapText="1"/>
      <protection locked="0"/>
    </xf>
    <xf numFmtId="0" fontId="49" fillId="0" borderId="0" xfId="0" applyFont="1" applyFill="1" applyBorder="1" applyAlignment="1" applyProtection="1">
      <alignment horizontal="center" wrapText="1"/>
      <protection locked="0"/>
    </xf>
    <xf numFmtId="1" fontId="51" fillId="0" borderId="21" xfId="0" applyNumberFormat="1" applyFont="1" applyFill="1" applyBorder="1" applyAlignment="1" applyProtection="1">
      <alignment horizontal="center" wrapText="1"/>
      <protection/>
    </xf>
    <xf numFmtId="200" fontId="49" fillId="0" borderId="22" xfId="0" applyNumberFormat="1" applyFont="1" applyFill="1" applyBorder="1" applyAlignment="1" applyProtection="1">
      <alignment horizontal="center" wrapText="1"/>
      <protection/>
    </xf>
    <xf numFmtId="193" fontId="49" fillId="0" borderId="22" xfId="0" applyNumberFormat="1" applyFont="1" applyFill="1" applyBorder="1" applyAlignment="1" applyProtection="1">
      <alignment horizontal="center" wrapText="1"/>
      <protection/>
    </xf>
    <xf numFmtId="192" fontId="49" fillId="0" borderId="22" xfId="0" applyNumberFormat="1" applyFont="1" applyFill="1" applyBorder="1" applyAlignment="1" applyProtection="1">
      <alignment horizontal="center" wrapText="1"/>
      <protection/>
    </xf>
    <xf numFmtId="192" fontId="49" fillId="0" borderId="23" xfId="0" applyNumberFormat="1" applyFont="1" applyFill="1" applyBorder="1" applyAlignment="1" applyProtection="1">
      <alignment horizontal="center" wrapText="1"/>
      <protection/>
    </xf>
    <xf numFmtId="1" fontId="29" fillId="0" borderId="24" xfId="0" applyNumberFormat="1" applyFont="1" applyFill="1" applyBorder="1" applyAlignment="1" applyProtection="1">
      <alignment horizontal="right" vertical="center"/>
      <protection/>
    </xf>
    <xf numFmtId="0" fontId="29" fillId="0" borderId="21" xfId="0" applyFont="1" applyBorder="1" applyAlignment="1" applyProtection="1">
      <alignment vertical="center"/>
      <protection locked="0"/>
    </xf>
    <xf numFmtId="0" fontId="29" fillId="0" borderId="25" xfId="0" applyFont="1" applyFill="1" applyBorder="1" applyAlignment="1" applyProtection="1">
      <alignment vertical="center"/>
      <protection locked="0"/>
    </xf>
    <xf numFmtId="0" fontId="29" fillId="0" borderId="26" xfId="0" applyFont="1" applyBorder="1" applyAlignment="1" applyProtection="1">
      <alignment vertical="center"/>
      <protection locked="0"/>
    </xf>
    <xf numFmtId="1" fontId="29" fillId="0" borderId="11" xfId="0" applyNumberFormat="1" applyFont="1" applyFill="1" applyBorder="1" applyAlignment="1" applyProtection="1">
      <alignment horizontal="right" vertical="center"/>
      <protection locked="0"/>
    </xf>
    <xf numFmtId="0" fontId="51" fillId="0" borderId="0" xfId="0" applyFont="1" applyFill="1" applyBorder="1" applyAlignment="1" applyProtection="1">
      <alignment horizontal="center" vertical="center" wrapText="1"/>
      <protection locked="0"/>
    </xf>
    <xf numFmtId="0" fontId="49" fillId="0" borderId="0" xfId="0" applyFont="1" applyFill="1" applyBorder="1" applyAlignment="1" applyProtection="1">
      <alignment horizontal="center" vertical="center" wrapText="1"/>
      <protection locked="0"/>
    </xf>
    <xf numFmtId="0" fontId="16" fillId="0" borderId="27" xfId="0" applyFont="1" applyFill="1" applyBorder="1" applyAlignment="1">
      <alignment horizontal="right" vertical="center"/>
    </xf>
    <xf numFmtId="0" fontId="52" fillId="0" borderId="20" xfId="0" applyFont="1" applyFill="1" applyBorder="1" applyAlignment="1">
      <alignment horizontal="center" vertical="center"/>
    </xf>
    <xf numFmtId="3" fontId="49" fillId="0" borderId="12" xfId="0" applyNumberFormat="1" applyFont="1" applyFill="1" applyBorder="1" applyAlignment="1">
      <alignment horizontal="center" vertical="center"/>
    </xf>
    <xf numFmtId="4" fontId="49" fillId="0" borderId="11" xfId="0" applyNumberFormat="1" applyFont="1" applyFill="1" applyBorder="1" applyAlignment="1">
      <alignment horizontal="center" vertical="center"/>
    </xf>
    <xf numFmtId="3" fontId="49" fillId="0" borderId="11" xfId="0" applyNumberFormat="1" applyFont="1" applyFill="1" applyBorder="1" applyAlignment="1">
      <alignment horizontal="center" vertical="center"/>
    </xf>
    <xf numFmtId="0" fontId="49" fillId="0" borderId="11" xfId="0" applyFont="1" applyFill="1" applyBorder="1" applyAlignment="1">
      <alignment horizontal="center" vertical="center"/>
    </xf>
    <xf numFmtId="0" fontId="53" fillId="0" borderId="28" xfId="0" applyFont="1" applyFill="1" applyBorder="1" applyAlignment="1">
      <alignment horizontal="center" vertical="center"/>
    </xf>
    <xf numFmtId="4" fontId="51" fillId="0" borderId="0" xfId="0" applyNumberFormat="1" applyFont="1" applyFill="1" applyBorder="1" applyAlignment="1">
      <alignment horizontal="center" vertical="center"/>
    </xf>
    <xf numFmtId="0" fontId="31" fillId="0" borderId="29" xfId="0" applyFont="1" applyFill="1" applyBorder="1" applyAlignment="1">
      <alignment horizontal="right"/>
    </xf>
    <xf numFmtId="0" fontId="51" fillId="0" borderId="29" xfId="0" applyFont="1" applyFill="1" applyBorder="1" applyAlignment="1" applyProtection="1">
      <alignment horizontal="center" vertical="center" wrapText="1"/>
      <protection locked="0"/>
    </xf>
    <xf numFmtId="0" fontId="32" fillId="0" borderId="29" xfId="0" applyFont="1" applyFill="1" applyBorder="1" applyAlignment="1">
      <alignment horizontal="right"/>
    </xf>
    <xf numFmtId="200" fontId="49" fillId="0" borderId="30" xfId="0" applyNumberFormat="1" applyFont="1" applyFill="1" applyBorder="1" applyAlignment="1" applyProtection="1">
      <alignment horizontal="center" vertical="center" wrapText="1"/>
      <protection/>
    </xf>
    <xf numFmtId="193" fontId="49" fillId="0" borderId="30" xfId="0" applyNumberFormat="1" applyFont="1" applyFill="1" applyBorder="1" applyAlignment="1" applyProtection="1">
      <alignment horizontal="center" vertical="center" wrapText="1"/>
      <protection/>
    </xf>
    <xf numFmtId="4" fontId="37" fillId="0" borderId="11" xfId="0" applyNumberFormat="1" applyFont="1" applyFill="1" applyBorder="1" applyAlignment="1">
      <alignment horizontal="center" vertical="center"/>
    </xf>
    <xf numFmtId="4" fontId="24" fillId="0" borderId="31" xfId="0" applyNumberFormat="1" applyFont="1" applyFill="1" applyBorder="1" applyAlignment="1">
      <alignment horizontal="center" vertical="center"/>
    </xf>
    <xf numFmtId="4" fontId="10" fillId="0" borderId="11" xfId="0" applyNumberFormat="1" applyFont="1" applyFill="1" applyBorder="1" applyAlignment="1">
      <alignment horizontal="center" vertical="center"/>
    </xf>
    <xf numFmtId="4" fontId="49" fillId="0" borderId="32" xfId="0" applyNumberFormat="1" applyFont="1" applyFill="1" applyBorder="1" applyAlignment="1" applyProtection="1">
      <alignment horizontal="center" wrapText="1"/>
      <protection/>
    </xf>
    <xf numFmtId="3" fontId="49" fillId="0" borderId="32" xfId="0" applyNumberFormat="1" applyFont="1" applyFill="1" applyBorder="1" applyAlignment="1" applyProtection="1">
      <alignment horizontal="center" wrapText="1"/>
      <protection/>
    </xf>
    <xf numFmtId="2" fontId="49" fillId="0" borderId="32" xfId="0" applyNumberFormat="1" applyFont="1" applyFill="1" applyBorder="1" applyAlignment="1" applyProtection="1">
      <alignment horizontal="center" wrapText="1"/>
      <protection/>
    </xf>
    <xf numFmtId="2" fontId="49" fillId="0" borderId="33" xfId="0" applyNumberFormat="1" applyFont="1" applyFill="1" applyBorder="1" applyAlignment="1" applyProtection="1">
      <alignment horizontal="center" wrapText="1"/>
      <protection/>
    </xf>
    <xf numFmtId="0" fontId="0" fillId="0" borderId="10" xfId="0" applyBorder="1" applyAlignment="1">
      <alignment vertical="center"/>
    </xf>
    <xf numFmtId="0" fontId="12" fillId="0" borderId="10" xfId="0" applyFont="1" applyBorder="1" applyAlignment="1">
      <alignment horizontal="center" vertical="center"/>
    </xf>
    <xf numFmtId="200" fontId="16" fillId="0" borderId="10" xfId="0" applyNumberFormat="1" applyFont="1" applyBorder="1" applyAlignment="1">
      <alignment horizontal="right" vertical="center"/>
    </xf>
    <xf numFmtId="193" fontId="16" fillId="0" borderId="10" xfId="0" applyNumberFormat="1" applyFont="1" applyBorder="1" applyAlignment="1">
      <alignment horizontal="right" vertical="center" indent="1"/>
    </xf>
    <xf numFmtId="192" fontId="17" fillId="0" borderId="10" xfId="0" applyNumberFormat="1" applyFont="1" applyBorder="1" applyAlignment="1">
      <alignment horizontal="right" vertical="center" indent="1"/>
    </xf>
    <xf numFmtId="3" fontId="0" fillId="0" borderId="31" xfId="0" applyNumberFormat="1" applyBorder="1" applyAlignment="1">
      <alignment vertical="center"/>
    </xf>
    <xf numFmtId="4" fontId="0" fillId="0" borderId="34" xfId="0" applyNumberFormat="1" applyBorder="1" applyAlignment="1">
      <alignment vertical="center"/>
    </xf>
    <xf numFmtId="3" fontId="0" fillId="0" borderId="34" xfId="0" applyNumberFormat="1" applyBorder="1" applyAlignment="1">
      <alignment vertical="center"/>
    </xf>
    <xf numFmtId="0" fontId="0" fillId="0" borderId="34" xfId="0" applyBorder="1" applyAlignment="1">
      <alignment/>
    </xf>
    <xf numFmtId="0" fontId="0" fillId="0" borderId="34" xfId="0" applyBorder="1" applyAlignment="1">
      <alignment vertical="center"/>
    </xf>
    <xf numFmtId="3" fontId="0" fillId="0" borderId="10" xfId="0" applyNumberFormat="1" applyBorder="1" applyAlignment="1">
      <alignment vertical="center"/>
    </xf>
    <xf numFmtId="4" fontId="0" fillId="0" borderId="10" xfId="0" applyNumberFormat="1" applyBorder="1" applyAlignment="1">
      <alignment vertical="center"/>
    </xf>
    <xf numFmtId="0" fontId="0" fillId="0" borderId="10" xfId="0" applyBorder="1" applyAlignment="1">
      <alignment/>
    </xf>
    <xf numFmtId="0" fontId="16" fillId="0" borderId="16" xfId="0" applyFont="1" applyFill="1" applyBorder="1" applyAlignment="1">
      <alignment horizontal="right" vertical="center"/>
    </xf>
    <xf numFmtId="0" fontId="8" fillId="0" borderId="11" xfId="0" applyFont="1" applyFill="1" applyBorder="1" applyAlignment="1">
      <alignment horizontal="left" vertical="center"/>
    </xf>
    <xf numFmtId="184" fontId="8"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xf>
    <xf numFmtId="4" fontId="8" fillId="0" borderId="11" xfId="43" applyNumberFormat="1" applyFont="1" applyFill="1" applyBorder="1" applyAlignment="1" applyProtection="1">
      <alignment horizontal="right" vertical="center"/>
      <protection locked="0"/>
    </xf>
    <xf numFmtId="3" fontId="8" fillId="0" borderId="11" xfId="43" applyNumberFormat="1" applyFont="1" applyFill="1" applyBorder="1" applyAlignment="1" applyProtection="1">
      <alignment horizontal="right" vertical="center"/>
      <protection locked="0"/>
    </xf>
    <xf numFmtId="3" fontId="8" fillId="0" borderId="11" xfId="43" applyNumberFormat="1" applyFont="1" applyFill="1" applyBorder="1" applyAlignment="1" applyProtection="1">
      <alignment horizontal="right" vertical="center"/>
      <protection/>
    </xf>
    <xf numFmtId="2" fontId="8" fillId="0" borderId="11" xfId="43" applyNumberFormat="1" applyFont="1" applyFill="1" applyBorder="1" applyAlignment="1" applyProtection="1">
      <alignment horizontal="right" vertical="center"/>
      <protection/>
    </xf>
    <xf numFmtId="0" fontId="8" fillId="0" borderId="11" xfId="0" applyFont="1" applyFill="1" applyBorder="1" applyAlignment="1">
      <alignment horizontal="left" vertical="center"/>
    </xf>
    <xf numFmtId="14" fontId="8" fillId="0" borderId="11" xfId="0" applyNumberFormat="1" applyFont="1" applyFill="1" applyBorder="1" applyAlignment="1">
      <alignment horizontal="left" vertical="center"/>
    </xf>
    <xf numFmtId="3" fontId="8" fillId="0" borderId="11" xfId="0" applyNumberFormat="1" applyFont="1" applyFill="1" applyBorder="1" applyAlignment="1">
      <alignment horizontal="right" vertical="center"/>
    </xf>
    <xf numFmtId="2" fontId="8" fillId="0" borderId="11" xfId="0" applyNumberFormat="1" applyFont="1" applyFill="1" applyBorder="1" applyAlignment="1">
      <alignment horizontal="right" vertical="center"/>
    </xf>
    <xf numFmtId="0" fontId="8" fillId="0" borderId="11" xfId="0" applyFont="1" applyFill="1" applyBorder="1" applyAlignment="1" applyProtection="1">
      <alignment horizontal="left" vertical="center"/>
      <protection locked="0"/>
    </xf>
    <xf numFmtId="184" fontId="8" fillId="0" borderId="11" xfId="0" applyNumberFormat="1"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4" fontId="8" fillId="0" borderId="11" xfId="42" applyNumberFormat="1" applyFont="1" applyFill="1" applyBorder="1" applyAlignment="1" applyProtection="1">
      <alignment horizontal="right" vertical="center"/>
      <protection locked="0"/>
    </xf>
    <xf numFmtId="3" fontId="8" fillId="0" borderId="11" xfId="42" applyNumberFormat="1" applyFont="1" applyFill="1" applyBorder="1" applyAlignment="1" applyProtection="1">
      <alignment horizontal="right" vertical="center"/>
      <protection locked="0"/>
    </xf>
    <xf numFmtId="3" fontId="8" fillId="0" borderId="11" xfId="42" applyNumberFormat="1" applyFont="1" applyFill="1" applyBorder="1" applyAlignment="1" applyProtection="1">
      <alignment horizontal="right" vertical="center"/>
      <protection/>
    </xf>
    <xf numFmtId="2" fontId="8" fillId="0" borderId="11" xfId="42" applyNumberFormat="1" applyFont="1" applyFill="1" applyBorder="1" applyAlignment="1" applyProtection="1">
      <alignment horizontal="right" vertical="center"/>
      <protection/>
    </xf>
    <xf numFmtId="49" fontId="8" fillId="0" borderId="11" xfId="0" applyNumberFormat="1" applyFont="1" applyFill="1" applyBorder="1" applyAlignment="1" applyProtection="1">
      <alignment horizontal="left" vertical="center"/>
      <protection locked="0"/>
    </xf>
    <xf numFmtId="0" fontId="8" fillId="0" borderId="11" xfId="0" applyNumberFormat="1" applyFont="1" applyFill="1" applyBorder="1" applyAlignment="1" applyProtection="1">
      <alignment horizontal="center" vertical="center"/>
      <protection locked="0"/>
    </xf>
    <xf numFmtId="4" fontId="8" fillId="0" borderId="11" xfId="40" applyNumberFormat="1" applyFont="1" applyFill="1" applyBorder="1" applyAlignment="1" applyProtection="1">
      <alignment horizontal="right" vertical="center"/>
      <protection locked="0"/>
    </xf>
    <xf numFmtId="3" fontId="8" fillId="0" borderId="11" xfId="40" applyNumberFormat="1" applyFont="1" applyFill="1" applyBorder="1" applyAlignment="1" applyProtection="1">
      <alignment horizontal="right" vertical="center"/>
      <protection locked="0"/>
    </xf>
    <xf numFmtId="3" fontId="8" fillId="0" borderId="11" xfId="67" applyNumberFormat="1" applyFont="1" applyFill="1" applyBorder="1" applyAlignment="1" applyProtection="1">
      <alignment horizontal="right" vertical="center"/>
      <protection/>
    </xf>
    <xf numFmtId="2" fontId="8" fillId="0" borderId="11" xfId="67" applyNumberFormat="1" applyFont="1" applyFill="1" applyBorder="1" applyAlignment="1" applyProtection="1">
      <alignment horizontal="right" vertical="center"/>
      <protection/>
    </xf>
    <xf numFmtId="184" fontId="8"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xf>
    <xf numFmtId="4" fontId="8" fillId="0" borderId="11" xfId="40" applyNumberFormat="1" applyFont="1" applyFill="1" applyBorder="1" applyAlignment="1" applyProtection="1">
      <alignment horizontal="right" vertical="center"/>
      <protection/>
    </xf>
    <xf numFmtId="0" fontId="8" fillId="0" borderId="35" xfId="0" applyFont="1" applyFill="1" applyBorder="1" applyAlignment="1">
      <alignment horizontal="left" vertical="center"/>
    </xf>
    <xf numFmtId="2" fontId="8" fillId="0" borderId="36" xfId="0" applyNumberFormat="1" applyFont="1" applyFill="1" applyBorder="1" applyAlignment="1">
      <alignment horizontal="right" vertical="center"/>
    </xf>
    <xf numFmtId="2" fontId="8" fillId="0" borderId="36" xfId="43" applyNumberFormat="1" applyFont="1" applyFill="1" applyBorder="1" applyAlignment="1" applyProtection="1">
      <alignment horizontal="right" vertical="center"/>
      <protection/>
    </xf>
    <xf numFmtId="0" fontId="8" fillId="0" borderId="35" xfId="0" applyFont="1" applyFill="1" applyBorder="1" applyAlignment="1" applyProtection="1">
      <alignment horizontal="left" vertical="center"/>
      <protection locked="0"/>
    </xf>
    <xf numFmtId="2" fontId="8" fillId="0" borderId="36" xfId="42" applyNumberFormat="1" applyFont="1" applyFill="1" applyBorder="1" applyAlignment="1" applyProtection="1">
      <alignment horizontal="right" vertical="center"/>
      <protection/>
    </xf>
    <xf numFmtId="0" fontId="8" fillId="0" borderId="35" xfId="0" applyNumberFormat="1" applyFont="1" applyFill="1" applyBorder="1" applyAlignment="1" applyProtection="1">
      <alignment horizontal="left" vertical="center"/>
      <protection locked="0"/>
    </xf>
    <xf numFmtId="2" fontId="8" fillId="0" borderId="36" xfId="67" applyNumberFormat="1" applyFont="1" applyFill="1" applyBorder="1" applyAlignment="1" applyProtection="1">
      <alignment horizontal="right" vertical="center"/>
      <protection/>
    </xf>
    <xf numFmtId="0" fontId="9" fillId="0" borderId="12" xfId="0" applyFont="1" applyFill="1" applyBorder="1" applyAlignment="1" applyProtection="1">
      <alignment horizontal="right" vertical="center"/>
      <protection locked="0"/>
    </xf>
    <xf numFmtId="0" fontId="9" fillId="0" borderId="12" xfId="0" applyFont="1" applyFill="1" applyBorder="1" applyAlignment="1">
      <alignment horizontal="right" vertical="center"/>
    </xf>
    <xf numFmtId="4" fontId="55" fillId="0" borderId="11" xfId="42" applyNumberFormat="1" applyFont="1" applyFill="1" applyBorder="1" applyAlignment="1" applyProtection="1">
      <alignment horizontal="right" vertical="center"/>
      <protection locked="0"/>
    </xf>
    <xf numFmtId="3" fontId="55" fillId="0" borderId="11" xfId="42" applyNumberFormat="1" applyFont="1" applyFill="1" applyBorder="1" applyAlignment="1" applyProtection="1">
      <alignment horizontal="right" vertical="center"/>
      <protection locked="0"/>
    </xf>
    <xf numFmtId="4" fontId="55" fillId="0" borderId="11" xfId="43" applyNumberFormat="1" applyFont="1" applyFill="1" applyBorder="1" applyAlignment="1" applyProtection="1">
      <alignment horizontal="right" vertical="center"/>
      <protection locked="0"/>
    </xf>
    <xf numFmtId="3" fontId="55" fillId="0" borderId="11" xfId="43" applyNumberFormat="1" applyFont="1" applyFill="1" applyBorder="1" applyAlignment="1" applyProtection="1">
      <alignment horizontal="right" vertical="center"/>
      <protection locked="0"/>
    </xf>
    <xf numFmtId="4" fontId="55" fillId="0" borderId="11" xfId="0" applyNumberFormat="1" applyFont="1" applyFill="1" applyBorder="1" applyAlignment="1">
      <alignment horizontal="right" vertical="center"/>
    </xf>
    <xf numFmtId="3" fontId="55" fillId="0" borderId="11" xfId="0" applyNumberFormat="1" applyFont="1" applyFill="1" applyBorder="1" applyAlignment="1">
      <alignment horizontal="right" vertical="center"/>
    </xf>
    <xf numFmtId="4" fontId="55" fillId="0" borderId="11" xfId="0" applyNumberFormat="1" applyFont="1" applyFill="1" applyBorder="1" applyAlignment="1" applyProtection="1">
      <alignment horizontal="right" vertical="center"/>
      <protection locked="0"/>
    </xf>
    <xf numFmtId="3" fontId="55" fillId="0" borderId="11" xfId="0" applyNumberFormat="1" applyFont="1" applyFill="1" applyBorder="1" applyAlignment="1" applyProtection="1">
      <alignment horizontal="right" vertical="center"/>
      <protection locked="0"/>
    </xf>
    <xf numFmtId="4" fontId="55" fillId="0" borderId="11" xfId="40" applyNumberFormat="1" applyFont="1" applyFill="1" applyBorder="1" applyAlignment="1" applyProtection="1">
      <alignment horizontal="right" vertical="center"/>
      <protection locked="0"/>
    </xf>
    <xf numFmtId="3" fontId="55" fillId="0" borderId="11" xfId="40" applyNumberFormat="1" applyFont="1" applyFill="1" applyBorder="1" applyAlignment="1" applyProtection="1">
      <alignment horizontal="right" vertical="center"/>
      <protection locked="0"/>
    </xf>
    <xf numFmtId="4" fontId="55" fillId="0" borderId="11" xfId="40" applyNumberFormat="1" applyFont="1" applyFill="1" applyBorder="1" applyAlignment="1" applyProtection="1">
      <alignment horizontal="right" vertical="center"/>
      <protection/>
    </xf>
    <xf numFmtId="3" fontId="55" fillId="0" borderId="11" xfId="0" applyNumberFormat="1" applyFont="1" applyFill="1" applyBorder="1" applyAlignment="1">
      <alignment horizontal="right" vertical="center"/>
    </xf>
    <xf numFmtId="184" fontId="8" fillId="0" borderId="11" xfId="0" applyNumberFormat="1" applyFont="1" applyFill="1" applyBorder="1" applyAlignment="1" applyProtection="1">
      <alignment horizontal="left" vertical="center"/>
      <protection locked="0"/>
    </xf>
    <xf numFmtId="3" fontId="55" fillId="0" borderId="11" xfId="40" applyNumberFormat="1" applyFont="1" applyFill="1" applyBorder="1" applyAlignment="1" applyProtection="1">
      <alignment horizontal="right" vertical="center"/>
      <protection/>
    </xf>
    <xf numFmtId="2" fontId="8" fillId="0" borderId="36" xfId="0" applyNumberFormat="1" applyFont="1" applyFill="1" applyBorder="1" applyAlignment="1" applyProtection="1">
      <alignment horizontal="right" vertical="center"/>
      <protection locked="0"/>
    </xf>
    <xf numFmtId="2" fontId="8" fillId="0" borderId="36" xfId="40" applyNumberFormat="1" applyFont="1" applyFill="1" applyBorder="1" applyAlignment="1" applyProtection="1">
      <alignment horizontal="right" vertical="center"/>
      <protection/>
    </xf>
    <xf numFmtId="0" fontId="8" fillId="0" borderId="37" xfId="0" applyFont="1" applyFill="1" applyBorder="1" applyAlignment="1" applyProtection="1">
      <alignment horizontal="left" vertical="center"/>
      <protection locked="0"/>
    </xf>
    <xf numFmtId="0" fontId="8" fillId="0" borderId="38" xfId="0" applyFont="1" applyFill="1" applyBorder="1" applyAlignment="1" applyProtection="1">
      <alignment horizontal="left" vertical="center"/>
      <protection locked="0"/>
    </xf>
    <xf numFmtId="0" fontId="8" fillId="0" borderId="38" xfId="0" applyFont="1" applyFill="1" applyBorder="1" applyAlignment="1" applyProtection="1">
      <alignment horizontal="center" vertical="center"/>
      <protection locked="0"/>
    </xf>
    <xf numFmtId="2" fontId="8" fillId="0" borderId="39" xfId="42" applyNumberFormat="1" applyFont="1" applyFill="1" applyBorder="1" applyAlignment="1" applyProtection="1">
      <alignment horizontal="right" vertical="center"/>
      <protection/>
    </xf>
    <xf numFmtId="0" fontId="9" fillId="0" borderId="12" xfId="0" applyFont="1" applyFill="1" applyBorder="1" applyAlignment="1" applyProtection="1">
      <alignment horizontal="center" vertical="center"/>
      <protection locked="0"/>
    </xf>
    <xf numFmtId="184" fontId="8" fillId="0" borderId="10" xfId="0" applyNumberFormat="1" applyFont="1" applyFill="1" applyBorder="1" applyAlignment="1" applyProtection="1">
      <alignment horizontal="center" vertical="center"/>
      <protection locked="0"/>
    </xf>
    <xf numFmtId="1" fontId="49" fillId="0" borderId="40" xfId="0" applyNumberFormat="1" applyFont="1" applyFill="1" applyBorder="1" applyAlignment="1" applyProtection="1">
      <alignment horizontal="center" vertical="center" wrapText="1"/>
      <protection/>
    </xf>
    <xf numFmtId="1" fontId="51" fillId="0" borderId="41" xfId="0" applyNumberFormat="1" applyFont="1" applyFill="1" applyBorder="1" applyAlignment="1" applyProtection="1">
      <alignment horizontal="center" vertical="center" wrapText="1"/>
      <protection/>
    </xf>
    <xf numFmtId="0" fontId="16" fillId="0" borderId="26" xfId="0" applyFont="1" applyFill="1" applyBorder="1" applyAlignment="1" applyProtection="1">
      <alignment horizontal="right" vertical="center"/>
      <protection/>
    </xf>
    <xf numFmtId="0" fontId="16" fillId="0" borderId="0" xfId="0" applyFont="1" applyAlignment="1">
      <alignment/>
    </xf>
    <xf numFmtId="0" fontId="8" fillId="0" borderId="29" xfId="0" applyFont="1" applyFill="1" applyBorder="1" applyAlignment="1" applyProtection="1">
      <alignment horizontal="left" vertical="center"/>
      <protection locked="0"/>
    </xf>
    <xf numFmtId="0" fontId="8" fillId="0" borderId="29" xfId="0" applyFont="1" applyFill="1" applyBorder="1" applyAlignment="1">
      <alignment horizontal="left" vertical="center"/>
    </xf>
    <xf numFmtId="0" fontId="8" fillId="0" borderId="29" xfId="0" applyFont="1" applyFill="1" applyBorder="1" applyAlignment="1" applyProtection="1">
      <alignment horizontal="left" vertical="center"/>
      <protection locked="0"/>
    </xf>
    <xf numFmtId="0" fontId="8" fillId="0" borderId="42" xfId="0" applyFont="1" applyFill="1" applyBorder="1" applyAlignment="1" applyProtection="1">
      <alignment horizontal="left" vertical="center"/>
      <protection locked="0"/>
    </xf>
    <xf numFmtId="184" fontId="8" fillId="0" borderId="43" xfId="0" applyNumberFormat="1" applyFont="1" applyFill="1" applyBorder="1" applyAlignment="1" applyProtection="1">
      <alignment horizontal="center" vertical="center"/>
      <protection locked="0"/>
    </xf>
    <xf numFmtId="184" fontId="8" fillId="0" borderId="43" xfId="0" applyNumberFormat="1" applyFont="1" applyFill="1" applyBorder="1" applyAlignment="1" applyProtection="1">
      <alignment vertical="center"/>
      <protection locked="0"/>
    </xf>
    <xf numFmtId="0" fontId="8" fillId="0" borderId="43" xfId="0" applyFont="1" applyFill="1" applyBorder="1" applyAlignment="1" applyProtection="1">
      <alignment horizontal="right" vertical="center"/>
      <protection locked="0"/>
    </xf>
    <xf numFmtId="4" fontId="55" fillId="0" borderId="43" xfId="42" applyNumberFormat="1" applyFont="1" applyFill="1" applyBorder="1" applyAlignment="1" applyProtection="1">
      <alignment horizontal="right" vertical="center"/>
      <protection locked="0"/>
    </xf>
    <xf numFmtId="3" fontId="55" fillId="0" borderId="43" xfId="42" applyNumberFormat="1" applyFont="1" applyFill="1" applyBorder="1" applyAlignment="1" applyProtection="1">
      <alignment horizontal="right" vertical="center"/>
      <protection locked="0"/>
    </xf>
    <xf numFmtId="3" fontId="8" fillId="0" borderId="43" xfId="42" applyNumberFormat="1" applyFont="1" applyFill="1" applyBorder="1" applyAlignment="1" applyProtection="1">
      <alignment horizontal="right" vertical="center"/>
      <protection/>
    </xf>
    <xf numFmtId="2" fontId="8" fillId="0" borderId="43" xfId="42" applyNumberFormat="1" applyFont="1" applyFill="1" applyBorder="1" applyAlignment="1" applyProtection="1">
      <alignment vertical="center"/>
      <protection/>
    </xf>
    <xf numFmtId="4" fontId="8" fillId="0" borderId="43" xfId="42" applyNumberFormat="1" applyFont="1" applyFill="1" applyBorder="1" applyAlignment="1" applyProtection="1">
      <alignment horizontal="right" vertical="center"/>
      <protection locked="0"/>
    </xf>
    <xf numFmtId="3" fontId="8" fillId="0" borderId="43" xfId="42" applyNumberFormat="1" applyFont="1" applyFill="1" applyBorder="1" applyAlignment="1" applyProtection="1">
      <alignment horizontal="right" vertical="center"/>
      <protection locked="0"/>
    </xf>
    <xf numFmtId="2" fontId="8" fillId="0" borderId="44" xfId="42" applyNumberFormat="1" applyFont="1" applyFill="1" applyBorder="1" applyAlignment="1" applyProtection="1">
      <alignment vertical="center"/>
      <protection/>
    </xf>
    <xf numFmtId="0" fontId="9" fillId="0" borderId="29" xfId="0" applyFont="1" applyFill="1" applyBorder="1" applyAlignment="1" applyProtection="1">
      <alignment horizontal="right" vertical="center"/>
      <protection locked="0"/>
    </xf>
    <xf numFmtId="0" fontId="8" fillId="0" borderId="45" xfId="0" applyFont="1" applyFill="1" applyBorder="1" applyAlignment="1" applyProtection="1">
      <alignment horizontal="left" vertical="center"/>
      <protection locked="0"/>
    </xf>
    <xf numFmtId="184" fontId="8" fillId="0" borderId="46" xfId="0" applyNumberFormat="1" applyFont="1" applyFill="1" applyBorder="1" applyAlignment="1" applyProtection="1">
      <alignment horizontal="center" vertical="center"/>
      <protection locked="0"/>
    </xf>
    <xf numFmtId="184" fontId="8" fillId="0" borderId="46" xfId="0" applyNumberFormat="1" applyFont="1" applyFill="1" applyBorder="1" applyAlignment="1" applyProtection="1">
      <alignment vertical="center"/>
      <protection locked="0"/>
    </xf>
    <xf numFmtId="0" fontId="8" fillId="0" borderId="46" xfId="0" applyFont="1" applyFill="1" applyBorder="1" applyAlignment="1" applyProtection="1">
      <alignment horizontal="right" vertical="center"/>
      <protection locked="0"/>
    </xf>
    <xf numFmtId="4" fontId="55" fillId="0" borderId="46" xfId="42" applyNumberFormat="1" applyFont="1" applyFill="1" applyBorder="1" applyAlignment="1" applyProtection="1">
      <alignment horizontal="right" vertical="center"/>
      <protection locked="0"/>
    </xf>
    <xf numFmtId="3" fontId="55" fillId="0" borderId="46" xfId="42" applyNumberFormat="1" applyFont="1" applyFill="1" applyBorder="1" applyAlignment="1" applyProtection="1">
      <alignment horizontal="right" vertical="center"/>
      <protection locked="0"/>
    </xf>
    <xf numFmtId="3" fontId="8" fillId="0" borderId="46" xfId="42" applyNumberFormat="1" applyFont="1" applyFill="1" applyBorder="1" applyAlignment="1" applyProtection="1">
      <alignment horizontal="right" vertical="center"/>
      <protection/>
    </xf>
    <xf numFmtId="2" fontId="8" fillId="0" borderId="46" xfId="42" applyNumberFormat="1" applyFont="1" applyFill="1" applyBorder="1" applyAlignment="1" applyProtection="1">
      <alignment horizontal="right" vertical="center"/>
      <protection/>
    </xf>
    <xf numFmtId="4" fontId="8" fillId="0" borderId="46" xfId="42" applyNumberFormat="1" applyFont="1" applyFill="1" applyBorder="1" applyAlignment="1" applyProtection="1">
      <alignment horizontal="right" vertical="center"/>
      <protection locked="0"/>
    </xf>
    <xf numFmtId="3" fontId="8" fillId="0" borderId="46" xfId="42" applyNumberFormat="1" applyFont="1" applyFill="1" applyBorder="1" applyAlignment="1" applyProtection="1">
      <alignment horizontal="right" vertical="center"/>
      <protection locked="0"/>
    </xf>
    <xf numFmtId="2" fontId="8" fillId="0" borderId="47" xfId="42" applyNumberFormat="1" applyFont="1" applyFill="1" applyBorder="1" applyAlignment="1" applyProtection="1">
      <alignment vertical="center"/>
      <protection/>
    </xf>
    <xf numFmtId="0" fontId="9" fillId="0" borderId="29" xfId="0" applyFont="1" applyFill="1" applyBorder="1" applyAlignment="1">
      <alignment horizontal="right" vertical="center"/>
    </xf>
    <xf numFmtId="0" fontId="8" fillId="0" borderId="46" xfId="0" applyFont="1" applyFill="1" applyBorder="1" applyAlignment="1" applyProtection="1">
      <alignment vertical="center"/>
      <protection locked="0"/>
    </xf>
    <xf numFmtId="3" fontId="55" fillId="0" borderId="46" xfId="42" applyNumberFormat="1" applyFont="1" applyFill="1" applyBorder="1" applyAlignment="1" applyProtection="1">
      <alignment vertical="center"/>
      <protection locked="0"/>
    </xf>
    <xf numFmtId="3" fontId="8" fillId="0" borderId="46" xfId="42" applyNumberFormat="1" applyFont="1" applyFill="1" applyBorder="1" applyAlignment="1" applyProtection="1">
      <alignment vertical="center"/>
      <protection/>
    </xf>
    <xf numFmtId="2" fontId="8" fillId="0" borderId="46" xfId="42" applyNumberFormat="1" applyFont="1" applyFill="1" applyBorder="1" applyAlignment="1" applyProtection="1">
      <alignment vertical="center"/>
      <protection/>
    </xf>
    <xf numFmtId="3" fontId="8" fillId="0" borderId="46" xfId="42" applyNumberFormat="1" applyFont="1" applyFill="1" applyBorder="1" applyAlignment="1" applyProtection="1">
      <alignment vertical="center"/>
      <protection locked="0"/>
    </xf>
    <xf numFmtId="0" fontId="9" fillId="0" borderId="29" xfId="0" applyFont="1" applyFill="1" applyBorder="1" applyAlignment="1" applyProtection="1">
      <alignment vertical="center"/>
      <protection locked="0"/>
    </xf>
    <xf numFmtId="4" fontId="55" fillId="0" borderId="46" xfId="42" applyNumberFormat="1" applyFont="1" applyFill="1" applyBorder="1" applyAlignment="1" applyProtection="1">
      <alignment vertical="center"/>
      <protection locked="0"/>
    </xf>
    <xf numFmtId="4" fontId="8" fillId="0" borderId="46" xfId="42" applyNumberFormat="1" applyFont="1" applyFill="1" applyBorder="1" applyAlignment="1" applyProtection="1">
      <alignment vertical="center"/>
      <protection locked="0"/>
    </xf>
    <xf numFmtId="184" fontId="8" fillId="0" borderId="46" xfId="0" applyNumberFormat="1" applyFont="1" applyFill="1" applyBorder="1" applyAlignment="1">
      <alignment horizontal="center" vertical="center"/>
    </xf>
    <xf numFmtId="0" fontId="8" fillId="0" borderId="46" xfId="0" applyFont="1" applyFill="1" applyBorder="1" applyAlignment="1">
      <alignment vertical="center"/>
    </xf>
    <xf numFmtId="4" fontId="55" fillId="0" borderId="46" xfId="0" applyNumberFormat="1" applyFont="1" applyFill="1" applyBorder="1" applyAlignment="1">
      <alignment vertical="center"/>
    </xf>
    <xf numFmtId="3" fontId="55" fillId="0" borderId="46" xfId="0" applyNumberFormat="1" applyFont="1" applyFill="1" applyBorder="1" applyAlignment="1">
      <alignment vertical="center"/>
    </xf>
    <xf numFmtId="3" fontId="8" fillId="0" borderId="46" xfId="0" applyNumberFormat="1" applyFont="1" applyFill="1" applyBorder="1" applyAlignment="1">
      <alignment vertical="center"/>
    </xf>
    <xf numFmtId="2" fontId="8" fillId="0" borderId="46" xfId="0" applyNumberFormat="1" applyFont="1" applyFill="1" applyBorder="1" applyAlignment="1">
      <alignment vertical="center"/>
    </xf>
    <xf numFmtId="4" fontId="8" fillId="0" borderId="46" xfId="0" applyNumberFormat="1" applyFont="1" applyFill="1" applyBorder="1" applyAlignment="1">
      <alignment vertical="center"/>
    </xf>
    <xf numFmtId="2" fontId="8" fillId="0" borderId="47" xfId="0" applyNumberFormat="1" applyFont="1" applyFill="1" applyBorder="1" applyAlignment="1">
      <alignment vertical="center"/>
    </xf>
    <xf numFmtId="0" fontId="9" fillId="0" borderId="29" xfId="0" applyFont="1" applyFill="1" applyBorder="1" applyAlignment="1" applyProtection="1">
      <alignment horizontal="right" vertical="center"/>
      <protection locked="0"/>
    </xf>
    <xf numFmtId="0" fontId="9" fillId="0" borderId="29" xfId="0" applyFont="1" applyBorder="1" applyAlignment="1" applyProtection="1">
      <alignment vertical="center"/>
      <protection locked="0"/>
    </xf>
    <xf numFmtId="0" fontId="8" fillId="0" borderId="46" xfId="0" applyFont="1" applyFill="1" applyBorder="1" applyAlignment="1">
      <alignment horizontal="left" vertical="center"/>
    </xf>
    <xf numFmtId="0" fontId="8" fillId="0" borderId="46" xfId="0" applyFont="1" applyFill="1" applyBorder="1" applyAlignment="1">
      <alignment horizontal="right" vertical="center"/>
    </xf>
    <xf numFmtId="0" fontId="9" fillId="0" borderId="12" xfId="0" applyFont="1" applyBorder="1" applyAlignment="1" applyProtection="1">
      <alignment vertical="center"/>
      <protection locked="0"/>
    </xf>
    <xf numFmtId="0" fontId="9" fillId="0" borderId="12" xfId="0" applyFont="1" applyBorder="1" applyAlignment="1" applyProtection="1">
      <alignment horizontal="center" vertical="center"/>
      <protection locked="0"/>
    </xf>
    <xf numFmtId="0" fontId="9" fillId="0" borderId="12" xfId="0" applyFont="1" applyFill="1" applyBorder="1" applyAlignment="1" applyProtection="1">
      <alignment vertical="center"/>
      <protection locked="0"/>
    </xf>
    <xf numFmtId="4" fontId="55" fillId="0" borderId="46" xfId="0" applyNumberFormat="1" applyFont="1" applyFill="1" applyBorder="1" applyAlignment="1">
      <alignment horizontal="right" vertical="center"/>
    </xf>
    <xf numFmtId="0" fontId="8" fillId="0" borderId="45" xfId="0" applyFont="1" applyFill="1" applyBorder="1" applyAlignment="1">
      <alignment horizontal="left" vertical="center"/>
    </xf>
    <xf numFmtId="3" fontId="55" fillId="0" borderId="46" xfId="0" applyNumberFormat="1" applyFont="1" applyFill="1" applyBorder="1" applyAlignment="1">
      <alignment horizontal="right" vertical="center"/>
    </xf>
    <xf numFmtId="3" fontId="8" fillId="0" borderId="46" xfId="0" applyNumberFormat="1" applyFont="1" applyFill="1" applyBorder="1" applyAlignment="1">
      <alignment horizontal="right" vertical="center"/>
    </xf>
    <xf numFmtId="4" fontId="8" fillId="0" borderId="46" xfId="0" applyNumberFormat="1" applyFont="1" applyFill="1" applyBorder="1" applyAlignment="1">
      <alignment horizontal="right" vertical="center"/>
    </xf>
    <xf numFmtId="2" fontId="8" fillId="0" borderId="46" xfId="0" applyNumberFormat="1" applyFont="1" applyFill="1" applyBorder="1" applyAlignment="1">
      <alignment horizontal="right" vertical="center"/>
    </xf>
    <xf numFmtId="0" fontId="8" fillId="0" borderId="46" xfId="0" applyFont="1" applyFill="1" applyBorder="1" applyAlignment="1" applyProtection="1">
      <alignment horizontal="left" vertical="center"/>
      <protection locked="0"/>
    </xf>
    <xf numFmtId="0" fontId="8" fillId="0" borderId="46" xfId="0" applyFont="1" applyBorder="1" applyAlignment="1">
      <alignment horizontal="right" vertical="center"/>
    </xf>
    <xf numFmtId="4" fontId="55" fillId="0" borderId="46" xfId="0" applyNumberFormat="1" applyFont="1" applyBorder="1" applyAlignment="1">
      <alignment horizontal="right" vertical="center"/>
    </xf>
    <xf numFmtId="3" fontId="55" fillId="0" borderId="46" xfId="0" applyNumberFormat="1" applyFont="1" applyBorder="1" applyAlignment="1">
      <alignment horizontal="right" vertical="center"/>
    </xf>
    <xf numFmtId="2" fontId="8" fillId="0" borderId="47" xfId="0" applyNumberFormat="1" applyFont="1" applyFill="1" applyBorder="1" applyAlignment="1">
      <alignment horizontal="right" vertical="center"/>
    </xf>
    <xf numFmtId="0" fontId="9" fillId="0" borderId="12" xfId="0" applyFont="1" applyFill="1" applyBorder="1" applyAlignment="1">
      <alignment vertical="center"/>
    </xf>
    <xf numFmtId="1" fontId="9" fillId="0" borderId="12" xfId="0" applyNumberFormat="1" applyFont="1" applyFill="1" applyBorder="1" applyAlignment="1" applyProtection="1">
      <alignment horizontal="right" vertical="center"/>
      <protection locked="0"/>
    </xf>
    <xf numFmtId="0" fontId="8" fillId="0" borderId="45" xfId="0" applyFont="1" applyFill="1" applyBorder="1" applyAlignment="1">
      <alignment vertical="center"/>
    </xf>
    <xf numFmtId="4" fontId="55" fillId="0" borderId="46" xfId="40" applyNumberFormat="1" applyFont="1" applyFill="1" applyBorder="1" applyAlignment="1" applyProtection="1">
      <alignment horizontal="right" vertical="center"/>
      <protection/>
    </xf>
    <xf numFmtId="3" fontId="55" fillId="0" borderId="46" xfId="40" applyNumberFormat="1" applyFont="1" applyFill="1" applyBorder="1" applyAlignment="1" applyProtection="1">
      <alignment vertical="center"/>
      <protection/>
    </xf>
    <xf numFmtId="3" fontId="8" fillId="0" borderId="46" xfId="67" applyNumberFormat="1" applyFont="1" applyFill="1" applyBorder="1" applyAlignment="1" applyProtection="1">
      <alignment vertical="center"/>
      <protection/>
    </xf>
    <xf numFmtId="2" fontId="8" fillId="0" borderId="46" xfId="67" applyNumberFormat="1" applyFont="1" applyFill="1" applyBorder="1" applyAlignment="1" applyProtection="1">
      <alignment vertical="center"/>
      <protection/>
    </xf>
    <xf numFmtId="4" fontId="8" fillId="0" borderId="46" xfId="40" applyNumberFormat="1" applyFont="1" applyFill="1" applyBorder="1" applyAlignment="1" applyProtection="1">
      <alignment horizontal="right" vertical="center"/>
      <protection/>
    </xf>
    <xf numFmtId="2" fontId="8" fillId="0" borderId="47" xfId="67" applyNumberFormat="1" applyFont="1" applyFill="1" applyBorder="1" applyAlignment="1" applyProtection="1">
      <alignment vertical="center"/>
      <protection/>
    </xf>
    <xf numFmtId="3" fontId="55" fillId="0" borderId="46" xfId="40" applyNumberFormat="1" applyFont="1" applyFill="1" applyBorder="1" applyAlignment="1" applyProtection="1">
      <alignment horizontal="right" vertical="center"/>
      <protection/>
    </xf>
    <xf numFmtId="3" fontId="8" fillId="0" borderId="46" xfId="67" applyNumberFormat="1" applyFont="1" applyFill="1" applyBorder="1" applyAlignment="1" applyProtection="1">
      <alignment horizontal="right" vertical="center"/>
      <protection/>
    </xf>
    <xf numFmtId="2" fontId="8" fillId="0" borderId="46" xfId="67" applyNumberFormat="1" applyFont="1" applyFill="1" applyBorder="1" applyAlignment="1" applyProtection="1">
      <alignment horizontal="right" vertical="center"/>
      <protection/>
    </xf>
    <xf numFmtId="1" fontId="9" fillId="0" borderId="12" xfId="0" applyNumberFormat="1" applyFont="1" applyFill="1" applyBorder="1" applyAlignment="1" applyProtection="1">
      <alignment horizontal="right" vertical="center"/>
      <protection locked="0"/>
    </xf>
    <xf numFmtId="0" fontId="8" fillId="34" borderId="45" xfId="0" applyFont="1" applyFill="1" applyBorder="1" applyAlignment="1">
      <alignment horizontal="left" vertical="center"/>
    </xf>
    <xf numFmtId="184" fontId="8" fillId="34" borderId="46" xfId="0" applyNumberFormat="1" applyFont="1" applyFill="1" applyBorder="1" applyAlignment="1">
      <alignment horizontal="center" vertical="center"/>
    </xf>
    <xf numFmtId="0" fontId="8" fillId="34" borderId="46" xfId="0" applyFont="1" applyFill="1" applyBorder="1" applyAlignment="1">
      <alignment horizontal="right" vertical="center"/>
    </xf>
    <xf numFmtId="0" fontId="9" fillId="35" borderId="12" xfId="0" applyFont="1" applyFill="1" applyBorder="1" applyAlignment="1" applyProtection="1">
      <alignment vertical="center"/>
      <protection locked="0"/>
    </xf>
    <xf numFmtId="184" fontId="8" fillId="0" borderId="46" xfId="0" applyNumberFormat="1" applyFont="1" applyBorder="1" applyAlignment="1">
      <alignment horizontal="center" vertical="center"/>
    </xf>
    <xf numFmtId="0" fontId="8" fillId="0" borderId="45" xfId="0" applyNumberFormat="1" applyFont="1" applyFill="1" applyBorder="1" applyAlignment="1" applyProtection="1">
      <alignment horizontal="left" vertical="center"/>
      <protection locked="0"/>
    </xf>
    <xf numFmtId="0" fontId="8" fillId="0" borderId="46" xfId="0" applyNumberFormat="1" applyFont="1" applyFill="1" applyBorder="1" applyAlignment="1" applyProtection="1">
      <alignment horizontal="right" vertical="center"/>
      <protection locked="0"/>
    </xf>
    <xf numFmtId="4" fontId="55" fillId="0" borderId="46" xfId="44" applyNumberFormat="1" applyFont="1" applyFill="1" applyBorder="1" applyAlignment="1" applyProtection="1">
      <alignment horizontal="right" vertical="center"/>
      <protection locked="0"/>
    </xf>
    <xf numFmtId="3" fontId="55" fillId="0" borderId="46" xfId="44" applyNumberFormat="1" applyFont="1" applyFill="1" applyBorder="1" applyAlignment="1" applyProtection="1">
      <alignment horizontal="right" vertical="center"/>
      <protection locked="0"/>
    </xf>
    <xf numFmtId="3" fontId="8" fillId="0" borderId="46" xfId="44" applyNumberFormat="1" applyFont="1" applyFill="1" applyBorder="1" applyAlignment="1" applyProtection="1">
      <alignment horizontal="right" vertical="center"/>
      <protection/>
    </xf>
    <xf numFmtId="2" fontId="8" fillId="0" borderId="46" xfId="44" applyNumberFormat="1" applyFont="1" applyFill="1" applyBorder="1" applyAlignment="1" applyProtection="1">
      <alignment vertical="center"/>
      <protection/>
    </xf>
    <xf numFmtId="4" fontId="8" fillId="0" borderId="46" xfId="44" applyNumberFormat="1" applyFont="1" applyFill="1" applyBorder="1" applyAlignment="1" applyProtection="1">
      <alignment horizontal="right" vertical="center"/>
      <protection locked="0"/>
    </xf>
    <xf numFmtId="3" fontId="8" fillId="0" borderId="46" xfId="44" applyNumberFormat="1" applyFont="1" applyFill="1" applyBorder="1" applyAlignment="1" applyProtection="1">
      <alignment horizontal="right" vertical="center"/>
      <protection locked="0"/>
    </xf>
    <xf numFmtId="2" fontId="8" fillId="0" borderId="47" xfId="44" applyNumberFormat="1" applyFont="1" applyFill="1" applyBorder="1" applyAlignment="1" applyProtection="1">
      <alignment vertical="center"/>
      <protection/>
    </xf>
    <xf numFmtId="2" fontId="8" fillId="0" borderId="46" xfId="44" applyNumberFormat="1" applyFont="1" applyFill="1" applyBorder="1" applyAlignment="1" applyProtection="1">
      <alignment horizontal="right" vertical="center"/>
      <protection/>
    </xf>
    <xf numFmtId="3" fontId="55" fillId="0" borderId="46" xfId="44" applyNumberFormat="1" applyFont="1" applyFill="1" applyBorder="1" applyAlignment="1" applyProtection="1">
      <alignment vertical="center"/>
      <protection locked="0"/>
    </xf>
    <xf numFmtId="3" fontId="8" fillId="0" borderId="46" xfId="44" applyNumberFormat="1" applyFont="1" applyFill="1" applyBorder="1" applyAlignment="1" applyProtection="1">
      <alignment vertical="center"/>
      <protection/>
    </xf>
    <xf numFmtId="3" fontId="8" fillId="0" borderId="46" xfId="44" applyNumberFormat="1" applyFont="1" applyFill="1" applyBorder="1" applyAlignment="1" applyProtection="1">
      <alignment vertical="center"/>
      <protection locked="0"/>
    </xf>
    <xf numFmtId="0" fontId="9" fillId="35" borderId="12" xfId="0" applyFont="1" applyFill="1" applyBorder="1" applyAlignment="1" applyProtection="1">
      <alignment horizontal="center" vertical="center"/>
      <protection locked="0"/>
    </xf>
    <xf numFmtId="0" fontId="9" fillId="0" borderId="12" xfId="0" applyNumberFormat="1" applyFont="1" applyFill="1" applyBorder="1" applyAlignment="1" applyProtection="1">
      <alignment horizontal="center" vertical="center"/>
      <protection locked="0"/>
    </xf>
    <xf numFmtId="0" fontId="8" fillId="0" borderId="45" xfId="0" applyFont="1" applyFill="1" applyBorder="1" applyAlignment="1" applyProtection="1">
      <alignment vertical="center"/>
      <protection locked="0"/>
    </xf>
    <xf numFmtId="0" fontId="8" fillId="0" borderId="45" xfId="0" applyFont="1" applyFill="1" applyBorder="1" applyAlignment="1">
      <alignment horizontal="left" vertical="center" shrinkToFit="1"/>
    </xf>
    <xf numFmtId="3" fontId="55" fillId="0" borderId="46" xfId="0" applyNumberFormat="1" applyFont="1" applyBorder="1" applyAlignment="1">
      <alignment vertical="center"/>
    </xf>
    <xf numFmtId="0" fontId="9" fillId="0" borderId="12" xfId="0" applyFont="1" applyFill="1" applyBorder="1" applyAlignment="1" applyProtection="1">
      <alignment vertical="center"/>
      <protection locked="0"/>
    </xf>
    <xf numFmtId="4" fontId="55" fillId="0" borderId="46" xfId="43" applyNumberFormat="1" applyFont="1" applyFill="1" applyBorder="1" applyAlignment="1" applyProtection="1">
      <alignment horizontal="right" vertical="center"/>
      <protection locked="0"/>
    </xf>
    <xf numFmtId="3" fontId="55" fillId="0" borderId="46" xfId="43" applyNumberFormat="1" applyFont="1" applyFill="1" applyBorder="1" applyAlignment="1" applyProtection="1">
      <alignment horizontal="right" vertical="center"/>
      <protection locked="0"/>
    </xf>
    <xf numFmtId="3" fontId="8" fillId="0" borderId="46" xfId="43" applyNumberFormat="1" applyFont="1" applyFill="1" applyBorder="1" applyAlignment="1" applyProtection="1">
      <alignment horizontal="right" vertical="center"/>
      <protection/>
    </xf>
    <xf numFmtId="2" fontId="8" fillId="0" borderId="46" xfId="43" applyNumberFormat="1" applyFont="1" applyFill="1" applyBorder="1" applyAlignment="1" applyProtection="1">
      <alignment horizontal="right" vertical="center"/>
      <protection/>
    </xf>
    <xf numFmtId="4" fontId="8" fillId="0" borderId="46" xfId="43" applyNumberFormat="1" applyFont="1" applyFill="1" applyBorder="1" applyAlignment="1" applyProtection="1">
      <alignment horizontal="right" vertical="center"/>
      <protection locked="0"/>
    </xf>
    <xf numFmtId="3" fontId="8" fillId="0" borderId="46" xfId="43" applyNumberFormat="1" applyFont="1" applyFill="1" applyBorder="1" applyAlignment="1" applyProtection="1">
      <alignment horizontal="right" vertical="center"/>
      <protection locked="0"/>
    </xf>
    <xf numFmtId="2" fontId="8" fillId="0" borderId="47" xfId="43" applyNumberFormat="1" applyFont="1" applyFill="1" applyBorder="1" applyAlignment="1" applyProtection="1">
      <alignment horizontal="right" vertical="center"/>
      <protection/>
    </xf>
    <xf numFmtId="0" fontId="9" fillId="0" borderId="29" xfId="0" applyFont="1" applyFill="1" applyBorder="1" applyAlignment="1" applyProtection="1">
      <alignment horizontal="center" vertical="center"/>
      <protection locked="0"/>
    </xf>
    <xf numFmtId="0" fontId="8" fillId="0" borderId="46" xfId="0" applyFont="1" applyBorder="1" applyAlignment="1">
      <alignment horizontal="left" vertical="center"/>
    </xf>
    <xf numFmtId="184" fontId="8" fillId="0" borderId="46" xfId="0" applyNumberFormat="1" applyFont="1" applyFill="1" applyBorder="1" applyAlignment="1" applyProtection="1">
      <alignment horizontal="left" vertical="center"/>
      <protection locked="0"/>
    </xf>
    <xf numFmtId="0" fontId="9" fillId="0" borderId="29" xfId="0" applyFont="1" applyBorder="1" applyAlignment="1" applyProtection="1">
      <alignment horizontal="center" vertical="center"/>
      <protection locked="0"/>
    </xf>
    <xf numFmtId="1" fontId="9" fillId="0" borderId="29" xfId="0" applyNumberFormat="1" applyFont="1" applyFill="1" applyBorder="1" applyAlignment="1" applyProtection="1">
      <alignment horizontal="right" vertical="center"/>
      <protection locked="0"/>
    </xf>
    <xf numFmtId="0" fontId="9" fillId="35" borderId="29" xfId="0" applyFont="1" applyFill="1" applyBorder="1" applyAlignment="1" applyProtection="1">
      <alignment vertical="center"/>
      <protection locked="0"/>
    </xf>
    <xf numFmtId="0" fontId="9" fillId="0" borderId="29" xfId="0" applyFont="1" applyFill="1" applyBorder="1" applyAlignment="1">
      <alignment vertical="center"/>
    </xf>
    <xf numFmtId="4" fontId="55" fillId="0" borderId="46" xfId="40" applyNumberFormat="1" applyFont="1" applyFill="1" applyBorder="1" applyAlignment="1" applyProtection="1">
      <alignment vertical="center"/>
      <protection/>
    </xf>
    <xf numFmtId="4" fontId="8" fillId="0" borderId="46" xfId="40" applyNumberFormat="1" applyFont="1" applyFill="1" applyBorder="1" applyAlignment="1" applyProtection="1">
      <alignment vertical="center"/>
      <protection/>
    </xf>
    <xf numFmtId="14" fontId="8" fillId="0" borderId="46" xfId="0" applyNumberFormat="1" applyFont="1" applyFill="1" applyBorder="1" applyAlignment="1">
      <alignment horizontal="left" vertical="center"/>
    </xf>
    <xf numFmtId="0" fontId="9" fillId="0" borderId="29" xfId="0" applyNumberFormat="1" applyFont="1" applyFill="1" applyBorder="1" applyAlignment="1" applyProtection="1">
      <alignment horizontal="center" vertical="center"/>
      <protection locked="0"/>
    </xf>
    <xf numFmtId="1" fontId="9" fillId="0" borderId="29" xfId="0" applyNumberFormat="1" applyFont="1" applyFill="1" applyBorder="1" applyAlignment="1">
      <alignment horizontal="right" vertical="center"/>
    </xf>
    <xf numFmtId="0" fontId="9" fillId="35" borderId="29" xfId="0" applyFont="1" applyFill="1" applyBorder="1" applyAlignment="1">
      <alignment/>
    </xf>
    <xf numFmtId="0" fontId="9" fillId="0" borderId="29" xfId="0" applyFont="1" applyFill="1" applyBorder="1" applyAlignment="1">
      <alignment/>
    </xf>
    <xf numFmtId="2" fontId="8" fillId="35" borderId="47" xfId="0" applyNumberFormat="1" applyFont="1" applyFill="1" applyBorder="1" applyAlignment="1">
      <alignment vertical="center"/>
    </xf>
    <xf numFmtId="0" fontId="8" fillId="35" borderId="45" xfId="0" applyFont="1" applyFill="1" applyBorder="1" applyAlignment="1">
      <alignment horizontal="left" vertical="center"/>
    </xf>
    <xf numFmtId="184" fontId="8" fillId="35" borderId="46" xfId="0" applyNumberFormat="1" applyFont="1" applyFill="1" applyBorder="1" applyAlignment="1">
      <alignment horizontal="center" vertical="center"/>
    </xf>
    <xf numFmtId="0" fontId="8" fillId="35" borderId="46" xfId="0" applyFont="1" applyFill="1" applyBorder="1" applyAlignment="1">
      <alignment horizontal="right" vertical="center"/>
    </xf>
    <xf numFmtId="4" fontId="55" fillId="35" borderId="46" xfId="0" applyNumberFormat="1" applyFont="1" applyFill="1" applyBorder="1" applyAlignment="1">
      <alignment horizontal="right" vertical="center"/>
    </xf>
    <xf numFmtId="3" fontId="55" fillId="35" borderId="46" xfId="0" applyNumberFormat="1" applyFont="1" applyFill="1" applyBorder="1" applyAlignment="1">
      <alignment horizontal="right" vertical="center"/>
    </xf>
    <xf numFmtId="3" fontId="8" fillId="35" borderId="46" xfId="0" applyNumberFormat="1" applyFont="1" applyFill="1" applyBorder="1" applyAlignment="1">
      <alignment horizontal="right" vertical="center"/>
    </xf>
    <xf numFmtId="2" fontId="8" fillId="35" borderId="46" xfId="0" applyNumberFormat="1" applyFont="1" applyFill="1" applyBorder="1" applyAlignment="1">
      <alignment vertical="center"/>
    </xf>
    <xf numFmtId="4" fontId="8" fillId="35" borderId="46" xfId="0" applyNumberFormat="1" applyFont="1" applyFill="1" applyBorder="1" applyAlignment="1">
      <alignment horizontal="right" vertical="center"/>
    </xf>
    <xf numFmtId="0" fontId="9" fillId="0" borderId="29" xfId="0" applyFont="1" applyBorder="1" applyAlignment="1">
      <alignment/>
    </xf>
    <xf numFmtId="0" fontId="55" fillId="0" borderId="45" xfId="0" applyFont="1" applyBorder="1" applyAlignment="1">
      <alignment horizontal="left" vertical="center"/>
    </xf>
    <xf numFmtId="4" fontId="8" fillId="0" borderId="46" xfId="0" applyNumberFormat="1" applyFont="1" applyBorder="1" applyAlignment="1">
      <alignment horizontal="right" vertical="center"/>
    </xf>
    <xf numFmtId="3" fontId="8" fillId="0" borderId="46" xfId="0" applyNumberFormat="1" applyFont="1" applyBorder="1" applyAlignment="1">
      <alignment horizontal="right" vertical="center"/>
    </xf>
    <xf numFmtId="49" fontId="8" fillId="0" borderId="46" xfId="0" applyNumberFormat="1" applyFont="1" applyFill="1" applyBorder="1" applyAlignment="1" applyProtection="1">
      <alignment horizontal="left" vertical="center"/>
      <protection locked="0"/>
    </xf>
    <xf numFmtId="4" fontId="55" fillId="0" borderId="46" xfId="40" applyNumberFormat="1" applyFont="1" applyFill="1" applyBorder="1" applyAlignment="1" applyProtection="1">
      <alignment horizontal="right" vertical="center"/>
      <protection locked="0"/>
    </xf>
    <xf numFmtId="3" fontId="55" fillId="0" borderId="46" xfId="40" applyNumberFormat="1" applyFont="1" applyFill="1" applyBorder="1" applyAlignment="1" applyProtection="1">
      <alignment vertical="center"/>
      <protection locked="0"/>
    </xf>
    <xf numFmtId="4" fontId="8" fillId="0" borderId="46" xfId="40" applyNumberFormat="1" applyFont="1" applyFill="1" applyBorder="1" applyAlignment="1" applyProtection="1">
      <alignment horizontal="right" vertical="center"/>
      <protection locked="0"/>
    </xf>
    <xf numFmtId="3" fontId="8" fillId="0" borderId="46" xfId="40" applyNumberFormat="1" applyFont="1" applyFill="1" applyBorder="1" applyAlignment="1" applyProtection="1">
      <alignment vertical="center"/>
      <protection locked="0"/>
    </xf>
    <xf numFmtId="0" fontId="9" fillId="0" borderId="29" xfId="0" applyFont="1" applyFill="1" applyBorder="1" applyAlignment="1">
      <alignment/>
    </xf>
    <xf numFmtId="49" fontId="8" fillId="0" borderId="45" xfId="0" applyNumberFormat="1" applyFont="1" applyFill="1" applyBorder="1" applyAlignment="1" applyProtection="1">
      <alignment horizontal="left" vertical="center"/>
      <protection locked="0"/>
    </xf>
    <xf numFmtId="49" fontId="8" fillId="0" borderId="46" xfId="0" applyNumberFormat="1" applyFont="1" applyFill="1" applyBorder="1" applyAlignment="1" applyProtection="1">
      <alignment horizontal="right" vertical="center"/>
      <protection locked="0"/>
    </xf>
    <xf numFmtId="3" fontId="55" fillId="0" borderId="46" xfId="40" applyNumberFormat="1" applyFont="1" applyFill="1" applyBorder="1" applyAlignment="1" applyProtection="1">
      <alignment horizontal="right" vertical="center"/>
      <protection locked="0"/>
    </xf>
    <xf numFmtId="3" fontId="8" fillId="0" borderId="46" xfId="40" applyNumberFormat="1" applyFont="1" applyFill="1" applyBorder="1" applyAlignment="1" applyProtection="1">
      <alignment horizontal="right" vertical="center"/>
      <protection/>
    </xf>
    <xf numFmtId="3" fontId="8" fillId="0" borderId="46" xfId="40" applyNumberFormat="1" applyFont="1" applyFill="1" applyBorder="1" applyAlignment="1" applyProtection="1">
      <alignment horizontal="right" vertical="center"/>
      <protection locked="0"/>
    </xf>
    <xf numFmtId="3" fontId="8" fillId="0" borderId="46" xfId="40" applyNumberFormat="1" applyFont="1" applyFill="1" applyBorder="1" applyAlignment="1" applyProtection="1">
      <alignment vertical="center"/>
      <protection/>
    </xf>
    <xf numFmtId="2" fontId="8" fillId="0" borderId="46" xfId="40" applyNumberFormat="1" applyFont="1" applyFill="1" applyBorder="1" applyAlignment="1" applyProtection="1">
      <alignment vertical="center"/>
      <protection/>
    </xf>
    <xf numFmtId="49" fontId="8" fillId="0" borderId="46" xfId="0" applyNumberFormat="1" applyFont="1" applyFill="1" applyBorder="1" applyAlignment="1" applyProtection="1">
      <alignment vertical="center"/>
      <protection locked="0"/>
    </xf>
    <xf numFmtId="0" fontId="9" fillId="0" borderId="29" xfId="0" applyFont="1" applyFill="1" applyBorder="1" applyAlignment="1" applyProtection="1">
      <alignment vertical="center"/>
      <protection locked="0"/>
    </xf>
    <xf numFmtId="2" fontId="8" fillId="0" borderId="47" xfId="67" applyNumberFormat="1" applyFont="1" applyFill="1" applyBorder="1" applyAlignment="1" applyProtection="1">
      <alignment horizontal="right" vertical="center"/>
      <protection/>
    </xf>
    <xf numFmtId="0" fontId="9" fillId="35" borderId="29" xfId="0" applyFont="1" applyFill="1" applyBorder="1" applyAlignment="1">
      <alignment vertical="center"/>
    </xf>
    <xf numFmtId="3" fontId="9" fillId="0" borderId="29" xfId="0" applyNumberFormat="1" applyFont="1" applyFill="1" applyBorder="1" applyAlignment="1">
      <alignment horizontal="right" vertical="center"/>
    </xf>
    <xf numFmtId="2" fontId="8" fillId="0" borderId="47" xfId="40" applyNumberFormat="1" applyFont="1" applyFill="1" applyBorder="1" applyAlignment="1" applyProtection="1">
      <alignment vertical="center"/>
      <protection/>
    </xf>
    <xf numFmtId="2" fontId="8" fillId="0" borderId="46" xfId="40" applyNumberFormat="1" applyFont="1" applyFill="1" applyBorder="1" applyAlignment="1" applyProtection="1">
      <alignment horizontal="right" vertical="center"/>
      <protection/>
    </xf>
    <xf numFmtId="0" fontId="9" fillId="0" borderId="29" xfId="0" applyFont="1" applyFill="1" applyBorder="1" applyAlignment="1">
      <alignment horizontal="right"/>
    </xf>
    <xf numFmtId="0" fontId="8" fillId="0" borderId="46" xfId="0" applyNumberFormat="1" applyFont="1" applyFill="1" applyBorder="1" applyAlignment="1" applyProtection="1">
      <alignment vertical="center"/>
      <protection locked="0"/>
    </xf>
    <xf numFmtId="0" fontId="8" fillId="0" borderId="48" xfId="0" applyFont="1" applyFill="1" applyBorder="1" applyAlignment="1" applyProtection="1">
      <alignment horizontal="left" vertical="center"/>
      <protection locked="0"/>
    </xf>
    <xf numFmtId="184" fontId="8" fillId="0" borderId="22" xfId="0" applyNumberFormat="1" applyFont="1" applyFill="1" applyBorder="1" applyAlignment="1" applyProtection="1">
      <alignment horizontal="center" vertical="center"/>
      <protection locked="0"/>
    </xf>
    <xf numFmtId="184" fontId="8" fillId="0" borderId="22" xfId="0" applyNumberFormat="1" applyFont="1" applyFill="1" applyBorder="1" applyAlignment="1" applyProtection="1">
      <alignment vertical="center"/>
      <protection locked="0"/>
    </xf>
    <xf numFmtId="0" fontId="8" fillId="0" borderId="22" xfId="0" applyFont="1" applyFill="1" applyBorder="1" applyAlignment="1" applyProtection="1">
      <alignment horizontal="right" vertical="center"/>
      <protection locked="0"/>
    </xf>
    <xf numFmtId="4" fontId="55" fillId="0" borderId="22" xfId="42" applyNumberFormat="1" applyFont="1" applyFill="1" applyBorder="1" applyAlignment="1" applyProtection="1">
      <alignment horizontal="right" vertical="center"/>
      <protection locked="0"/>
    </xf>
    <xf numFmtId="3" fontId="55" fillId="0" borderId="22" xfId="42" applyNumberFormat="1" applyFont="1" applyFill="1" applyBorder="1" applyAlignment="1" applyProtection="1">
      <alignment horizontal="right" vertical="center"/>
      <protection locked="0"/>
    </xf>
    <xf numFmtId="3" fontId="8" fillId="0" borderId="22" xfId="42" applyNumberFormat="1" applyFont="1" applyFill="1" applyBorder="1" applyAlignment="1" applyProtection="1">
      <alignment horizontal="right" vertical="center"/>
      <protection/>
    </xf>
    <xf numFmtId="2" fontId="8" fillId="0" borderId="22" xfId="42" applyNumberFormat="1" applyFont="1" applyFill="1" applyBorder="1" applyAlignment="1" applyProtection="1">
      <alignment horizontal="right" vertical="center"/>
      <protection/>
    </xf>
    <xf numFmtId="4" fontId="8" fillId="0" borderId="22" xfId="42" applyNumberFormat="1" applyFont="1" applyFill="1" applyBorder="1" applyAlignment="1" applyProtection="1">
      <alignment horizontal="right" vertical="center"/>
      <protection locked="0"/>
    </xf>
    <xf numFmtId="3" fontId="8" fillId="0" borderId="22" xfId="42" applyNumberFormat="1" applyFont="1" applyFill="1" applyBorder="1" applyAlignment="1" applyProtection="1">
      <alignment horizontal="right" vertical="center"/>
      <protection locked="0"/>
    </xf>
    <xf numFmtId="2" fontId="8" fillId="0" borderId="23" xfId="0" applyNumberFormat="1" applyFont="1" applyFill="1" applyBorder="1" applyAlignment="1">
      <alignment vertical="center"/>
    </xf>
    <xf numFmtId="184" fontId="8" fillId="0" borderId="38" xfId="0" applyNumberFormat="1" applyFont="1" applyFill="1" applyBorder="1" applyAlignment="1">
      <alignment horizontal="center" vertical="center"/>
    </xf>
    <xf numFmtId="4" fontId="55" fillId="0" borderId="38" xfId="0" applyNumberFormat="1" applyFont="1" applyFill="1" applyBorder="1" applyAlignment="1" applyProtection="1">
      <alignment horizontal="right" vertical="center"/>
      <protection locked="0"/>
    </xf>
    <xf numFmtId="3" fontId="55" fillId="0" borderId="38" xfId="0" applyNumberFormat="1" applyFont="1" applyFill="1" applyBorder="1" applyAlignment="1" applyProtection="1">
      <alignment horizontal="right" vertical="center"/>
      <protection locked="0"/>
    </xf>
    <xf numFmtId="0" fontId="9" fillId="0" borderId="12" xfId="0" applyFont="1" applyFill="1" applyBorder="1" applyAlignment="1">
      <alignment horizontal="right" vertical="center"/>
    </xf>
    <xf numFmtId="184" fontId="8" fillId="0" borderId="11" xfId="0" applyNumberFormat="1" applyFont="1" applyFill="1" applyBorder="1" applyAlignment="1">
      <alignment horizontal="center" vertical="center" shrinkToFit="1"/>
    </xf>
    <xf numFmtId="0" fontId="8" fillId="0" borderId="11" xfId="0" applyFont="1" applyFill="1" applyBorder="1" applyAlignment="1">
      <alignment horizontal="left" vertical="center" shrinkToFit="1"/>
    </xf>
    <xf numFmtId="0" fontId="8" fillId="0" borderId="11" xfId="0" applyFont="1" applyFill="1" applyBorder="1" applyAlignment="1">
      <alignment horizontal="center" vertical="center" shrinkToFit="1"/>
    </xf>
    <xf numFmtId="0" fontId="8" fillId="0" borderId="35" xfId="0" applyFont="1" applyFill="1" applyBorder="1" applyAlignment="1" applyProtection="1">
      <alignment vertical="center"/>
      <protection locked="0"/>
    </xf>
    <xf numFmtId="0" fontId="8" fillId="0" borderId="35" xfId="0" applyFont="1" applyFill="1" applyBorder="1" applyAlignment="1">
      <alignment vertical="center" shrinkToFit="1"/>
    </xf>
    <xf numFmtId="0" fontId="8" fillId="0" borderId="35" xfId="0" applyFont="1" applyFill="1" applyBorder="1" applyAlignment="1" applyProtection="1">
      <alignment vertical="center" shrinkToFit="1"/>
      <protection locked="0"/>
    </xf>
    <xf numFmtId="4" fontId="55" fillId="0" borderId="46" xfId="40" applyNumberFormat="1" applyFont="1" applyFill="1" applyBorder="1" applyAlignment="1" applyProtection="1">
      <alignment vertical="center"/>
      <protection locked="0"/>
    </xf>
    <xf numFmtId="4" fontId="8" fillId="0" borderId="46" xfId="40" applyNumberFormat="1" applyFont="1" applyFill="1" applyBorder="1" applyAlignment="1" applyProtection="1">
      <alignment vertical="center"/>
      <protection locked="0"/>
    </xf>
    <xf numFmtId="0" fontId="8" fillId="0" borderId="46" xfId="0" applyFont="1" applyFill="1" applyBorder="1" applyAlignment="1">
      <alignment/>
    </xf>
    <xf numFmtId="184" fontId="8" fillId="0" borderId="46" xfId="0" applyNumberFormat="1" applyFont="1" applyFill="1" applyBorder="1" applyAlignment="1">
      <alignment horizontal="center"/>
    </xf>
    <xf numFmtId="0" fontId="8" fillId="0" borderId="46" xfId="0" applyFont="1" applyFill="1" applyBorder="1" applyAlignment="1">
      <alignment horizontal="left"/>
    </xf>
    <xf numFmtId="4" fontId="55" fillId="0" borderId="46" xfId="0" applyNumberFormat="1" applyFont="1" applyFill="1" applyBorder="1" applyAlignment="1">
      <alignment wrapText="1"/>
    </xf>
    <xf numFmtId="3" fontId="55" fillId="0" borderId="46" xfId="0" applyNumberFormat="1" applyFont="1" applyFill="1" applyBorder="1" applyAlignment="1">
      <alignment/>
    </xf>
    <xf numFmtId="4" fontId="8" fillId="0" borderId="46" xfId="0" applyNumberFormat="1" applyFont="1" applyFill="1" applyBorder="1" applyAlignment="1">
      <alignment wrapText="1"/>
    </xf>
    <xf numFmtId="3" fontId="8" fillId="0" borderId="46" xfId="0" applyNumberFormat="1" applyFont="1" applyFill="1" applyBorder="1" applyAlignment="1">
      <alignment/>
    </xf>
    <xf numFmtId="0" fontId="8" fillId="0" borderId="46" xfId="0" applyFont="1" applyFill="1" applyBorder="1" applyAlignment="1">
      <alignment horizontal="left" vertical="center" shrinkToFit="1"/>
    </xf>
    <xf numFmtId="4" fontId="55" fillId="0" borderId="46" xfId="0" applyNumberFormat="1" applyFont="1" applyFill="1" applyBorder="1" applyAlignment="1" applyProtection="1">
      <alignment vertical="center"/>
      <protection locked="0"/>
    </xf>
    <xf numFmtId="3" fontId="55" fillId="0" borderId="46" xfId="0" applyNumberFormat="1" applyFont="1" applyFill="1" applyBorder="1" applyAlignment="1" applyProtection="1">
      <alignment vertical="center"/>
      <protection locked="0"/>
    </xf>
    <xf numFmtId="4" fontId="8" fillId="0" borderId="46" xfId="0" applyNumberFormat="1" applyFont="1" applyFill="1" applyBorder="1" applyAlignment="1" applyProtection="1">
      <alignment vertical="center"/>
      <protection locked="0"/>
    </xf>
    <xf numFmtId="3" fontId="8" fillId="0" borderId="46" xfId="0" applyNumberFormat="1" applyFont="1" applyFill="1" applyBorder="1" applyAlignment="1" applyProtection="1">
      <alignment vertical="center"/>
      <protection locked="0"/>
    </xf>
    <xf numFmtId="0" fontId="8" fillId="0" borderId="45" xfId="0" applyFont="1" applyFill="1" applyBorder="1" applyAlignment="1">
      <alignment vertical="center" shrinkToFit="1"/>
    </xf>
    <xf numFmtId="0" fontId="8" fillId="0" borderId="45" xfId="0" applyFont="1" applyFill="1" applyBorder="1" applyAlignment="1">
      <alignment/>
    </xf>
    <xf numFmtId="1" fontId="9" fillId="0" borderId="12" xfId="67" applyNumberFormat="1" applyFont="1" applyFill="1" applyBorder="1" applyAlignment="1" applyProtection="1">
      <alignment horizontal="right" vertical="center"/>
      <protection/>
    </xf>
    <xf numFmtId="49" fontId="8" fillId="0" borderId="11" xfId="0" applyNumberFormat="1" applyFont="1" applyFill="1" applyBorder="1" applyAlignment="1" applyProtection="1">
      <alignment horizontal="center" vertical="center"/>
      <protection locked="0"/>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8" fillId="0" borderId="11" xfId="54" applyNumberFormat="1" applyFont="1" applyFill="1" applyBorder="1" applyAlignment="1" applyProtection="1">
      <alignment horizontal="left" vertical="center"/>
      <protection locked="0"/>
    </xf>
    <xf numFmtId="184" fontId="8" fillId="0" borderId="11" xfId="54" applyNumberFormat="1" applyFont="1" applyFill="1" applyBorder="1" applyAlignment="1" applyProtection="1">
      <alignment horizontal="center" vertical="center"/>
      <protection locked="0"/>
    </xf>
    <xf numFmtId="0" fontId="8" fillId="0" borderId="11" xfId="54" applyNumberFormat="1" applyFont="1" applyFill="1" applyBorder="1" applyAlignment="1" applyProtection="1">
      <alignment horizontal="center" vertical="center"/>
      <protection locked="0"/>
    </xf>
    <xf numFmtId="4" fontId="55" fillId="0" borderId="11" xfId="44" applyNumberFormat="1" applyFont="1" applyFill="1" applyBorder="1" applyAlignment="1" applyProtection="1">
      <alignment horizontal="right" vertical="center"/>
      <protection locked="0"/>
    </xf>
    <xf numFmtId="3" fontId="8" fillId="0" borderId="11" xfId="44" applyNumberFormat="1" applyFont="1" applyFill="1" applyBorder="1" applyAlignment="1" applyProtection="1">
      <alignment horizontal="right" vertical="center"/>
      <protection/>
    </xf>
    <xf numFmtId="4" fontId="8" fillId="0" borderId="11" xfId="44" applyNumberFormat="1" applyFont="1" applyFill="1" applyBorder="1" applyAlignment="1" applyProtection="1">
      <alignment horizontal="right" vertical="center"/>
      <protection locked="0"/>
    </xf>
    <xf numFmtId="2" fontId="8" fillId="0" borderId="11" xfId="44" applyNumberFormat="1" applyFont="1" applyFill="1" applyBorder="1" applyAlignment="1" applyProtection="1">
      <alignment horizontal="right" vertical="center"/>
      <protection/>
    </xf>
    <xf numFmtId="4" fontId="8" fillId="0" borderId="11" xfId="0" applyNumberFormat="1" applyFont="1" applyFill="1" applyBorder="1" applyAlignment="1">
      <alignment horizontal="right" vertical="center"/>
    </xf>
    <xf numFmtId="3" fontId="8" fillId="0" borderId="11" xfId="0" applyNumberFormat="1" applyFont="1" applyFill="1" applyBorder="1" applyAlignment="1">
      <alignment horizontal="right" vertical="center"/>
    </xf>
    <xf numFmtId="3" fontId="8" fillId="0" borderId="11" xfId="0" applyNumberFormat="1" applyFont="1" applyFill="1" applyBorder="1" applyAlignment="1">
      <alignment horizontal="right" vertical="center"/>
    </xf>
    <xf numFmtId="3" fontId="55" fillId="0" borderId="11" xfId="44" applyNumberFormat="1" applyFont="1" applyFill="1" applyBorder="1" applyAlignment="1" applyProtection="1">
      <alignment horizontal="right" vertical="center"/>
      <protection locked="0"/>
    </xf>
    <xf numFmtId="3" fontId="8" fillId="0" borderId="11" xfId="44" applyNumberFormat="1" applyFont="1" applyFill="1" applyBorder="1" applyAlignment="1" applyProtection="1">
      <alignment horizontal="right" vertical="center"/>
      <protection locked="0"/>
    </xf>
    <xf numFmtId="0" fontId="8" fillId="0" borderId="11" xfId="53" applyFont="1" applyFill="1" applyBorder="1" applyAlignment="1">
      <alignment horizontal="left" vertical="center"/>
      <protection/>
    </xf>
    <xf numFmtId="184" fontId="8" fillId="0" borderId="11" xfId="53" applyNumberFormat="1" applyFont="1" applyFill="1" applyBorder="1" applyAlignment="1">
      <alignment horizontal="center" vertical="center"/>
      <protection/>
    </xf>
    <xf numFmtId="0" fontId="8" fillId="0" borderId="11" xfId="53" applyFont="1" applyFill="1" applyBorder="1" applyAlignment="1">
      <alignment horizontal="center" vertical="center"/>
      <protection/>
    </xf>
    <xf numFmtId="4" fontId="55" fillId="0" borderId="11" xfId="53" applyNumberFormat="1" applyFont="1" applyFill="1" applyBorder="1" applyAlignment="1" applyProtection="1">
      <alignment horizontal="right" vertical="center"/>
      <protection/>
    </xf>
    <xf numFmtId="3" fontId="55" fillId="0" borderId="11" xfId="53" applyNumberFormat="1" applyFont="1" applyFill="1" applyBorder="1" applyAlignment="1" applyProtection="1">
      <alignment horizontal="right" vertical="center"/>
      <protection/>
    </xf>
    <xf numFmtId="3" fontId="8" fillId="0" borderId="11" xfId="53" applyNumberFormat="1" applyFont="1" applyFill="1" applyBorder="1" applyAlignment="1" applyProtection="1">
      <alignment horizontal="right" vertical="center"/>
      <protection/>
    </xf>
    <xf numFmtId="2" fontId="8" fillId="0" borderId="11" xfId="53" applyNumberFormat="1" applyFont="1" applyFill="1" applyBorder="1" applyAlignment="1" applyProtection="1">
      <alignment horizontal="right" vertical="center"/>
      <protection/>
    </xf>
    <xf numFmtId="4" fontId="8" fillId="0" borderId="11" xfId="53" applyNumberFormat="1" applyFont="1" applyFill="1" applyBorder="1" applyAlignment="1" applyProtection="1">
      <alignment horizontal="right" vertical="center"/>
      <protection/>
    </xf>
    <xf numFmtId="0" fontId="8" fillId="0" borderId="24" xfId="0" applyNumberFormat="1" applyFont="1" applyFill="1" applyBorder="1" applyAlignment="1" applyProtection="1">
      <alignment horizontal="left" vertical="center"/>
      <protection locked="0"/>
    </xf>
    <xf numFmtId="184" fontId="8" fillId="0" borderId="13" xfId="0" applyNumberFormat="1" applyFont="1" applyFill="1" applyBorder="1" applyAlignment="1" applyProtection="1">
      <alignment horizontal="center" vertical="center"/>
      <protection locked="0"/>
    </xf>
    <xf numFmtId="49" fontId="8" fillId="0" borderId="13" xfId="0" applyNumberFormat="1" applyFont="1" applyFill="1" applyBorder="1" applyAlignment="1" applyProtection="1">
      <alignment horizontal="left" vertical="center"/>
      <protection locked="0"/>
    </xf>
    <xf numFmtId="0" fontId="8" fillId="0" borderId="13" xfId="0" applyNumberFormat="1" applyFont="1" applyFill="1" applyBorder="1" applyAlignment="1" applyProtection="1">
      <alignment horizontal="center" vertical="center"/>
      <protection locked="0"/>
    </xf>
    <xf numFmtId="4" fontId="55" fillId="0" borderId="13" xfId="40" applyNumberFormat="1" applyFont="1" applyFill="1" applyBorder="1" applyAlignment="1" applyProtection="1">
      <alignment horizontal="right" vertical="center"/>
      <protection locked="0"/>
    </xf>
    <xf numFmtId="3" fontId="55" fillId="0" borderId="13" xfId="40" applyNumberFormat="1" applyFont="1" applyFill="1" applyBorder="1" applyAlignment="1" applyProtection="1">
      <alignment horizontal="right" vertical="center"/>
      <protection locked="0"/>
    </xf>
    <xf numFmtId="3" fontId="8" fillId="0" borderId="13" xfId="67" applyNumberFormat="1" applyFont="1" applyFill="1" applyBorder="1" applyAlignment="1" applyProtection="1">
      <alignment horizontal="right" vertical="center"/>
      <protection/>
    </xf>
    <xf numFmtId="2" fontId="8" fillId="0" borderId="13" xfId="67" applyNumberFormat="1" applyFont="1" applyFill="1" applyBorder="1" applyAlignment="1" applyProtection="1">
      <alignment horizontal="right" vertical="center"/>
      <protection/>
    </xf>
    <xf numFmtId="4" fontId="8" fillId="0" borderId="13" xfId="40" applyNumberFormat="1" applyFont="1" applyFill="1" applyBorder="1" applyAlignment="1" applyProtection="1">
      <alignment horizontal="right" vertical="center"/>
      <protection locked="0"/>
    </xf>
    <xf numFmtId="3" fontId="8" fillId="0" borderId="13" xfId="40" applyNumberFormat="1" applyFont="1" applyFill="1" applyBorder="1" applyAlignment="1" applyProtection="1">
      <alignment horizontal="right" vertical="center"/>
      <protection locked="0"/>
    </xf>
    <xf numFmtId="2" fontId="8" fillId="0" borderId="49" xfId="67" applyNumberFormat="1" applyFont="1" applyFill="1" applyBorder="1" applyAlignment="1" applyProtection="1">
      <alignment horizontal="right" vertical="center"/>
      <protection/>
    </xf>
    <xf numFmtId="0" fontId="8" fillId="0" borderId="35" xfId="54" applyNumberFormat="1" applyFont="1" applyFill="1" applyBorder="1" applyAlignment="1" applyProtection="1">
      <alignment horizontal="left" vertical="center"/>
      <protection locked="0"/>
    </xf>
    <xf numFmtId="2" fontId="8" fillId="0" borderId="36" xfId="44" applyNumberFormat="1" applyFont="1" applyFill="1" applyBorder="1" applyAlignment="1" applyProtection="1">
      <alignment horizontal="right" vertical="center"/>
      <protection/>
    </xf>
    <xf numFmtId="0" fontId="8" fillId="0" borderId="35" xfId="53" applyFont="1" applyFill="1" applyBorder="1" applyAlignment="1">
      <alignment horizontal="left" vertical="center"/>
      <protection/>
    </xf>
    <xf numFmtId="2" fontId="8" fillId="0" borderId="36" xfId="53" applyNumberFormat="1" applyFont="1" applyFill="1" applyBorder="1" applyAlignment="1" applyProtection="1">
      <alignment horizontal="right" vertical="center"/>
      <protection/>
    </xf>
    <xf numFmtId="184" fontId="8" fillId="0" borderId="38" xfId="0" applyNumberFormat="1" applyFont="1" applyFill="1" applyBorder="1" applyAlignment="1" applyProtection="1">
      <alignment horizontal="center" vertical="center"/>
      <protection locked="0"/>
    </xf>
    <xf numFmtId="4" fontId="55" fillId="0" borderId="38" xfId="40" applyNumberFormat="1" applyFont="1" applyFill="1" applyBorder="1" applyAlignment="1" applyProtection="1">
      <alignment horizontal="right" vertical="center"/>
      <protection/>
    </xf>
    <xf numFmtId="3" fontId="55" fillId="0" borderId="38" xfId="40" applyNumberFormat="1" applyFont="1" applyFill="1" applyBorder="1" applyAlignment="1" applyProtection="1">
      <alignment horizontal="right" vertical="center"/>
      <protection/>
    </xf>
    <xf numFmtId="3" fontId="8" fillId="0" borderId="38" xfId="67" applyNumberFormat="1" applyFont="1" applyFill="1" applyBorder="1" applyAlignment="1" applyProtection="1">
      <alignment horizontal="right" vertical="center"/>
      <protection/>
    </xf>
    <xf numFmtId="2" fontId="8" fillId="0" borderId="38" xfId="67" applyNumberFormat="1" applyFont="1" applyFill="1" applyBorder="1" applyAlignment="1" applyProtection="1">
      <alignment horizontal="right" vertical="center"/>
      <protection/>
    </xf>
    <xf numFmtId="4" fontId="8" fillId="0" borderId="38" xfId="40" applyNumberFormat="1" applyFont="1" applyFill="1" applyBorder="1" applyAlignment="1" applyProtection="1">
      <alignment horizontal="right" vertical="center"/>
      <protection/>
    </xf>
    <xf numFmtId="3" fontId="8" fillId="0" borderId="38" xfId="0" applyNumberFormat="1" applyFont="1" applyFill="1" applyBorder="1" applyAlignment="1">
      <alignment horizontal="right" vertical="center"/>
    </xf>
    <xf numFmtId="2" fontId="8" fillId="0" borderId="39" xfId="67" applyNumberFormat="1" applyFont="1" applyFill="1" applyBorder="1" applyAlignment="1" applyProtection="1">
      <alignment horizontal="right" vertical="center"/>
      <protection/>
    </xf>
    <xf numFmtId="0" fontId="8" fillId="0" borderId="50" xfId="54" applyNumberFormat="1" applyFont="1" applyFill="1" applyBorder="1" applyAlignment="1" applyProtection="1">
      <alignment horizontal="left" vertical="center"/>
      <protection locked="0"/>
    </xf>
    <xf numFmtId="184" fontId="8" fillId="0" borderId="10" xfId="54" applyNumberFormat="1" applyFont="1" applyFill="1" applyBorder="1" applyAlignment="1" applyProtection="1">
      <alignment horizontal="center" vertical="center"/>
      <protection locked="0"/>
    </xf>
    <xf numFmtId="0" fontId="8" fillId="0" borderId="10" xfId="54" applyNumberFormat="1" applyFont="1" applyFill="1" applyBorder="1" applyAlignment="1" applyProtection="1">
      <alignment horizontal="left" vertical="center"/>
      <protection locked="0"/>
    </xf>
    <xf numFmtId="0" fontId="8" fillId="0" borderId="10" xfId="54" applyNumberFormat="1" applyFont="1" applyFill="1" applyBorder="1" applyAlignment="1" applyProtection="1">
      <alignment horizontal="center" vertical="center"/>
      <protection locked="0"/>
    </xf>
    <xf numFmtId="4" fontId="55" fillId="0" borderId="10" xfId="44" applyNumberFormat="1" applyFont="1" applyFill="1" applyBorder="1" applyAlignment="1" applyProtection="1">
      <alignment horizontal="right" vertical="center"/>
      <protection locked="0"/>
    </xf>
    <xf numFmtId="3" fontId="55" fillId="0" borderId="10" xfId="44" applyNumberFormat="1" applyFont="1" applyFill="1" applyBorder="1" applyAlignment="1" applyProtection="1">
      <alignment horizontal="right" vertical="center"/>
      <protection locked="0"/>
    </xf>
    <xf numFmtId="3" fontId="8" fillId="0" borderId="10" xfId="44" applyNumberFormat="1" applyFont="1" applyFill="1" applyBorder="1" applyAlignment="1" applyProtection="1">
      <alignment horizontal="right" vertical="center"/>
      <protection/>
    </xf>
    <xf numFmtId="2" fontId="8" fillId="0" borderId="10" xfId="44" applyNumberFormat="1" applyFont="1" applyFill="1" applyBorder="1" applyAlignment="1" applyProtection="1">
      <alignment horizontal="right" vertical="center"/>
      <protection/>
    </xf>
    <xf numFmtId="4" fontId="8" fillId="0" borderId="10" xfId="44" applyNumberFormat="1" applyFont="1" applyFill="1" applyBorder="1" applyAlignment="1" applyProtection="1">
      <alignment horizontal="right" vertical="center"/>
      <protection locked="0"/>
    </xf>
    <xf numFmtId="3" fontId="8" fillId="0" borderId="10" xfId="44" applyNumberFormat="1" applyFont="1" applyFill="1" applyBorder="1" applyAlignment="1" applyProtection="1">
      <alignment horizontal="right" vertical="center"/>
      <protection locked="0"/>
    </xf>
    <xf numFmtId="2" fontId="8" fillId="0" borderId="51" xfId="44" applyNumberFormat="1" applyFont="1" applyFill="1" applyBorder="1" applyAlignment="1" applyProtection="1">
      <alignment horizontal="right" vertical="center"/>
      <protection/>
    </xf>
    <xf numFmtId="0" fontId="8" fillId="0" borderId="52" xfId="0" applyFont="1" applyFill="1" applyBorder="1" applyAlignment="1" applyProtection="1">
      <alignment horizontal="left" vertical="center"/>
      <protection locked="0"/>
    </xf>
    <xf numFmtId="184" fontId="8" fillId="0" borderId="53" xfId="0" applyNumberFormat="1" applyFont="1" applyFill="1" applyBorder="1" applyAlignment="1" applyProtection="1">
      <alignment horizontal="center" vertical="center"/>
      <protection locked="0"/>
    </xf>
    <xf numFmtId="0" fontId="8" fillId="0" borderId="53" xfId="0" applyFont="1" applyFill="1" applyBorder="1" applyAlignment="1">
      <alignment horizontal="left" vertical="center"/>
    </xf>
    <xf numFmtId="0" fontId="8" fillId="0" borderId="53" xfId="0" applyFont="1" applyFill="1" applyBorder="1" applyAlignment="1" applyProtection="1">
      <alignment horizontal="center" vertical="center"/>
      <protection locked="0"/>
    </xf>
    <xf numFmtId="4" fontId="55" fillId="0" borderId="53" xfId="42" applyNumberFormat="1" applyFont="1" applyFill="1" applyBorder="1" applyAlignment="1" applyProtection="1">
      <alignment horizontal="right" vertical="center"/>
      <protection locked="0"/>
    </xf>
    <xf numFmtId="3" fontId="55" fillId="0" borderId="53" xfId="42" applyNumberFormat="1" applyFont="1" applyFill="1" applyBorder="1" applyAlignment="1" applyProtection="1">
      <alignment horizontal="right" vertical="center"/>
      <protection locked="0"/>
    </xf>
    <xf numFmtId="3" fontId="8" fillId="0" borderId="53" xfId="42" applyNumberFormat="1" applyFont="1" applyFill="1" applyBorder="1" applyAlignment="1" applyProtection="1">
      <alignment horizontal="right" vertical="center"/>
      <protection/>
    </xf>
    <xf numFmtId="2" fontId="8" fillId="0" borderId="53" xfId="42" applyNumberFormat="1" applyFont="1" applyFill="1" applyBorder="1" applyAlignment="1" applyProtection="1">
      <alignment horizontal="right" vertical="center"/>
      <protection/>
    </xf>
    <xf numFmtId="4" fontId="8" fillId="0" borderId="53" xfId="42" applyNumberFormat="1" applyFont="1" applyFill="1" applyBorder="1" applyAlignment="1" applyProtection="1">
      <alignment horizontal="right" vertical="center"/>
      <protection locked="0"/>
    </xf>
    <xf numFmtId="3" fontId="8" fillId="0" borderId="53" xfId="42" applyNumberFormat="1" applyFont="1" applyFill="1" applyBorder="1" applyAlignment="1" applyProtection="1">
      <alignment horizontal="right" vertical="center"/>
      <protection locked="0"/>
    </xf>
    <xf numFmtId="2" fontId="8" fillId="0" borderId="54" xfId="42" applyNumberFormat="1" applyFont="1" applyFill="1" applyBorder="1" applyAlignment="1" applyProtection="1">
      <alignment horizontal="right" vertical="center"/>
      <protection/>
    </xf>
    <xf numFmtId="0" fontId="8" fillId="0" borderId="11" xfId="0" applyFont="1" applyFill="1" applyBorder="1" applyAlignment="1">
      <alignment horizontal="center" vertical="center"/>
    </xf>
    <xf numFmtId="0" fontId="8" fillId="0" borderId="24"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8" fillId="0" borderId="13" xfId="0" applyFont="1" applyFill="1" applyBorder="1" applyAlignment="1" applyProtection="1">
      <alignment horizontal="center" vertical="center"/>
      <protection locked="0"/>
    </xf>
    <xf numFmtId="4" fontId="55" fillId="0" borderId="13" xfId="42" applyNumberFormat="1" applyFont="1" applyFill="1" applyBorder="1" applyAlignment="1" applyProtection="1">
      <alignment horizontal="right" vertical="center"/>
      <protection locked="0"/>
    </xf>
    <xf numFmtId="3" fontId="55" fillId="0" borderId="13" xfId="42" applyNumberFormat="1" applyFont="1" applyFill="1" applyBorder="1" applyAlignment="1" applyProtection="1">
      <alignment horizontal="right" vertical="center"/>
      <protection locked="0"/>
    </xf>
    <xf numFmtId="2" fontId="8" fillId="0" borderId="49" xfId="42" applyNumberFormat="1" applyFont="1" applyFill="1" applyBorder="1" applyAlignment="1" applyProtection="1">
      <alignment horizontal="right" vertical="center"/>
      <protection/>
    </xf>
    <xf numFmtId="0" fontId="8" fillId="0" borderId="50"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0" fontId="8" fillId="0" borderId="10" xfId="0" applyFont="1" applyFill="1" applyBorder="1" applyAlignment="1" applyProtection="1">
      <alignment horizontal="center" vertical="center"/>
      <protection locked="0"/>
    </xf>
    <xf numFmtId="4" fontId="55" fillId="0" borderId="10" xfId="42" applyNumberFormat="1" applyFont="1" applyFill="1" applyBorder="1" applyAlignment="1" applyProtection="1">
      <alignment horizontal="right" vertical="center"/>
      <protection locked="0"/>
    </xf>
    <xf numFmtId="3" fontId="55" fillId="0" borderId="10" xfId="42" applyNumberFormat="1" applyFont="1" applyFill="1" applyBorder="1" applyAlignment="1" applyProtection="1">
      <alignment horizontal="right" vertical="center"/>
      <protection locked="0"/>
    </xf>
    <xf numFmtId="2" fontId="8" fillId="0" borderId="51" xfId="42" applyNumberFormat="1" applyFont="1" applyFill="1" applyBorder="1" applyAlignment="1" applyProtection="1">
      <alignment horizontal="right" vertical="center"/>
      <protection/>
    </xf>
    <xf numFmtId="0" fontId="8" fillId="0" borderId="52" xfId="0" applyFont="1" applyFill="1" applyBorder="1" applyAlignment="1">
      <alignment horizontal="left" vertical="center"/>
    </xf>
    <xf numFmtId="184" fontId="8" fillId="0" borderId="53" xfId="0" applyNumberFormat="1" applyFont="1" applyFill="1" applyBorder="1" applyAlignment="1">
      <alignment horizontal="center" vertical="center"/>
    </xf>
    <xf numFmtId="14" fontId="8" fillId="0" borderId="53" xfId="0" applyNumberFormat="1" applyFont="1" applyFill="1" applyBorder="1" applyAlignment="1">
      <alignment horizontal="left" vertical="center"/>
    </xf>
    <xf numFmtId="0" fontId="8" fillId="0" borderId="53" xfId="0" applyFont="1" applyFill="1" applyBorder="1" applyAlignment="1">
      <alignment horizontal="center" vertical="center"/>
    </xf>
    <xf numFmtId="4" fontId="55" fillId="0" borderId="53" xfId="0" applyNumberFormat="1" applyFont="1" applyFill="1" applyBorder="1" applyAlignment="1">
      <alignment horizontal="right" vertical="center"/>
    </xf>
    <xf numFmtId="3" fontId="55" fillId="0" borderId="53" xfId="0" applyNumberFormat="1" applyFont="1" applyFill="1" applyBorder="1" applyAlignment="1">
      <alignment horizontal="right" vertical="center"/>
    </xf>
    <xf numFmtId="2" fontId="8" fillId="0" borderId="54" xfId="0" applyNumberFormat="1" applyFont="1" applyFill="1" applyBorder="1" applyAlignment="1">
      <alignment horizontal="right" vertical="center"/>
    </xf>
    <xf numFmtId="0" fontId="6" fillId="0" borderId="11" xfId="0" applyNumberFormat="1" applyFont="1" applyFill="1" applyBorder="1" applyAlignment="1" applyProtection="1">
      <alignment horizontal="right" vertical="center" wrapText="1"/>
      <protection locked="0"/>
    </xf>
    <xf numFmtId="0" fontId="0" fillId="0" borderId="11" xfId="0" applyBorder="1" applyAlignment="1">
      <alignment/>
    </xf>
    <xf numFmtId="0" fontId="6" fillId="0" borderId="11" xfId="0" applyFont="1" applyBorder="1" applyAlignment="1">
      <alignment horizontal="right" vertical="center" wrapText="1"/>
    </xf>
    <xf numFmtId="0" fontId="24" fillId="33" borderId="10" xfId="0" applyFont="1" applyFill="1" applyBorder="1" applyAlignment="1">
      <alignment horizontal="center" vertical="center"/>
    </xf>
    <xf numFmtId="0" fontId="15" fillId="0" borderId="10" xfId="0" applyFont="1" applyBorder="1" applyAlignment="1">
      <alignment horizontal="center"/>
    </xf>
    <xf numFmtId="0" fontId="33" fillId="0" borderId="11" xfId="0" applyFont="1" applyBorder="1" applyAlignment="1" applyProtection="1">
      <alignment horizontal="right" vertical="center" wrapText="1"/>
      <protection locked="0"/>
    </xf>
    <xf numFmtId="0" fontId="13" fillId="0" borderId="11" xfId="0" applyFont="1" applyBorder="1" applyAlignment="1">
      <alignment/>
    </xf>
    <xf numFmtId="0" fontId="34" fillId="0" borderId="11" xfId="0" applyFont="1" applyBorder="1" applyAlignment="1" applyProtection="1">
      <alignment horizontal="right" vertical="center" wrapText="1"/>
      <protection locked="0"/>
    </xf>
    <xf numFmtId="0" fontId="47" fillId="33" borderId="55" xfId="0" applyFont="1" applyFill="1" applyBorder="1" applyAlignment="1" applyProtection="1">
      <alignment horizontal="center" vertical="center"/>
      <protection/>
    </xf>
    <xf numFmtId="0" fontId="48" fillId="0" borderId="34" xfId="0" applyFont="1" applyBorder="1" applyAlignment="1">
      <alignment/>
    </xf>
    <xf numFmtId="0" fontId="48" fillId="0" borderId="56" xfId="0" applyFont="1" applyBorder="1" applyAlignment="1">
      <alignment/>
    </xf>
    <xf numFmtId="181" fontId="49" fillId="0" borderId="43" xfId="0" applyNumberFormat="1" applyFont="1" applyFill="1" applyBorder="1" applyAlignment="1" applyProtection="1">
      <alignment horizontal="center" wrapText="1"/>
      <protection/>
    </xf>
    <xf numFmtId="0" fontId="50" fillId="0" borderId="43" xfId="0" applyFont="1" applyBorder="1" applyAlignment="1">
      <alignment horizontal="center"/>
    </xf>
    <xf numFmtId="0" fontId="50" fillId="0" borderId="44" xfId="0" applyFont="1" applyBorder="1" applyAlignment="1">
      <alignment horizontal="center"/>
    </xf>
    <xf numFmtId="0" fontId="49" fillId="0" borderId="43" xfId="0" applyNumberFormat="1" applyFont="1" applyFill="1" applyBorder="1" applyAlignment="1" applyProtection="1">
      <alignment horizontal="center" wrapText="1"/>
      <protection/>
    </xf>
    <xf numFmtId="0" fontId="50" fillId="0" borderId="22" xfId="0" applyFont="1" applyBorder="1" applyAlignment="1">
      <alignment horizontal="center"/>
    </xf>
    <xf numFmtId="43" fontId="49" fillId="0" borderId="42" xfId="40" applyFont="1" applyFill="1" applyBorder="1" applyAlignment="1" applyProtection="1">
      <alignment horizontal="center" wrapText="1"/>
      <protection/>
    </xf>
    <xf numFmtId="0" fontId="50" fillId="0" borderId="48" xfId="0" applyFont="1" applyBorder="1" applyAlignment="1">
      <alignment horizontal="center"/>
    </xf>
    <xf numFmtId="0" fontId="49" fillId="0" borderId="43" xfId="0" applyFont="1" applyFill="1" applyBorder="1" applyAlignment="1" applyProtection="1">
      <alignment horizontal="center" wrapText="1"/>
      <protection/>
    </xf>
    <xf numFmtId="4" fontId="49" fillId="0" borderId="43" xfId="0" applyNumberFormat="1" applyFont="1" applyFill="1" applyBorder="1" applyAlignment="1" applyProtection="1">
      <alignment horizontal="center" wrapText="1"/>
      <protection/>
    </xf>
    <xf numFmtId="184" fontId="49" fillId="0" borderId="43" xfId="0" applyNumberFormat="1" applyFont="1" applyFill="1" applyBorder="1" applyAlignment="1" applyProtection="1">
      <alignment horizontal="center" wrapText="1"/>
      <protection/>
    </xf>
    <xf numFmtId="0" fontId="41" fillId="36" borderId="34" xfId="0" applyFont="1" applyFill="1" applyBorder="1" applyAlignment="1">
      <alignment horizontal="center" vertical="center" wrapText="1"/>
    </xf>
    <xf numFmtId="0" fontId="36" fillId="36" borderId="34" xfId="0" applyFont="1" applyFill="1" applyBorder="1" applyAlignment="1">
      <alignment horizontal="center" vertical="center" wrapText="1"/>
    </xf>
    <xf numFmtId="0" fontId="49" fillId="0" borderId="40" xfId="0" applyNumberFormat="1" applyFont="1" applyFill="1" applyBorder="1" applyAlignment="1">
      <alignment horizontal="center" vertical="center" wrapText="1"/>
    </xf>
    <xf numFmtId="0" fontId="49" fillId="0" borderId="57" xfId="0" applyNumberFormat="1" applyFont="1" applyFill="1" applyBorder="1" applyAlignment="1">
      <alignment horizontal="center" vertical="center" wrapText="1"/>
    </xf>
    <xf numFmtId="0" fontId="49" fillId="0" borderId="58" xfId="0" applyNumberFormat="1" applyFont="1" applyFill="1" applyBorder="1" applyAlignment="1">
      <alignment horizontal="center" vertical="center" wrapText="1"/>
    </xf>
    <xf numFmtId="0" fontId="49" fillId="0" borderId="30" xfId="0" applyNumberFormat="1" applyFont="1" applyFill="1" applyBorder="1" applyAlignment="1">
      <alignment horizontal="center" vertical="center" wrapText="1"/>
    </xf>
    <xf numFmtId="0" fontId="49" fillId="0" borderId="58" xfId="0" applyNumberFormat="1" applyFont="1" applyFill="1" applyBorder="1" applyAlignment="1" applyProtection="1">
      <alignment horizontal="center" vertical="center" wrapText="1"/>
      <protection/>
    </xf>
    <xf numFmtId="0" fontId="49" fillId="0" borderId="30" xfId="0" applyNumberFormat="1" applyFont="1" applyFill="1" applyBorder="1" applyAlignment="1" applyProtection="1">
      <alignment horizontal="center" vertical="center" wrapText="1"/>
      <protection/>
    </xf>
    <xf numFmtId="192" fontId="49" fillId="0" borderId="59" xfId="0" applyNumberFormat="1" applyFont="1" applyFill="1" applyBorder="1" applyAlignment="1" applyProtection="1">
      <alignment horizontal="center" vertical="center" wrapText="1"/>
      <protection/>
    </xf>
    <xf numFmtId="192" fontId="49" fillId="0" borderId="60" xfId="0" applyNumberFormat="1" applyFont="1" applyFill="1" applyBorder="1" applyAlignment="1" applyProtection="1">
      <alignment horizontal="center" vertical="center" wrapText="1"/>
      <protection/>
    </xf>
    <xf numFmtId="0" fontId="49" fillId="0" borderId="43" xfId="0" applyNumberFormat="1" applyFont="1" applyFill="1" applyBorder="1" applyAlignment="1" applyProtection="1">
      <alignment horizontal="center" vertical="center" wrapText="1"/>
      <protection/>
    </xf>
    <xf numFmtId="0" fontId="49" fillId="0" borderId="32" xfId="0" applyFont="1" applyBorder="1" applyAlignment="1">
      <alignment horizontal="center" vertical="center"/>
    </xf>
    <xf numFmtId="2" fontId="35" fillId="36" borderId="30" xfId="0" applyNumberFormat="1" applyFont="1" applyFill="1" applyBorder="1" applyAlignment="1">
      <alignment horizontal="center" vertical="center" wrapText="1"/>
    </xf>
    <xf numFmtId="2" fontId="36" fillId="36" borderId="0" xfId="0" applyNumberFormat="1" applyFont="1" applyFill="1" applyBorder="1" applyAlignment="1">
      <alignment vertical="center" wrapText="1"/>
    </xf>
    <xf numFmtId="2" fontId="14" fillId="36" borderId="0" xfId="0" applyNumberFormat="1" applyFont="1" applyFill="1" applyBorder="1" applyAlignment="1">
      <alignment wrapText="1"/>
    </xf>
    <xf numFmtId="43" fontId="49" fillId="0" borderId="42" xfId="40" applyFont="1" applyFill="1" applyBorder="1" applyAlignment="1" applyProtection="1">
      <alignment horizontal="center" vertical="center" wrapText="1"/>
      <protection/>
    </xf>
    <xf numFmtId="0" fontId="49" fillId="0" borderId="61" xfId="0" applyFont="1" applyBorder="1" applyAlignment="1">
      <alignment horizontal="center" vertical="center"/>
    </xf>
    <xf numFmtId="184" fontId="49" fillId="0" borderId="43" xfId="0" applyNumberFormat="1" applyFont="1" applyFill="1" applyBorder="1" applyAlignment="1" applyProtection="1">
      <alignment horizontal="center" vertical="center" wrapText="1"/>
      <protection/>
    </xf>
    <xf numFmtId="184" fontId="49" fillId="0" borderId="32" xfId="0" applyNumberFormat="1" applyFont="1" applyBorder="1" applyAlignment="1">
      <alignment horizontal="center" vertical="center"/>
    </xf>
    <xf numFmtId="0" fontId="49" fillId="0" borderId="43" xfId="0" applyFont="1" applyFill="1" applyBorder="1" applyAlignment="1" applyProtection="1">
      <alignment horizontal="center" vertical="center" wrapText="1"/>
      <protection/>
    </xf>
    <xf numFmtId="0" fontId="49" fillId="0" borderId="32" xfId="0" applyFont="1" applyBorder="1" applyAlignment="1">
      <alignment horizontal="center" vertical="center" wrapText="1"/>
    </xf>
    <xf numFmtId="2" fontId="49" fillId="0" borderId="43" xfId="0" applyNumberFormat="1" applyFont="1" applyFill="1" applyBorder="1" applyAlignment="1" applyProtection="1">
      <alignment horizontal="center" vertical="center" wrapText="1"/>
      <protection/>
    </xf>
    <xf numFmtId="2" fontId="49" fillId="0" borderId="44" xfId="0" applyNumberFormat="1" applyFont="1" applyFill="1" applyBorder="1" applyAlignment="1" applyProtection="1">
      <alignment horizontal="center" vertical="center" wrapText="1"/>
      <protection/>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_Sayfa1" xfId="54"/>
    <cellStyle name="Not" xfId="55"/>
    <cellStyle name="Nötr" xfId="56"/>
    <cellStyle name="Currency" xfId="57"/>
    <cellStyle name="Currency [0]" xfId="58"/>
    <cellStyle name="Toplam" xfId="59"/>
    <cellStyle name="Uyarı Metni" xfId="60"/>
    <cellStyle name="Vurgu1" xfId="61"/>
    <cellStyle name="Vurgu2" xfId="62"/>
    <cellStyle name="Vurgu3" xfId="63"/>
    <cellStyle name="Vurgu4" xfId="64"/>
    <cellStyle name="Vurgu5" xfId="65"/>
    <cellStyle name="Vurgu6" xfId="66"/>
    <cellStyle name="Percen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0</xdr:colOff>
      <xdr:row>0</xdr:row>
      <xdr:rowOff>514350</xdr:rowOff>
    </xdr:to>
    <xdr:sp>
      <xdr:nvSpPr>
        <xdr:cNvPr id="1" name="Text Box 1"/>
        <xdr:cNvSpPr txBox="1">
          <a:spLocks noChangeArrowheads="1"/>
        </xdr:cNvSpPr>
      </xdr:nvSpPr>
      <xdr:spPr>
        <a:xfrm>
          <a:off x="0" y="9525"/>
          <a:ext cx="10868025" cy="504825"/>
        </a:xfrm>
        <a:prstGeom prst="rect">
          <a:avLst/>
        </a:prstGeom>
        <a:solidFill>
          <a:srgbClr val="FFCC99"/>
        </a:solidFill>
        <a:ln w="38100" cmpd="dbl">
          <a:noFill/>
        </a:ln>
      </xdr:spPr>
      <xdr:txBody>
        <a:bodyPr vertOverflow="clip" wrap="square" lIns="73152" tIns="73152" rIns="73152" bIns="73152" anchor="ctr"/>
        <a:p>
          <a:pPr algn="ctr">
            <a:defRPr/>
          </a:pPr>
          <a:r>
            <a:rPr lang="en-US" cap="none" sz="1400" b="1" i="0" u="none" baseline="0">
              <a:solidFill>
                <a:srgbClr val="000000"/>
              </a:solidFill>
              <a:latin typeface="Garamond"/>
              <a:ea typeface="Garamond"/>
              <a:cs typeface="Garamond"/>
            </a:rPr>
            <a:t>TÜRKİYE'S WEEKLY MARKET DATA / </a:t>
          </a:r>
          <a:r>
            <a:rPr lang="en-US" cap="none" sz="1400" b="0" i="0" u="none" baseline="0">
              <a:solidFill>
                <a:srgbClr val="000000"/>
              </a:solidFill>
              <a:latin typeface="Garamond"/>
              <a:ea typeface="Garamond"/>
              <a:cs typeface="Garamond"/>
            </a:rPr>
            <a:t>WEEKLY BOX OFFICE &amp; ADMISSION REPORT</a:t>
          </a:r>
        </a:p>
      </xdr:txBody>
    </xdr:sp>
    <xdr:clientData/>
  </xdr:twoCellAnchor>
  <xdr:twoCellAnchor>
    <xdr:from>
      <xdr:col>11</xdr:col>
      <xdr:colOff>209550</xdr:colOff>
      <xdr:row>0</xdr:row>
      <xdr:rowOff>266700</xdr:rowOff>
    </xdr:from>
    <xdr:to>
      <xdr:col>13</xdr:col>
      <xdr:colOff>390525</xdr:colOff>
      <xdr:row>0</xdr:row>
      <xdr:rowOff>495300</xdr:rowOff>
    </xdr:to>
    <xdr:sp fLocksText="0">
      <xdr:nvSpPr>
        <xdr:cNvPr id="2" name="Text Box 2"/>
        <xdr:cNvSpPr txBox="1">
          <a:spLocks noChangeArrowheads="1"/>
        </xdr:cNvSpPr>
      </xdr:nvSpPr>
      <xdr:spPr>
        <a:xfrm>
          <a:off x="9124950" y="266700"/>
          <a:ext cx="1743075" cy="228600"/>
        </a:xfrm>
        <a:prstGeom prst="rect">
          <a:avLst/>
        </a:prstGeom>
        <a:solidFill>
          <a:srgbClr val="FFCC99"/>
        </a:solidFill>
        <a:ln w="9525" cmpd="sng">
          <a:noFill/>
        </a:ln>
      </xdr:spPr>
      <xdr:txBody>
        <a:bodyPr vertOverflow="clip" wrap="square" lIns="0" tIns="27432" rIns="36576" bIns="0"/>
        <a:p>
          <a:pPr algn="r">
            <a:defRPr/>
          </a:pPr>
          <a:r>
            <a:rPr lang="en-US" cap="none" sz="1100" b="0" i="0" u="none" baseline="0">
              <a:solidFill>
                <a:srgbClr val="000000"/>
              </a:solidFill>
            </a:rPr>
            <a:t>WEEK: 47 / 19-25 NOV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96"/>
  <sheetViews>
    <sheetView showGridLines="0" tabSelected="1" zoomScale="110" zoomScaleNormal="110" zoomScalePageLayoutView="0" workbookViewId="0" topLeftCell="A1">
      <selection activeCell="B5" sqref="B5"/>
    </sheetView>
  </sheetViews>
  <sheetFormatPr defaultColWidth="9.140625" defaultRowHeight="12.75"/>
  <cols>
    <col min="1" max="1" width="3.8515625" style="131" bestFit="1" customWidth="1"/>
    <col min="2" max="2" width="44.28125" style="67" bestFit="1" customWidth="1"/>
    <col min="3" max="3" width="9.140625" style="68" bestFit="1" customWidth="1"/>
    <col min="4" max="4" width="20.00390625" style="69" bestFit="1" customWidth="1"/>
    <col min="5" max="5" width="5.7109375" style="42" bestFit="1" customWidth="1"/>
    <col min="6" max="6" width="6.140625" style="42" bestFit="1" customWidth="1"/>
    <col min="7" max="7" width="7.140625" style="42" customWidth="1"/>
    <col min="8" max="8" width="14.140625" style="64" bestFit="1" customWidth="1"/>
    <col min="9" max="9" width="9.421875" style="65" customWidth="1"/>
    <col min="10" max="10" width="8.00390625" style="45" bestFit="1" customWidth="1"/>
    <col min="11" max="11" width="5.8515625" style="46" bestFit="1" customWidth="1"/>
    <col min="12" max="12" width="13.7109375" style="66" bestFit="1" customWidth="1"/>
    <col min="13" max="13" width="9.7109375" style="48" bestFit="1" customWidth="1"/>
    <col min="14" max="14" width="5.8515625" style="82" bestFit="1" customWidth="1"/>
    <col min="15" max="15" width="2.421875" style="89" customWidth="1"/>
    <col min="16" max="16384" width="9.140625" style="3" customWidth="1"/>
  </cols>
  <sheetData>
    <row r="1" spans="1:15" s="1" customFormat="1" ht="40.5" customHeight="1">
      <c r="A1" s="127"/>
      <c r="B1" s="70"/>
      <c r="C1" s="71"/>
      <c r="D1" s="72"/>
      <c r="E1" s="73"/>
      <c r="F1" s="73"/>
      <c r="G1" s="73"/>
      <c r="H1" s="74"/>
      <c r="I1" s="75"/>
      <c r="J1" s="76"/>
      <c r="K1" s="77"/>
      <c r="L1" s="78"/>
      <c r="M1" s="79"/>
      <c r="N1" s="80"/>
      <c r="O1" s="85"/>
    </row>
    <row r="2" spans="1:15" s="5" customFormat="1" ht="21" customHeight="1" thickBot="1">
      <c r="A2" s="518" t="s">
        <v>384</v>
      </c>
      <c r="B2" s="519"/>
      <c r="C2" s="519"/>
      <c r="D2" s="519"/>
      <c r="E2" s="519"/>
      <c r="F2" s="519"/>
      <c r="G2" s="519"/>
      <c r="H2" s="519"/>
      <c r="I2" s="519"/>
      <c r="J2" s="519"/>
      <c r="K2" s="519"/>
      <c r="L2" s="519"/>
      <c r="M2" s="519"/>
      <c r="N2" s="520"/>
      <c r="O2" s="86"/>
    </row>
    <row r="3" spans="1:15" s="121" customFormat="1" ht="12">
      <c r="A3" s="119"/>
      <c r="B3" s="526" t="s">
        <v>269</v>
      </c>
      <c r="C3" s="530" t="s">
        <v>207</v>
      </c>
      <c r="D3" s="528" t="s">
        <v>385</v>
      </c>
      <c r="E3" s="524" t="s">
        <v>208</v>
      </c>
      <c r="F3" s="524" t="s">
        <v>215</v>
      </c>
      <c r="G3" s="524" t="s">
        <v>383</v>
      </c>
      <c r="H3" s="529" t="s">
        <v>209</v>
      </c>
      <c r="I3" s="529"/>
      <c r="J3" s="529"/>
      <c r="K3" s="529"/>
      <c r="L3" s="521" t="s">
        <v>210</v>
      </c>
      <c r="M3" s="522"/>
      <c r="N3" s="523"/>
      <c r="O3" s="120"/>
    </row>
    <row r="4" spans="1:15" s="121" customFormat="1" ht="27.75" customHeight="1" thickBot="1">
      <c r="A4" s="122"/>
      <c r="B4" s="527"/>
      <c r="C4" s="525"/>
      <c r="D4" s="525"/>
      <c r="E4" s="525"/>
      <c r="F4" s="525"/>
      <c r="G4" s="525"/>
      <c r="H4" s="123" t="s">
        <v>211</v>
      </c>
      <c r="I4" s="124" t="s">
        <v>212</v>
      </c>
      <c r="J4" s="124" t="s">
        <v>201</v>
      </c>
      <c r="K4" s="125" t="s">
        <v>213</v>
      </c>
      <c r="L4" s="123" t="s">
        <v>211</v>
      </c>
      <c r="M4" s="124" t="s">
        <v>212</v>
      </c>
      <c r="N4" s="126" t="s">
        <v>214</v>
      </c>
      <c r="O4" s="120"/>
    </row>
    <row r="5" spans="1:15" s="2" customFormat="1" ht="15">
      <c r="A5" s="128">
        <v>1</v>
      </c>
      <c r="B5" s="445" t="s">
        <v>462</v>
      </c>
      <c r="C5" s="446">
        <v>40487</v>
      </c>
      <c r="D5" s="447" t="s">
        <v>335</v>
      </c>
      <c r="E5" s="448">
        <v>383</v>
      </c>
      <c r="F5" s="448">
        <v>625</v>
      </c>
      <c r="G5" s="448">
        <v>3</v>
      </c>
      <c r="H5" s="449">
        <v>5505611</v>
      </c>
      <c r="I5" s="450">
        <v>610396</v>
      </c>
      <c r="J5" s="451">
        <f>+I5/F5</f>
        <v>976.6336</v>
      </c>
      <c r="K5" s="452">
        <f>+H5/I5</f>
        <v>9.019736367866107</v>
      </c>
      <c r="L5" s="453">
        <v>25108307</v>
      </c>
      <c r="M5" s="454">
        <v>2710736</v>
      </c>
      <c r="N5" s="455">
        <f>+L5/M5</f>
        <v>9.262542350121885</v>
      </c>
      <c r="O5" s="203">
        <v>1</v>
      </c>
    </row>
    <row r="6" spans="1:15" s="2" customFormat="1" ht="15">
      <c r="A6" s="128">
        <v>2</v>
      </c>
      <c r="B6" s="198" t="s">
        <v>447</v>
      </c>
      <c r="C6" s="180">
        <v>40499</v>
      </c>
      <c r="D6" s="175" t="s">
        <v>321</v>
      </c>
      <c r="E6" s="181">
        <v>216</v>
      </c>
      <c r="F6" s="181">
        <v>373</v>
      </c>
      <c r="G6" s="181">
        <v>1</v>
      </c>
      <c r="H6" s="204">
        <v>3108530</v>
      </c>
      <c r="I6" s="205">
        <v>323808</v>
      </c>
      <c r="J6" s="184">
        <f>I6/F6</f>
        <v>868.1179624664879</v>
      </c>
      <c r="K6" s="185">
        <f>H6/I6</f>
        <v>9.599917234904634</v>
      </c>
      <c r="L6" s="182">
        <v>4942103</v>
      </c>
      <c r="M6" s="183">
        <v>507697</v>
      </c>
      <c r="N6" s="199">
        <f>+L6/M6</f>
        <v>9.73435533398858</v>
      </c>
      <c r="O6" s="203"/>
    </row>
    <row r="7" spans="1:15" s="2" customFormat="1" ht="15">
      <c r="A7" s="129">
        <v>3</v>
      </c>
      <c r="B7" s="479" t="s">
        <v>91</v>
      </c>
      <c r="C7" s="480">
        <v>40494</v>
      </c>
      <c r="D7" s="481" t="s">
        <v>321</v>
      </c>
      <c r="E7" s="482">
        <v>144</v>
      </c>
      <c r="F7" s="482">
        <v>232</v>
      </c>
      <c r="G7" s="482">
        <v>2</v>
      </c>
      <c r="H7" s="483">
        <v>1717560</v>
      </c>
      <c r="I7" s="484">
        <v>149021</v>
      </c>
      <c r="J7" s="485">
        <f>I7/F7</f>
        <v>642.3318965517242</v>
      </c>
      <c r="K7" s="486">
        <f>H7/I7</f>
        <v>11.525623905355621</v>
      </c>
      <c r="L7" s="487">
        <v>4491835</v>
      </c>
      <c r="M7" s="488">
        <v>377420</v>
      </c>
      <c r="N7" s="489">
        <f>+L7/M7</f>
        <v>11.901422818080652</v>
      </c>
      <c r="O7" s="203"/>
    </row>
    <row r="8" spans="1:15" s="2" customFormat="1" ht="15">
      <c r="A8" s="130">
        <v>4</v>
      </c>
      <c r="B8" s="468" t="s">
        <v>461</v>
      </c>
      <c r="C8" s="469">
        <v>40501</v>
      </c>
      <c r="D8" s="470" t="s">
        <v>448</v>
      </c>
      <c r="E8" s="471">
        <v>121</v>
      </c>
      <c r="F8" s="471">
        <v>121</v>
      </c>
      <c r="G8" s="471">
        <v>1</v>
      </c>
      <c r="H8" s="472">
        <v>682375.5</v>
      </c>
      <c r="I8" s="473">
        <v>65069</v>
      </c>
      <c r="J8" s="474">
        <v>537.7603305785124</v>
      </c>
      <c r="K8" s="475">
        <v>10.486952312160938</v>
      </c>
      <c r="L8" s="476">
        <v>682375.5</v>
      </c>
      <c r="M8" s="477">
        <v>65069</v>
      </c>
      <c r="N8" s="478">
        <v>10.486952312160938</v>
      </c>
      <c r="O8" s="203">
        <v>1</v>
      </c>
    </row>
    <row r="9" spans="1:15" s="4" customFormat="1" ht="15">
      <c r="A9" s="128">
        <v>5</v>
      </c>
      <c r="B9" s="195" t="s">
        <v>449</v>
      </c>
      <c r="C9" s="192">
        <v>40487</v>
      </c>
      <c r="D9" s="175" t="s">
        <v>333</v>
      </c>
      <c r="E9" s="193">
        <v>162</v>
      </c>
      <c r="F9" s="193">
        <v>138</v>
      </c>
      <c r="G9" s="193">
        <v>3</v>
      </c>
      <c r="H9" s="208">
        <v>520720.5</v>
      </c>
      <c r="I9" s="209">
        <v>58841</v>
      </c>
      <c r="J9" s="190">
        <f>IF(H9&lt;&gt;0,I9/F9,"")</f>
        <v>426.3840579710145</v>
      </c>
      <c r="K9" s="191">
        <f>IF(H9&lt;&gt;0,H9/I9,"")</f>
        <v>8.849620162811645</v>
      </c>
      <c r="L9" s="432">
        <f>525983.5+915356-20+520720.5</f>
        <v>1962040</v>
      </c>
      <c r="M9" s="433">
        <f>56225+93965-2+58841</f>
        <v>209029</v>
      </c>
      <c r="N9" s="201">
        <f>IF(L9&lt;&gt;0,L9/M9,"")</f>
        <v>9.386448770266327</v>
      </c>
      <c r="O9" s="203">
        <v>1</v>
      </c>
    </row>
    <row r="10" spans="1:15" s="4" customFormat="1" ht="15">
      <c r="A10" s="128">
        <v>6</v>
      </c>
      <c r="B10" s="195" t="s">
        <v>460</v>
      </c>
      <c r="C10" s="169">
        <v>40487</v>
      </c>
      <c r="D10" s="176" t="s">
        <v>320</v>
      </c>
      <c r="E10" s="193">
        <v>205</v>
      </c>
      <c r="F10" s="170">
        <v>152</v>
      </c>
      <c r="G10" s="193">
        <v>3</v>
      </c>
      <c r="H10" s="208">
        <v>224500</v>
      </c>
      <c r="I10" s="215">
        <v>27953</v>
      </c>
      <c r="J10" s="177">
        <f>I10/F10</f>
        <v>183.90131578947367</v>
      </c>
      <c r="K10" s="178">
        <f>+H10/I10</f>
        <v>8.031338317890745</v>
      </c>
      <c r="L10" s="432">
        <v>105477</v>
      </c>
      <c r="M10" s="434">
        <v>119169</v>
      </c>
      <c r="N10" s="196">
        <f>+L10/M10</f>
        <v>0.8851043476071797</v>
      </c>
      <c r="O10" s="203">
        <v>1</v>
      </c>
    </row>
    <row r="11" spans="1:15" s="4" customFormat="1" ht="15">
      <c r="A11" s="128">
        <v>7</v>
      </c>
      <c r="B11" s="195" t="s">
        <v>93</v>
      </c>
      <c r="C11" s="169">
        <v>40494</v>
      </c>
      <c r="D11" s="176" t="s">
        <v>320</v>
      </c>
      <c r="E11" s="193">
        <v>72</v>
      </c>
      <c r="F11" s="170">
        <v>72</v>
      </c>
      <c r="G11" s="193">
        <v>2</v>
      </c>
      <c r="H11" s="208">
        <v>267904</v>
      </c>
      <c r="I11" s="215">
        <v>25430</v>
      </c>
      <c r="J11" s="177">
        <f>I11/F11</f>
        <v>353.19444444444446</v>
      </c>
      <c r="K11" s="178">
        <f>+H11/I11</f>
        <v>10.53495871018482</v>
      </c>
      <c r="L11" s="432">
        <v>809950</v>
      </c>
      <c r="M11" s="434">
        <v>74078</v>
      </c>
      <c r="N11" s="196">
        <f>+L11/M11</f>
        <v>10.93374551148789</v>
      </c>
      <c r="O11" s="203"/>
    </row>
    <row r="12" spans="1:15" s="4" customFormat="1" ht="15">
      <c r="A12" s="130">
        <v>8</v>
      </c>
      <c r="B12" s="195" t="s">
        <v>94</v>
      </c>
      <c r="C12" s="169">
        <v>40494</v>
      </c>
      <c r="D12" s="168" t="s">
        <v>322</v>
      </c>
      <c r="E12" s="193">
        <v>80</v>
      </c>
      <c r="F12" s="170">
        <v>80</v>
      </c>
      <c r="G12" s="193">
        <v>2</v>
      </c>
      <c r="H12" s="206">
        <v>260220.5</v>
      </c>
      <c r="I12" s="207">
        <v>24318</v>
      </c>
      <c r="J12" s="173">
        <f>(I12/F12)</f>
        <v>303.975</v>
      </c>
      <c r="K12" s="174">
        <f>H12/I12</f>
        <v>10.70073608026976</v>
      </c>
      <c r="L12" s="171">
        <f>400584.5+260220.5</f>
        <v>660805</v>
      </c>
      <c r="M12" s="172">
        <f>34427+24318</f>
        <v>58745</v>
      </c>
      <c r="N12" s="197">
        <f>L12/M12</f>
        <v>11.248702017192953</v>
      </c>
      <c r="O12" s="202"/>
    </row>
    <row r="13" spans="1:15" s="4" customFormat="1" ht="15">
      <c r="A13" s="128">
        <v>9</v>
      </c>
      <c r="B13" s="195" t="s">
        <v>311</v>
      </c>
      <c r="C13" s="169">
        <v>40480</v>
      </c>
      <c r="D13" s="168" t="s">
        <v>322</v>
      </c>
      <c r="E13" s="170">
        <v>100</v>
      </c>
      <c r="F13" s="170">
        <v>106</v>
      </c>
      <c r="G13" s="170">
        <v>4</v>
      </c>
      <c r="H13" s="206">
        <v>240009.5</v>
      </c>
      <c r="I13" s="207">
        <v>23284</v>
      </c>
      <c r="J13" s="173">
        <f>(I13/F13)</f>
        <v>219.66037735849056</v>
      </c>
      <c r="K13" s="174">
        <f>H13/I13</f>
        <v>10.307915306648342</v>
      </c>
      <c r="L13" s="171">
        <f>1221166+429124.5+378100+240009.5</f>
        <v>2268400</v>
      </c>
      <c r="M13" s="172">
        <f>114702+40612+35598+23284</f>
        <v>214196</v>
      </c>
      <c r="N13" s="197">
        <f>L13/M13</f>
        <v>10.590300472464472</v>
      </c>
      <c r="O13" s="202"/>
    </row>
    <row r="14" spans="1:15" s="4" customFormat="1" ht="15">
      <c r="A14" s="128">
        <v>10</v>
      </c>
      <c r="B14" s="195" t="s">
        <v>95</v>
      </c>
      <c r="C14" s="169">
        <v>40494</v>
      </c>
      <c r="D14" s="176" t="s">
        <v>320</v>
      </c>
      <c r="E14" s="193">
        <v>51</v>
      </c>
      <c r="F14" s="170">
        <v>50</v>
      </c>
      <c r="G14" s="193">
        <v>2</v>
      </c>
      <c r="H14" s="208">
        <v>69778</v>
      </c>
      <c r="I14" s="215">
        <v>7896</v>
      </c>
      <c r="J14" s="177">
        <f>I14/F14</f>
        <v>157.92</v>
      </c>
      <c r="K14" s="178">
        <f>+H14/I14</f>
        <v>8.837132725430598</v>
      </c>
      <c r="L14" s="432">
        <v>158828</v>
      </c>
      <c r="M14" s="434">
        <v>17550</v>
      </c>
      <c r="N14" s="196">
        <f>+L14/M14</f>
        <v>9.05002849002849</v>
      </c>
      <c r="O14" s="203"/>
    </row>
    <row r="15" spans="1:15" s="4" customFormat="1" ht="15">
      <c r="A15" s="128">
        <v>11</v>
      </c>
      <c r="B15" s="195" t="s">
        <v>404</v>
      </c>
      <c r="C15" s="169">
        <v>40473</v>
      </c>
      <c r="D15" s="176" t="s">
        <v>320</v>
      </c>
      <c r="E15" s="193">
        <v>100</v>
      </c>
      <c r="F15" s="170">
        <v>14</v>
      </c>
      <c r="G15" s="193">
        <v>5</v>
      </c>
      <c r="H15" s="208">
        <v>22739</v>
      </c>
      <c r="I15" s="215">
        <v>3471</v>
      </c>
      <c r="J15" s="177">
        <f>I15/F15</f>
        <v>247.92857142857142</v>
      </c>
      <c r="K15" s="178">
        <f>+H15/I15</f>
        <v>6.551138000576203</v>
      </c>
      <c r="L15" s="432">
        <v>1791102</v>
      </c>
      <c r="M15" s="434">
        <v>185024</v>
      </c>
      <c r="N15" s="196">
        <f>+L15/M15</f>
        <v>9.68037659979246</v>
      </c>
      <c r="O15" s="203"/>
    </row>
    <row r="16" spans="1:15" s="4" customFormat="1" ht="15">
      <c r="A16" s="130">
        <v>12</v>
      </c>
      <c r="B16" s="195" t="s">
        <v>244</v>
      </c>
      <c r="C16" s="169">
        <v>40466</v>
      </c>
      <c r="D16" s="176" t="s">
        <v>320</v>
      </c>
      <c r="E16" s="193">
        <v>119</v>
      </c>
      <c r="F16" s="170">
        <v>23</v>
      </c>
      <c r="G16" s="193">
        <v>6</v>
      </c>
      <c r="H16" s="208">
        <v>19012</v>
      </c>
      <c r="I16" s="215">
        <v>2383</v>
      </c>
      <c r="J16" s="177">
        <f>I16/F16</f>
        <v>103.6086956521739</v>
      </c>
      <c r="K16" s="178">
        <f>+H16/I16</f>
        <v>7.978178766261015</v>
      </c>
      <c r="L16" s="432">
        <v>1967863</v>
      </c>
      <c r="M16" s="434">
        <v>168067</v>
      </c>
      <c r="N16" s="196">
        <f>+L16/M16</f>
        <v>11.708800656880888</v>
      </c>
      <c r="O16" s="203"/>
    </row>
    <row r="17" spans="1:15" s="4" customFormat="1" ht="15">
      <c r="A17" s="128">
        <v>13</v>
      </c>
      <c r="B17" s="195" t="s">
        <v>405</v>
      </c>
      <c r="C17" s="169">
        <v>40466</v>
      </c>
      <c r="D17" s="168" t="s">
        <v>322</v>
      </c>
      <c r="E17" s="170">
        <v>139</v>
      </c>
      <c r="F17" s="170">
        <v>17</v>
      </c>
      <c r="G17" s="170">
        <v>6</v>
      </c>
      <c r="H17" s="206">
        <v>12313</v>
      </c>
      <c r="I17" s="207">
        <v>2070</v>
      </c>
      <c r="J17" s="173">
        <f>(I17/F17)</f>
        <v>121.76470588235294</v>
      </c>
      <c r="K17" s="174">
        <f>H17/I17</f>
        <v>5.948309178743961</v>
      </c>
      <c r="L17" s="171">
        <f>859399.5+611922.5+597511+92540.5+35432.5+12313</f>
        <v>2209119</v>
      </c>
      <c r="M17" s="172">
        <f>81834+61457+58453+8463+3493+2070</f>
        <v>215770</v>
      </c>
      <c r="N17" s="197">
        <f>L17/M17</f>
        <v>10.238304676275664</v>
      </c>
      <c r="O17" s="202"/>
    </row>
    <row r="18" spans="1:15" s="4" customFormat="1" ht="15">
      <c r="A18" s="128">
        <v>14</v>
      </c>
      <c r="B18" s="195" t="s">
        <v>406</v>
      </c>
      <c r="C18" s="169">
        <v>40473</v>
      </c>
      <c r="D18" s="168" t="s">
        <v>322</v>
      </c>
      <c r="E18" s="193">
        <v>28</v>
      </c>
      <c r="F18" s="170">
        <v>14</v>
      </c>
      <c r="G18" s="193">
        <v>5</v>
      </c>
      <c r="H18" s="206">
        <v>9619</v>
      </c>
      <c r="I18" s="207">
        <v>1535</v>
      </c>
      <c r="J18" s="173">
        <f>(I18/F18)</f>
        <v>109.64285714285714</v>
      </c>
      <c r="K18" s="174">
        <f>H18/I18</f>
        <v>6.266449511400651</v>
      </c>
      <c r="L18" s="171">
        <f>152569.5+122205.5+10562+6863.5+9619</f>
        <v>301819.5</v>
      </c>
      <c r="M18" s="172">
        <f>12992+10278+1201+886+1535</f>
        <v>26892</v>
      </c>
      <c r="N18" s="197">
        <f>L18/M18</f>
        <v>11.223393574297189</v>
      </c>
      <c r="O18" s="202"/>
    </row>
    <row r="19" spans="1:15" s="4" customFormat="1" ht="15">
      <c r="A19" s="128">
        <v>15</v>
      </c>
      <c r="B19" s="198" t="s">
        <v>397</v>
      </c>
      <c r="C19" s="180">
        <v>40459</v>
      </c>
      <c r="D19" s="168" t="s">
        <v>321</v>
      </c>
      <c r="E19" s="181">
        <v>55</v>
      </c>
      <c r="F19" s="181">
        <v>16</v>
      </c>
      <c r="G19" s="181">
        <v>7</v>
      </c>
      <c r="H19" s="204">
        <v>10600</v>
      </c>
      <c r="I19" s="205">
        <v>1532</v>
      </c>
      <c r="J19" s="184">
        <f>I19/F19</f>
        <v>95.75</v>
      </c>
      <c r="K19" s="185">
        <f>H19/I19</f>
        <v>6.919060052219321</v>
      </c>
      <c r="L19" s="182">
        <v>2657832</v>
      </c>
      <c r="M19" s="183">
        <v>228025</v>
      </c>
      <c r="N19" s="199">
        <f>+L19/M19</f>
        <v>11.655879837737091</v>
      </c>
      <c r="O19" s="203"/>
    </row>
    <row r="20" spans="1:15" s="4" customFormat="1" ht="15">
      <c r="A20" s="130">
        <v>16</v>
      </c>
      <c r="B20" s="195" t="s">
        <v>166</v>
      </c>
      <c r="C20" s="192">
        <v>40466</v>
      </c>
      <c r="D20" s="175" t="s">
        <v>333</v>
      </c>
      <c r="E20" s="193">
        <v>22</v>
      </c>
      <c r="F20" s="193">
        <v>6</v>
      </c>
      <c r="G20" s="193">
        <v>6</v>
      </c>
      <c r="H20" s="208">
        <v>6815</v>
      </c>
      <c r="I20" s="209">
        <v>1095</v>
      </c>
      <c r="J20" s="190">
        <f>IF(H20&lt;&gt;0,I20/F20,"")</f>
        <v>182.5</v>
      </c>
      <c r="K20" s="191">
        <f>IF(H20&lt;&gt;0,H20/I20,"")</f>
        <v>6.223744292237443</v>
      </c>
      <c r="L20" s="432">
        <f>75899.5+52129.5+37227.5+14946.5+10905+6815+1085</f>
        <v>199008</v>
      </c>
      <c r="M20" s="433">
        <f>7028+5164+3832+1532+1190+1095+155</f>
        <v>19996</v>
      </c>
      <c r="N20" s="201">
        <f>IF(L20&lt;&gt;0,L20/M20,"")</f>
        <v>9.95239047809562</v>
      </c>
      <c r="O20" s="203">
        <v>1</v>
      </c>
    </row>
    <row r="21" spans="1:15" s="4" customFormat="1" ht="15">
      <c r="A21" s="128">
        <v>17</v>
      </c>
      <c r="B21" s="195" t="s">
        <v>450</v>
      </c>
      <c r="C21" s="169">
        <v>40459</v>
      </c>
      <c r="D21" s="168" t="s">
        <v>322</v>
      </c>
      <c r="E21" s="170">
        <v>142</v>
      </c>
      <c r="F21" s="170">
        <v>13</v>
      </c>
      <c r="G21" s="170">
        <v>7</v>
      </c>
      <c r="H21" s="206">
        <v>5998</v>
      </c>
      <c r="I21" s="207">
        <v>1000</v>
      </c>
      <c r="J21" s="173">
        <f>(I21/F21)</f>
        <v>76.92307692307692</v>
      </c>
      <c r="K21" s="174">
        <f>H21/I21</f>
        <v>5.998</v>
      </c>
      <c r="L21" s="171">
        <f>569713+434829.5+295345.5+223420+26108+12415.5+5998</f>
        <v>1567829.5</v>
      </c>
      <c r="M21" s="172">
        <f>61050+47827+36467+29781+4601+2405+1000</f>
        <v>183131</v>
      </c>
      <c r="N21" s="197">
        <f>L21/M21</f>
        <v>8.561245774882462</v>
      </c>
      <c r="O21" s="202">
        <v>1</v>
      </c>
    </row>
    <row r="22" spans="1:15" s="4" customFormat="1" ht="15">
      <c r="A22" s="128">
        <v>18</v>
      </c>
      <c r="B22" s="456" t="s">
        <v>451</v>
      </c>
      <c r="C22" s="426">
        <v>40452</v>
      </c>
      <c r="D22" s="425" t="s">
        <v>448</v>
      </c>
      <c r="E22" s="427">
        <v>72</v>
      </c>
      <c r="F22" s="427">
        <v>4</v>
      </c>
      <c r="G22" s="427">
        <v>8</v>
      </c>
      <c r="H22" s="428">
        <v>2475.5</v>
      </c>
      <c r="I22" s="435">
        <v>834</v>
      </c>
      <c r="J22" s="429">
        <v>208.5</v>
      </c>
      <c r="K22" s="431">
        <v>2.9682254196642686</v>
      </c>
      <c r="L22" s="430">
        <v>314629</v>
      </c>
      <c r="M22" s="436">
        <v>41081</v>
      </c>
      <c r="N22" s="457">
        <v>7.658747352790828</v>
      </c>
      <c r="O22" s="203">
        <v>1</v>
      </c>
    </row>
    <row r="23" spans="1:15" s="4" customFormat="1" ht="15">
      <c r="A23" s="128">
        <v>19</v>
      </c>
      <c r="B23" s="195" t="s">
        <v>452</v>
      </c>
      <c r="C23" s="169">
        <v>40445</v>
      </c>
      <c r="D23" s="168" t="s">
        <v>322</v>
      </c>
      <c r="E23" s="170">
        <v>99</v>
      </c>
      <c r="F23" s="170">
        <v>9</v>
      </c>
      <c r="G23" s="170">
        <v>9</v>
      </c>
      <c r="H23" s="206">
        <v>4789</v>
      </c>
      <c r="I23" s="207">
        <v>804</v>
      </c>
      <c r="J23" s="173">
        <f>(I23/F23)</f>
        <v>89.33333333333333</v>
      </c>
      <c r="K23" s="174">
        <f>H23/I23</f>
        <v>5.956467661691542</v>
      </c>
      <c r="L23" s="171">
        <f>321502+248658+168337.5+120626.5+93787.5+82596.5+8900+14133+4789</f>
        <v>1063330</v>
      </c>
      <c r="M23" s="172">
        <f>37510+29635+22309+17930+15012+11746+1292+2243+804</f>
        <v>138481</v>
      </c>
      <c r="N23" s="197">
        <f>L23/M23</f>
        <v>7.6785262960261695</v>
      </c>
      <c r="O23" s="202">
        <v>1</v>
      </c>
    </row>
    <row r="24" spans="1:15" s="4" customFormat="1" ht="15">
      <c r="A24" s="130">
        <v>20</v>
      </c>
      <c r="B24" s="195" t="s">
        <v>407</v>
      </c>
      <c r="C24" s="169">
        <v>40473</v>
      </c>
      <c r="D24" s="168" t="s">
        <v>322</v>
      </c>
      <c r="E24" s="170">
        <v>30</v>
      </c>
      <c r="F24" s="170">
        <v>5</v>
      </c>
      <c r="G24" s="170">
        <v>5</v>
      </c>
      <c r="H24" s="206">
        <v>4700.5</v>
      </c>
      <c r="I24" s="207">
        <v>660</v>
      </c>
      <c r="J24" s="173">
        <f>(I24/F24)</f>
        <v>132</v>
      </c>
      <c r="K24" s="174">
        <f>H24/I24</f>
        <v>7.121969696969697</v>
      </c>
      <c r="L24" s="171">
        <f>140269+106844+7979+4849+4700.5</f>
        <v>264641.5</v>
      </c>
      <c r="M24" s="172">
        <f>11518+8629+641+577+660</f>
        <v>22025</v>
      </c>
      <c r="N24" s="197">
        <f>L24/M24</f>
        <v>12.01550510783201</v>
      </c>
      <c r="O24" s="202"/>
    </row>
    <row r="25" spans="1:15" s="4" customFormat="1" ht="15">
      <c r="A25" s="128">
        <v>21</v>
      </c>
      <c r="B25" s="198" t="s">
        <v>313</v>
      </c>
      <c r="C25" s="180">
        <v>40466</v>
      </c>
      <c r="D25" s="168" t="s">
        <v>321</v>
      </c>
      <c r="E25" s="181">
        <v>135</v>
      </c>
      <c r="F25" s="181">
        <v>9</v>
      </c>
      <c r="G25" s="181">
        <v>6</v>
      </c>
      <c r="H25" s="204">
        <v>3832</v>
      </c>
      <c r="I25" s="205">
        <v>641</v>
      </c>
      <c r="J25" s="184">
        <f>I25/F25</f>
        <v>71.22222222222223</v>
      </c>
      <c r="K25" s="185">
        <f>H25/I25</f>
        <v>5.978159126365054</v>
      </c>
      <c r="L25" s="182">
        <v>936341</v>
      </c>
      <c r="M25" s="183">
        <v>103006</v>
      </c>
      <c r="N25" s="199">
        <f>+L25/M25</f>
        <v>9.090159796516708</v>
      </c>
      <c r="O25" s="203">
        <v>1</v>
      </c>
    </row>
    <row r="26" spans="1:15" s="4" customFormat="1" ht="15">
      <c r="A26" s="128">
        <v>22</v>
      </c>
      <c r="B26" s="195" t="s">
        <v>251</v>
      </c>
      <c r="C26" s="169">
        <v>40424</v>
      </c>
      <c r="D26" s="176" t="s">
        <v>320</v>
      </c>
      <c r="E26" s="170">
        <v>107</v>
      </c>
      <c r="F26" s="170">
        <v>4</v>
      </c>
      <c r="G26" s="170">
        <v>12</v>
      </c>
      <c r="H26" s="208">
        <v>3087</v>
      </c>
      <c r="I26" s="209">
        <v>620</v>
      </c>
      <c r="J26" s="177">
        <f>I26/F26</f>
        <v>155</v>
      </c>
      <c r="K26" s="178">
        <f>+H26/I26</f>
        <v>4.9790322580645165</v>
      </c>
      <c r="L26" s="432">
        <v>2157393</v>
      </c>
      <c r="M26" s="433">
        <v>193623</v>
      </c>
      <c r="N26" s="196">
        <f>+L26/M26</f>
        <v>11.142235168342603</v>
      </c>
      <c r="O26" s="203"/>
    </row>
    <row r="27" spans="1:15" s="4" customFormat="1" ht="15">
      <c r="A27" s="128">
        <v>23</v>
      </c>
      <c r="B27" s="198" t="s">
        <v>453</v>
      </c>
      <c r="C27" s="180">
        <v>40480</v>
      </c>
      <c r="D27" s="179" t="s">
        <v>444</v>
      </c>
      <c r="E27" s="181">
        <v>71</v>
      </c>
      <c r="F27" s="181">
        <v>17</v>
      </c>
      <c r="G27" s="181">
        <v>4</v>
      </c>
      <c r="H27" s="214">
        <v>3625</v>
      </c>
      <c r="I27" s="217">
        <v>601</v>
      </c>
      <c r="J27" s="190">
        <f>IF(H27&lt;&gt;0,I27/F27,"")</f>
        <v>35.35294117647059</v>
      </c>
      <c r="K27" s="191">
        <f>IF(H27&lt;&gt;0,H27/I27,"")</f>
        <v>6.031613976705491</v>
      </c>
      <c r="L27" s="194">
        <f>72774.5+23673+5827+3625</f>
        <v>105899.5</v>
      </c>
      <c r="M27" s="177">
        <f>8533+3652+916+601</f>
        <v>13702</v>
      </c>
      <c r="N27" s="201">
        <f>IF(L27&lt;&gt;0,L27/M27,"")</f>
        <v>7.728762224492775</v>
      </c>
      <c r="O27" s="203">
        <v>1</v>
      </c>
    </row>
    <row r="28" spans="1:15" s="4" customFormat="1" ht="15">
      <c r="A28" s="130">
        <v>24</v>
      </c>
      <c r="B28" s="195" t="s">
        <v>258</v>
      </c>
      <c r="C28" s="169">
        <v>40430</v>
      </c>
      <c r="D28" s="168" t="s">
        <v>322</v>
      </c>
      <c r="E28" s="170">
        <v>57</v>
      </c>
      <c r="F28" s="170">
        <v>6</v>
      </c>
      <c r="G28" s="170">
        <v>12</v>
      </c>
      <c r="H28" s="206">
        <v>2484</v>
      </c>
      <c r="I28" s="207">
        <v>572</v>
      </c>
      <c r="J28" s="173">
        <f>(I28/F28)</f>
        <v>95.33333333333333</v>
      </c>
      <c r="K28" s="174">
        <f>H28/I28</f>
        <v>4.3426573426573425</v>
      </c>
      <c r="L28" s="171">
        <f>15818.5+150711.5+75138.5+33591.5+30249.5+17415.5+8294.5+10566+6016+6121.5+888.5+2484</f>
        <v>357295.5</v>
      </c>
      <c r="M28" s="172">
        <f>1512+15643+7345+4634+4073+2646+1136+2027+1109+1483+117+572</f>
        <v>42297</v>
      </c>
      <c r="N28" s="197">
        <f>L28/M28</f>
        <v>8.447301227037379</v>
      </c>
      <c r="O28" s="202"/>
    </row>
    <row r="29" spans="1:15" s="4" customFormat="1" ht="15">
      <c r="A29" s="128">
        <v>25</v>
      </c>
      <c r="B29" s="195" t="s">
        <v>398</v>
      </c>
      <c r="C29" s="169">
        <v>40459</v>
      </c>
      <c r="D29" s="176" t="s">
        <v>320</v>
      </c>
      <c r="E29" s="170">
        <v>93</v>
      </c>
      <c r="F29" s="170">
        <v>2</v>
      </c>
      <c r="G29" s="170">
        <v>7</v>
      </c>
      <c r="H29" s="208">
        <v>1905</v>
      </c>
      <c r="I29" s="209">
        <v>541</v>
      </c>
      <c r="J29" s="177">
        <f>I29/F29</f>
        <v>270.5</v>
      </c>
      <c r="K29" s="178">
        <f>+H29/I29</f>
        <v>3.521256931608133</v>
      </c>
      <c r="L29" s="432">
        <v>1069941</v>
      </c>
      <c r="M29" s="177">
        <v>98505</v>
      </c>
      <c r="N29" s="196">
        <f>+L29/M29</f>
        <v>10.861793817572712</v>
      </c>
      <c r="O29" s="203"/>
    </row>
    <row r="30" spans="1:15" s="4" customFormat="1" ht="15">
      <c r="A30" s="128">
        <v>26</v>
      </c>
      <c r="B30" s="195" t="s">
        <v>6</v>
      </c>
      <c r="C30" s="169">
        <v>40410</v>
      </c>
      <c r="D30" s="168" t="s">
        <v>322</v>
      </c>
      <c r="E30" s="170">
        <v>100</v>
      </c>
      <c r="F30" s="170">
        <v>1</v>
      </c>
      <c r="G30" s="170">
        <v>15</v>
      </c>
      <c r="H30" s="206">
        <v>2138.5</v>
      </c>
      <c r="I30" s="207">
        <v>534</v>
      </c>
      <c r="J30" s="173">
        <f>(I30/F30)</f>
        <v>534</v>
      </c>
      <c r="K30" s="174">
        <f>H30/I30</f>
        <v>4.004681647940075</v>
      </c>
      <c r="L30" s="171">
        <f>4793.5+233907+173006+95171+69286+22212.5+11921.5+10683+6473+5548+3621+5930+360+5346+2138.5</f>
        <v>650397</v>
      </c>
      <c r="M30" s="172">
        <f>312+25267+17706+10642+10638+3791+2335+2134+1501+1673+635+1434+72+1336+534</f>
        <v>80010</v>
      </c>
      <c r="N30" s="197">
        <f>L30/M30</f>
        <v>8.128946381702287</v>
      </c>
      <c r="O30" s="202"/>
    </row>
    <row r="31" spans="1:15" s="4" customFormat="1" ht="15">
      <c r="A31" s="128">
        <v>27</v>
      </c>
      <c r="B31" s="195" t="s">
        <v>312</v>
      </c>
      <c r="C31" s="192">
        <v>40480</v>
      </c>
      <c r="D31" s="175" t="s">
        <v>333</v>
      </c>
      <c r="E31" s="193">
        <v>135</v>
      </c>
      <c r="F31" s="193">
        <v>14</v>
      </c>
      <c r="G31" s="193">
        <v>4</v>
      </c>
      <c r="H31" s="208">
        <v>2941.5</v>
      </c>
      <c r="I31" s="209">
        <v>525</v>
      </c>
      <c r="J31" s="190">
        <f>IF(H31&lt;&gt;0,I31/F31,"")</f>
        <v>37.5</v>
      </c>
      <c r="K31" s="191">
        <f>IF(H31&lt;&gt;0,H31/I31,"")</f>
        <v>5.602857142857143</v>
      </c>
      <c r="L31" s="432">
        <f>151771.5+44278.5+20156+2941.5</f>
        <v>219147.5</v>
      </c>
      <c r="M31" s="433">
        <f>19003+7410+3277+525</f>
        <v>30215</v>
      </c>
      <c r="N31" s="201">
        <f>IF(L31&lt;&gt;0,L31/M31,"")</f>
        <v>7.2529372828065535</v>
      </c>
      <c r="O31" s="203">
        <v>1</v>
      </c>
    </row>
    <row r="32" spans="1:15" s="4" customFormat="1" ht="15">
      <c r="A32" s="130">
        <v>28</v>
      </c>
      <c r="B32" s="195" t="s">
        <v>454</v>
      </c>
      <c r="C32" s="169">
        <v>40284</v>
      </c>
      <c r="D32" s="168" t="s">
        <v>322</v>
      </c>
      <c r="E32" s="170">
        <v>14</v>
      </c>
      <c r="F32" s="170">
        <v>1</v>
      </c>
      <c r="G32" s="170">
        <v>20</v>
      </c>
      <c r="H32" s="206">
        <v>2019.5</v>
      </c>
      <c r="I32" s="207">
        <v>505</v>
      </c>
      <c r="J32" s="173">
        <f>(I32/F32)</f>
        <v>505</v>
      </c>
      <c r="K32" s="174">
        <f>H32/I32</f>
        <v>3.999009900990099</v>
      </c>
      <c r="L32" s="171">
        <f>45403.5+26416+19522+5885+5520+2576+2604+1325+840+957.5+196+2970+1095+960+1330+1159+1173+1901+475+2019.5</f>
        <v>124327.5</v>
      </c>
      <c r="M32" s="172">
        <f>4053+2594+2599+732+962+495+470+215+146+347+28+743+229+194+270+236+188+475+119+505</f>
        <v>15600</v>
      </c>
      <c r="N32" s="197">
        <f>L32/M32</f>
        <v>7.969711538461539</v>
      </c>
      <c r="O32" s="202">
        <v>1</v>
      </c>
    </row>
    <row r="33" spans="1:15" s="4" customFormat="1" ht="15">
      <c r="A33" s="128">
        <v>29</v>
      </c>
      <c r="B33" s="195" t="s">
        <v>458</v>
      </c>
      <c r="C33" s="169">
        <v>40389</v>
      </c>
      <c r="D33" s="168" t="s">
        <v>322</v>
      </c>
      <c r="E33" s="170">
        <v>3</v>
      </c>
      <c r="F33" s="170">
        <v>1</v>
      </c>
      <c r="G33" s="170">
        <v>16</v>
      </c>
      <c r="H33" s="206">
        <v>2019.5</v>
      </c>
      <c r="I33" s="207">
        <v>505</v>
      </c>
      <c r="J33" s="173">
        <f>(I33/F33)</f>
        <v>505</v>
      </c>
      <c r="K33" s="174">
        <f>H33/I33</f>
        <v>3.999009900990099</v>
      </c>
      <c r="L33" s="171">
        <f>6803+1310+2816.5+1204+2027.5+558+3083+1424+376+221+454+660+2019.5+2019.5+2019.5</f>
        <v>26995.5</v>
      </c>
      <c r="M33" s="172">
        <f>678+171+330+139+248+58+625+214+60+80+74+107+505+505+505</f>
        <v>4299</v>
      </c>
      <c r="N33" s="197">
        <f>L33/M33</f>
        <v>6.279483600837404</v>
      </c>
      <c r="O33" s="202"/>
    </row>
    <row r="34" spans="1:15" s="4" customFormat="1" ht="15">
      <c r="A34" s="128">
        <v>30</v>
      </c>
      <c r="B34" s="195">
        <v>9</v>
      </c>
      <c r="C34" s="169">
        <v>40284</v>
      </c>
      <c r="D34" s="168" t="s">
        <v>322</v>
      </c>
      <c r="E34" s="170">
        <v>1</v>
      </c>
      <c r="F34" s="170">
        <v>1</v>
      </c>
      <c r="G34" s="170">
        <v>12</v>
      </c>
      <c r="H34" s="206">
        <v>2019.5</v>
      </c>
      <c r="I34" s="207">
        <v>505</v>
      </c>
      <c r="J34" s="173">
        <f>(I34/F34)</f>
        <v>505</v>
      </c>
      <c r="K34" s="174">
        <f>H34/I34</f>
        <v>3.999009900990099</v>
      </c>
      <c r="L34" s="171">
        <f>19938+4162+2098+2376+845+1608+833.5+361+161+101+2019.5+2019.5+2019.5</f>
        <v>38542</v>
      </c>
      <c r="M34" s="172">
        <f>2614+350+241+594+102+138+113+48+26+20+505+505+505</f>
        <v>5761</v>
      </c>
      <c r="N34" s="197">
        <f>L34/M34</f>
        <v>6.690157958687728</v>
      </c>
      <c r="O34" s="202"/>
    </row>
    <row r="35" spans="1:15" s="4" customFormat="1" ht="15">
      <c r="A35" s="130">
        <v>31</v>
      </c>
      <c r="B35" s="198" t="s">
        <v>455</v>
      </c>
      <c r="C35" s="180">
        <v>40452</v>
      </c>
      <c r="D35" s="179" t="s">
        <v>444</v>
      </c>
      <c r="E35" s="181">
        <v>148</v>
      </c>
      <c r="F35" s="181">
        <v>5</v>
      </c>
      <c r="G35" s="181">
        <v>8</v>
      </c>
      <c r="H35" s="214">
        <v>3036</v>
      </c>
      <c r="I35" s="217">
        <v>497</v>
      </c>
      <c r="J35" s="190">
        <f>IF(H35&lt;&gt;0,I35/F35,"")</f>
        <v>99.4</v>
      </c>
      <c r="K35" s="191">
        <f>IF(H35&lt;&gt;0,H35/I35,"")</f>
        <v>6.1086519114688125</v>
      </c>
      <c r="L35" s="194">
        <f>699440.5+93480+55329+21058.5+2054+5186.5+3036</f>
        <v>879584.5</v>
      </c>
      <c r="M35" s="177">
        <f>74937+13125+8283+3296+346+1058+497</f>
        <v>101542</v>
      </c>
      <c r="N35" s="201">
        <f>IF(L35&lt;&gt;0,L35/M35,"")</f>
        <v>8.662272754131296</v>
      </c>
      <c r="O35" s="203">
        <v>1</v>
      </c>
    </row>
    <row r="36" spans="1:15" s="4" customFormat="1" ht="15">
      <c r="A36" s="128">
        <v>32</v>
      </c>
      <c r="B36" s="200" t="s">
        <v>27</v>
      </c>
      <c r="C36" s="180">
        <v>40480</v>
      </c>
      <c r="D36" s="186" t="s">
        <v>335</v>
      </c>
      <c r="E36" s="187">
        <v>21</v>
      </c>
      <c r="F36" s="187">
        <v>4</v>
      </c>
      <c r="G36" s="187">
        <v>4</v>
      </c>
      <c r="H36" s="212">
        <v>3094</v>
      </c>
      <c r="I36" s="213">
        <v>399</v>
      </c>
      <c r="J36" s="190">
        <f>+I36/F36</f>
        <v>99.75</v>
      </c>
      <c r="K36" s="191">
        <f>+H36/I36</f>
        <v>7.754385964912281</v>
      </c>
      <c r="L36" s="188">
        <v>231539</v>
      </c>
      <c r="M36" s="189">
        <v>18242</v>
      </c>
      <c r="N36" s="201">
        <f>+L36/M36</f>
        <v>12.692632386799692</v>
      </c>
      <c r="O36" s="203"/>
    </row>
    <row r="37" spans="1:15" s="4" customFormat="1" ht="15">
      <c r="A37" s="128">
        <v>33</v>
      </c>
      <c r="B37" s="195" t="s">
        <v>60</v>
      </c>
      <c r="C37" s="169">
        <v>40375</v>
      </c>
      <c r="D37" s="176" t="s">
        <v>320</v>
      </c>
      <c r="E37" s="170">
        <v>130</v>
      </c>
      <c r="F37" s="170">
        <v>2</v>
      </c>
      <c r="G37" s="170">
        <v>19</v>
      </c>
      <c r="H37" s="208">
        <v>1215</v>
      </c>
      <c r="I37" s="209">
        <v>360</v>
      </c>
      <c r="J37" s="177">
        <f>I37/F37</f>
        <v>180</v>
      </c>
      <c r="K37" s="178">
        <f>+H37/I37</f>
        <v>3.375</v>
      </c>
      <c r="L37" s="432">
        <v>2776223</v>
      </c>
      <c r="M37" s="433">
        <v>313059</v>
      </c>
      <c r="N37" s="196">
        <f>+L37/M37</f>
        <v>8.868050431388333</v>
      </c>
      <c r="O37" s="203"/>
    </row>
    <row r="38" spans="1:15" s="4" customFormat="1" ht="15">
      <c r="A38" s="130">
        <v>34</v>
      </c>
      <c r="B38" s="195" t="s">
        <v>456</v>
      </c>
      <c r="C38" s="169">
        <v>40368</v>
      </c>
      <c r="D38" s="168" t="s">
        <v>322</v>
      </c>
      <c r="E38" s="170">
        <v>126</v>
      </c>
      <c r="F38" s="170">
        <v>1</v>
      </c>
      <c r="G38" s="170">
        <v>20</v>
      </c>
      <c r="H38" s="206">
        <v>1425.5</v>
      </c>
      <c r="I38" s="207">
        <v>356</v>
      </c>
      <c r="J38" s="173">
        <f>(I38/F38)</f>
        <v>356</v>
      </c>
      <c r="K38" s="174">
        <f>H38/I38</f>
        <v>4.004213483146067</v>
      </c>
      <c r="L38" s="171">
        <f>2106797.5+50230.5+32558.5+15249.5+15137+17418.5+7784.5+2808+2841.5+1328+2453+1693+613+726+713+1425.5</f>
        <v>2259777</v>
      </c>
      <c r="M38" s="172">
        <f>220679+7944+5486+2451+2714+3159+1414+494+658+202+452+398+85+227+178+356</f>
        <v>246897</v>
      </c>
      <c r="N38" s="197">
        <f>L38/M38</f>
        <v>9.152711454574174</v>
      </c>
      <c r="O38" s="202"/>
    </row>
    <row r="39" spans="1:15" s="4" customFormat="1" ht="15">
      <c r="A39" s="128">
        <v>35</v>
      </c>
      <c r="B39" s="195" t="s">
        <v>503</v>
      </c>
      <c r="C39" s="169">
        <v>39926</v>
      </c>
      <c r="D39" s="168" t="s">
        <v>322</v>
      </c>
      <c r="E39" s="170">
        <v>40</v>
      </c>
      <c r="F39" s="170">
        <v>1</v>
      </c>
      <c r="G39" s="170">
        <v>57</v>
      </c>
      <c r="H39" s="206">
        <v>1424</v>
      </c>
      <c r="I39" s="207">
        <v>356</v>
      </c>
      <c r="J39" s="173">
        <f>(I39/F39)</f>
        <v>356</v>
      </c>
      <c r="K39" s="174">
        <f>H39/I39</f>
        <v>4</v>
      </c>
      <c r="L39" s="171">
        <f>35864.5+53058.5+35303.5+15734.5+12778.5+9687.5+8045+13953.5+10307+6140.75+1296+667+231+755+1970+2246+752.5+591.5+130+445+2051+750+1477+2060+1816+47+72+84+378+2301+1280+700+256+1780+92+200+187+6592.5+2601.5+325.5+274.5+250.5+1365+122.5+3435+71.5+299+201.5+277+84.5+3065.5+890.5+45.5+13+13+449+592+1424</f>
        <v>247881.25</v>
      </c>
      <c r="M39" s="172">
        <f>3971+5771+3969+2398+2257+2131+1634+2509+1783+912+230+126+48+181+472+311+114+91+20+78+493+183+365+462+452+9+24+28+94+494+182+115+64+445+35+80+73+1697+671+84+61+68+336+35+599+11+46+31+42+13+757+149+7+2+2+127+148+356</f>
        <v>37846</v>
      </c>
      <c r="N39" s="197">
        <f>L39/M39</f>
        <v>6.549734450140042</v>
      </c>
      <c r="O39" s="202"/>
    </row>
    <row r="40" spans="1:15" s="4" customFormat="1" ht="15">
      <c r="A40" s="128">
        <v>36</v>
      </c>
      <c r="B40" s="198" t="s">
        <v>5</v>
      </c>
      <c r="C40" s="180">
        <v>40417</v>
      </c>
      <c r="D40" s="168" t="s">
        <v>321</v>
      </c>
      <c r="E40" s="181">
        <v>119</v>
      </c>
      <c r="F40" s="181">
        <v>1</v>
      </c>
      <c r="G40" s="181">
        <v>12</v>
      </c>
      <c r="H40" s="204">
        <v>1190</v>
      </c>
      <c r="I40" s="205">
        <v>297</v>
      </c>
      <c r="J40" s="184">
        <f>I40/F40</f>
        <v>297</v>
      </c>
      <c r="K40" s="185">
        <f>H40/I40</f>
        <v>4.006734006734007</v>
      </c>
      <c r="L40" s="182">
        <v>856532</v>
      </c>
      <c r="M40" s="183">
        <v>96197</v>
      </c>
      <c r="N40" s="199">
        <f>+L40/M40</f>
        <v>8.903936713203114</v>
      </c>
      <c r="O40" s="203"/>
    </row>
    <row r="41" spans="1:15" s="4" customFormat="1" ht="15">
      <c r="A41" s="130">
        <v>37</v>
      </c>
      <c r="B41" s="200" t="s">
        <v>400</v>
      </c>
      <c r="C41" s="180">
        <v>40459</v>
      </c>
      <c r="D41" s="186" t="s">
        <v>335</v>
      </c>
      <c r="E41" s="187">
        <v>50</v>
      </c>
      <c r="F41" s="187">
        <v>3</v>
      </c>
      <c r="G41" s="187">
        <v>7</v>
      </c>
      <c r="H41" s="212">
        <v>1519</v>
      </c>
      <c r="I41" s="213">
        <v>235</v>
      </c>
      <c r="J41" s="190">
        <f>+I41/F41</f>
        <v>78.33333333333333</v>
      </c>
      <c r="K41" s="191">
        <f>+H41/I41</f>
        <v>6.463829787234043</v>
      </c>
      <c r="L41" s="188">
        <v>366434</v>
      </c>
      <c r="M41" s="189">
        <v>32723</v>
      </c>
      <c r="N41" s="201">
        <f>+L41/M41</f>
        <v>11.198056412920575</v>
      </c>
      <c r="O41" s="203"/>
    </row>
    <row r="42" spans="1:15" s="4" customFormat="1" ht="15">
      <c r="A42" s="128">
        <v>38</v>
      </c>
      <c r="B42" s="195" t="s">
        <v>176</v>
      </c>
      <c r="C42" s="169">
        <v>40396</v>
      </c>
      <c r="D42" s="168" t="s">
        <v>322</v>
      </c>
      <c r="E42" s="170">
        <v>4</v>
      </c>
      <c r="F42" s="170">
        <v>3</v>
      </c>
      <c r="G42" s="170">
        <v>16</v>
      </c>
      <c r="H42" s="206">
        <v>1598.5</v>
      </c>
      <c r="I42" s="207">
        <v>219</v>
      </c>
      <c r="J42" s="173">
        <f>(I42/F42)</f>
        <v>73</v>
      </c>
      <c r="K42" s="174">
        <f>H42/I42</f>
        <v>7.299086757990867</v>
      </c>
      <c r="L42" s="171">
        <f>14959+9646+7725+4386+3960+14571+6049+4818+2605+3811+4797+6372+2996+165+950.5+1598.5</f>
        <v>89409</v>
      </c>
      <c r="M42" s="172">
        <f>1646+1123+1125+547+522+2218+896+595+438+656+743+1047+452+23+148+219</f>
        <v>12398</v>
      </c>
      <c r="N42" s="197">
        <f>L42/M42</f>
        <v>7.211566381674464</v>
      </c>
      <c r="O42" s="202"/>
    </row>
    <row r="43" spans="1:15" s="4" customFormat="1" ht="15">
      <c r="A43" s="128">
        <v>39</v>
      </c>
      <c r="B43" s="195" t="s">
        <v>281</v>
      </c>
      <c r="C43" s="169">
        <v>40347</v>
      </c>
      <c r="D43" s="168" t="s">
        <v>322</v>
      </c>
      <c r="E43" s="170">
        <v>66</v>
      </c>
      <c r="F43" s="170">
        <v>4</v>
      </c>
      <c r="G43" s="170">
        <v>23</v>
      </c>
      <c r="H43" s="206">
        <v>642</v>
      </c>
      <c r="I43" s="207">
        <v>201</v>
      </c>
      <c r="J43" s="173">
        <f>(I43/F43)</f>
        <v>50.25</v>
      </c>
      <c r="K43" s="174">
        <f>H43/I43</f>
        <v>3.1940298507462686</v>
      </c>
      <c r="L43" s="171">
        <f>478213+7083+3309.5+6055+4900+8378+4378.5+2349+3103+2074+7679.5+6108+2991.5+2180+2234+642</f>
        <v>541678</v>
      </c>
      <c r="M43" s="172">
        <f>55327+1259+553+1133+756+1285+650+408+682+334+1688+1394+539+483+475+201</f>
        <v>67167</v>
      </c>
      <c r="N43" s="197">
        <f>L43/M43</f>
        <v>8.064644840472257</v>
      </c>
      <c r="O43" s="202"/>
    </row>
    <row r="44" spans="1:15" s="4" customFormat="1" ht="15">
      <c r="A44" s="128">
        <v>40</v>
      </c>
      <c r="B44" s="456" t="s">
        <v>109</v>
      </c>
      <c r="C44" s="426">
        <v>40417</v>
      </c>
      <c r="D44" s="425" t="s">
        <v>448</v>
      </c>
      <c r="E44" s="427">
        <v>81</v>
      </c>
      <c r="F44" s="427">
        <v>1</v>
      </c>
      <c r="G44" s="427">
        <v>13</v>
      </c>
      <c r="H44" s="428">
        <v>886.5</v>
      </c>
      <c r="I44" s="435">
        <v>176</v>
      </c>
      <c r="J44" s="429">
        <v>176</v>
      </c>
      <c r="K44" s="431">
        <v>5.036931818181818</v>
      </c>
      <c r="L44" s="430">
        <v>1161238</v>
      </c>
      <c r="M44" s="436">
        <v>99572</v>
      </c>
      <c r="N44" s="457">
        <v>11.662294620977786</v>
      </c>
      <c r="O44" s="203"/>
    </row>
    <row r="45" spans="1:15" s="4" customFormat="1" ht="15">
      <c r="A45" s="130">
        <v>41</v>
      </c>
      <c r="B45" s="200" t="s">
        <v>315</v>
      </c>
      <c r="C45" s="180">
        <v>40480</v>
      </c>
      <c r="D45" s="186" t="s">
        <v>335</v>
      </c>
      <c r="E45" s="187">
        <v>1</v>
      </c>
      <c r="F45" s="187">
        <v>1</v>
      </c>
      <c r="G45" s="187">
        <v>4</v>
      </c>
      <c r="H45" s="212">
        <v>1527</v>
      </c>
      <c r="I45" s="213">
        <v>115</v>
      </c>
      <c r="J45" s="190">
        <f>+I45/F45</f>
        <v>115</v>
      </c>
      <c r="K45" s="191">
        <f>+H45/I45</f>
        <v>13.278260869565218</v>
      </c>
      <c r="L45" s="188">
        <v>12550</v>
      </c>
      <c r="M45" s="189">
        <v>819</v>
      </c>
      <c r="N45" s="201">
        <f>+L45/M45</f>
        <v>15.323565323565324</v>
      </c>
      <c r="O45" s="203"/>
    </row>
    <row r="46" spans="1:15" s="4" customFormat="1" ht="15">
      <c r="A46" s="128">
        <v>42</v>
      </c>
      <c r="B46" s="195" t="s">
        <v>177</v>
      </c>
      <c r="C46" s="169">
        <v>40361</v>
      </c>
      <c r="D46" s="168" t="s">
        <v>322</v>
      </c>
      <c r="E46" s="170">
        <v>6</v>
      </c>
      <c r="F46" s="170">
        <v>3</v>
      </c>
      <c r="G46" s="170">
        <v>20</v>
      </c>
      <c r="H46" s="206">
        <v>785</v>
      </c>
      <c r="I46" s="207">
        <v>109</v>
      </c>
      <c r="J46" s="173">
        <f>(I46/F46)</f>
        <v>36.333333333333336</v>
      </c>
      <c r="K46" s="174">
        <f>H46/I46</f>
        <v>7.201834862385321</v>
      </c>
      <c r="L46" s="171">
        <f>31734.5+2495+3417.5+2230+4253.5+6248.5+6645.5+2963+2460+1992+953+1041+5017.5+952.5+785</f>
        <v>73188.5</v>
      </c>
      <c r="M46" s="172">
        <f>4397+343+476+344+617+862+852+433+387+315+184+181+719+153+109</f>
        <v>10372</v>
      </c>
      <c r="N46" s="197">
        <f>L46/M46</f>
        <v>7.056353644427304</v>
      </c>
      <c r="O46" s="202"/>
    </row>
    <row r="47" spans="1:15" s="4" customFormat="1" ht="15">
      <c r="A47" s="128">
        <v>43</v>
      </c>
      <c r="B47" s="200" t="s">
        <v>257</v>
      </c>
      <c r="C47" s="180">
        <v>40431</v>
      </c>
      <c r="D47" s="186" t="s">
        <v>335</v>
      </c>
      <c r="E47" s="187">
        <v>124</v>
      </c>
      <c r="F47" s="187">
        <v>2</v>
      </c>
      <c r="G47" s="187">
        <v>11</v>
      </c>
      <c r="H47" s="212">
        <v>482</v>
      </c>
      <c r="I47" s="213">
        <v>95</v>
      </c>
      <c r="J47" s="190">
        <f>+I47/F47</f>
        <v>47.5</v>
      </c>
      <c r="K47" s="191">
        <f>+H47/I47</f>
        <v>5.073684210526316</v>
      </c>
      <c r="L47" s="188">
        <v>3687729</v>
      </c>
      <c r="M47" s="189">
        <v>331519</v>
      </c>
      <c r="N47" s="201">
        <f>+L47/M47</f>
        <v>11.123733481338927</v>
      </c>
      <c r="O47" s="203"/>
    </row>
    <row r="48" spans="1:15" s="4" customFormat="1" ht="15">
      <c r="A48" s="128">
        <v>44</v>
      </c>
      <c r="B48" s="198" t="s">
        <v>218</v>
      </c>
      <c r="C48" s="180">
        <v>40389</v>
      </c>
      <c r="D48" s="168" t="s">
        <v>321</v>
      </c>
      <c r="E48" s="181">
        <v>139</v>
      </c>
      <c r="F48" s="181">
        <v>2</v>
      </c>
      <c r="G48" s="181">
        <v>17</v>
      </c>
      <c r="H48" s="204">
        <v>449</v>
      </c>
      <c r="I48" s="205">
        <v>92</v>
      </c>
      <c r="J48" s="184">
        <f>I48/F48</f>
        <v>46</v>
      </c>
      <c r="K48" s="185">
        <f>H48/I48</f>
        <v>4.880434782608695</v>
      </c>
      <c r="L48" s="182">
        <v>11023277</v>
      </c>
      <c r="M48" s="183">
        <v>1099037</v>
      </c>
      <c r="N48" s="199">
        <f>+L48/M48</f>
        <v>10.029941667114027</v>
      </c>
      <c r="O48" s="203"/>
    </row>
    <row r="49" spans="1:15" s="4" customFormat="1" ht="15">
      <c r="A49" s="130">
        <v>45</v>
      </c>
      <c r="B49" s="195" t="s">
        <v>388</v>
      </c>
      <c r="C49" s="169">
        <v>40438</v>
      </c>
      <c r="D49" s="176" t="s">
        <v>320</v>
      </c>
      <c r="E49" s="170">
        <v>9</v>
      </c>
      <c r="F49" s="170">
        <v>1</v>
      </c>
      <c r="G49" s="170">
        <v>10</v>
      </c>
      <c r="H49" s="208">
        <v>416</v>
      </c>
      <c r="I49" s="209">
        <v>65</v>
      </c>
      <c r="J49" s="177">
        <f>I49/F49</f>
        <v>65</v>
      </c>
      <c r="K49" s="178">
        <f>+H49/I49</f>
        <v>6.4</v>
      </c>
      <c r="L49" s="432">
        <v>85343</v>
      </c>
      <c r="M49" s="433">
        <v>9507</v>
      </c>
      <c r="N49" s="196">
        <f>+L49/M49</f>
        <v>8.976859156411065</v>
      </c>
      <c r="O49" s="203"/>
    </row>
    <row r="50" spans="1:15" s="4" customFormat="1" ht="15">
      <c r="A50" s="128">
        <v>46</v>
      </c>
      <c r="B50" s="195" t="s">
        <v>318</v>
      </c>
      <c r="C50" s="169">
        <v>40312</v>
      </c>
      <c r="D50" s="168" t="s">
        <v>322</v>
      </c>
      <c r="E50" s="170">
        <v>8</v>
      </c>
      <c r="F50" s="170">
        <v>1</v>
      </c>
      <c r="G50" s="170">
        <v>17</v>
      </c>
      <c r="H50" s="206">
        <v>220.5</v>
      </c>
      <c r="I50" s="207">
        <v>63</v>
      </c>
      <c r="J50" s="173">
        <f>(I50/F50)</f>
        <v>63</v>
      </c>
      <c r="K50" s="174">
        <f>H50/I50</f>
        <v>3.5</v>
      </c>
      <c r="L50" s="171">
        <f>41764.5+663+13.5+1901+220.5</f>
        <v>44562.5</v>
      </c>
      <c r="M50" s="172">
        <f>4847+89+1+475+63</f>
        <v>5475</v>
      </c>
      <c r="N50" s="197">
        <f>L50/M50</f>
        <v>8.139269406392694</v>
      </c>
      <c r="O50" s="202"/>
    </row>
    <row r="51" spans="1:15" s="4" customFormat="1" ht="15">
      <c r="A51" s="128">
        <v>47</v>
      </c>
      <c r="B51" s="195" t="s">
        <v>459</v>
      </c>
      <c r="C51" s="192">
        <v>40473</v>
      </c>
      <c r="D51" s="175" t="s">
        <v>333</v>
      </c>
      <c r="E51" s="193">
        <v>36</v>
      </c>
      <c r="F51" s="193">
        <v>2</v>
      </c>
      <c r="G51" s="193">
        <v>5</v>
      </c>
      <c r="H51" s="208">
        <v>533</v>
      </c>
      <c r="I51" s="209">
        <v>62</v>
      </c>
      <c r="J51" s="190">
        <f>IF(H51&lt;&gt;0,I51/F51,"")</f>
        <v>31</v>
      </c>
      <c r="K51" s="191">
        <f>IF(H51&lt;&gt;0,H51/I51,"")</f>
        <v>8.596774193548388</v>
      </c>
      <c r="L51" s="432">
        <f>34961.5+23009.5+1351+805+533</f>
        <v>60660</v>
      </c>
      <c r="M51" s="433">
        <f>4408+3132+214+122+62</f>
        <v>7938</v>
      </c>
      <c r="N51" s="201">
        <f>IF(L51&lt;&gt;0,L51/M51,"")</f>
        <v>7.64172335600907</v>
      </c>
      <c r="O51" s="203">
        <v>1</v>
      </c>
    </row>
    <row r="52" spans="1:15" s="4" customFormat="1" ht="15">
      <c r="A52" s="128">
        <v>48</v>
      </c>
      <c r="B52" s="198" t="s">
        <v>16</v>
      </c>
      <c r="C52" s="180">
        <v>40312</v>
      </c>
      <c r="D52" s="179" t="s">
        <v>444</v>
      </c>
      <c r="E52" s="181">
        <v>76</v>
      </c>
      <c r="F52" s="181">
        <v>1</v>
      </c>
      <c r="G52" s="181">
        <v>25</v>
      </c>
      <c r="H52" s="214">
        <v>326</v>
      </c>
      <c r="I52" s="217">
        <v>48</v>
      </c>
      <c r="J52" s="190">
        <f>IF(H52&lt;&gt;0,I52/F52,"")</f>
        <v>48</v>
      </c>
      <c r="K52" s="191">
        <f>IF(H52&lt;&gt;0,H52/I52,"")</f>
        <v>6.791666666666667</v>
      </c>
      <c r="L52" s="194">
        <f>368451+307+100+121+229+326</f>
        <v>369534</v>
      </c>
      <c r="M52" s="177">
        <f>33019+57+16+18+35+48</f>
        <v>33193</v>
      </c>
      <c r="N52" s="201">
        <f>IF(L52&lt;&gt;0,L52/M52,"")</f>
        <v>11.13288946464616</v>
      </c>
      <c r="O52" s="203"/>
    </row>
    <row r="53" spans="1:15" s="4" customFormat="1" ht="15">
      <c r="A53" s="130">
        <v>49</v>
      </c>
      <c r="B53" s="458" t="s">
        <v>314</v>
      </c>
      <c r="C53" s="438">
        <v>40480</v>
      </c>
      <c r="D53" s="437" t="s">
        <v>324</v>
      </c>
      <c r="E53" s="439">
        <v>15</v>
      </c>
      <c r="F53" s="439">
        <v>1</v>
      </c>
      <c r="G53" s="439">
        <v>4</v>
      </c>
      <c r="H53" s="440">
        <v>179</v>
      </c>
      <c r="I53" s="441">
        <v>29</v>
      </c>
      <c r="J53" s="442">
        <v>29</v>
      </c>
      <c r="K53" s="443">
        <v>6.172413793103448</v>
      </c>
      <c r="L53" s="444">
        <v>50095</v>
      </c>
      <c r="M53" s="442">
        <v>4725</v>
      </c>
      <c r="N53" s="459">
        <v>10.602116402116403</v>
      </c>
      <c r="O53" s="203"/>
    </row>
    <row r="54" spans="1:15" s="4" customFormat="1" ht="15">
      <c r="A54" s="128">
        <v>50</v>
      </c>
      <c r="B54" s="198" t="s">
        <v>466</v>
      </c>
      <c r="C54" s="180">
        <v>40207</v>
      </c>
      <c r="D54" s="179" t="s">
        <v>444</v>
      </c>
      <c r="E54" s="181">
        <v>47</v>
      </c>
      <c r="F54" s="181">
        <v>1</v>
      </c>
      <c r="G54" s="181">
        <v>36</v>
      </c>
      <c r="H54" s="214">
        <v>190</v>
      </c>
      <c r="I54" s="217">
        <v>27</v>
      </c>
      <c r="J54" s="190">
        <f>IF(H54&lt;&gt;0,I54/F54,"")</f>
        <v>27</v>
      </c>
      <c r="K54" s="191">
        <f>IF(H54&lt;&gt;0,H54/I54,"")</f>
        <v>7.037037037037037</v>
      </c>
      <c r="L54" s="194">
        <f>1873890.5+5542+564+70+558+190</f>
        <v>1880814.5</v>
      </c>
      <c r="M54" s="177">
        <f>160830+1202+112+10+80+27</f>
        <v>162261</v>
      </c>
      <c r="N54" s="201">
        <f>IF(L54&lt;&gt;0,L54/M54,"")</f>
        <v>11.591291191352203</v>
      </c>
      <c r="O54" s="203"/>
    </row>
    <row r="55" spans="1:15" s="4" customFormat="1" ht="15">
      <c r="A55" s="128">
        <v>51</v>
      </c>
      <c r="B55" s="195" t="s">
        <v>457</v>
      </c>
      <c r="C55" s="169">
        <v>40235</v>
      </c>
      <c r="D55" s="176" t="s">
        <v>320</v>
      </c>
      <c r="E55" s="170">
        <v>256</v>
      </c>
      <c r="F55" s="170">
        <v>1</v>
      </c>
      <c r="G55" s="170">
        <v>39</v>
      </c>
      <c r="H55" s="208">
        <v>173</v>
      </c>
      <c r="I55" s="209">
        <v>25</v>
      </c>
      <c r="J55" s="177">
        <f>I55/F55</f>
        <v>25</v>
      </c>
      <c r="K55" s="178">
        <f>+H55/I55</f>
        <v>6.92</v>
      </c>
      <c r="L55" s="432">
        <v>21723367</v>
      </c>
      <c r="M55" s="177">
        <v>2459815</v>
      </c>
      <c r="N55" s="196">
        <f>+L55/M55</f>
        <v>8.831301134434907</v>
      </c>
      <c r="O55" s="203">
        <v>1</v>
      </c>
    </row>
    <row r="56" spans="1:15" s="4" customFormat="1" ht="15">
      <c r="A56" s="128">
        <v>52</v>
      </c>
      <c r="B56" s="195" t="s">
        <v>289</v>
      </c>
      <c r="C56" s="169">
        <v>40361</v>
      </c>
      <c r="D56" s="176" t="s">
        <v>320</v>
      </c>
      <c r="E56" s="170">
        <v>161</v>
      </c>
      <c r="F56" s="170">
        <v>1</v>
      </c>
      <c r="G56" s="170">
        <v>21</v>
      </c>
      <c r="H56" s="208">
        <v>199</v>
      </c>
      <c r="I56" s="209">
        <v>25</v>
      </c>
      <c r="J56" s="177">
        <f>I56/F56</f>
        <v>25</v>
      </c>
      <c r="K56" s="178">
        <f>+H56/I56</f>
        <v>7.96</v>
      </c>
      <c r="L56" s="432">
        <v>3660977</v>
      </c>
      <c r="M56" s="177">
        <v>334359</v>
      </c>
      <c r="N56" s="196">
        <f>+L56/M56</f>
        <v>10.949240187941703</v>
      </c>
      <c r="O56" s="203"/>
    </row>
    <row r="57" spans="1:15" s="4" customFormat="1" ht="15">
      <c r="A57" s="130">
        <v>53</v>
      </c>
      <c r="B57" s="198" t="s">
        <v>2</v>
      </c>
      <c r="C57" s="180">
        <v>40473</v>
      </c>
      <c r="D57" s="168" t="s">
        <v>321</v>
      </c>
      <c r="E57" s="181">
        <v>74</v>
      </c>
      <c r="F57" s="181">
        <v>2</v>
      </c>
      <c r="G57" s="181">
        <v>5</v>
      </c>
      <c r="H57" s="204">
        <v>140</v>
      </c>
      <c r="I57" s="205">
        <v>24</v>
      </c>
      <c r="J57" s="184">
        <f>I57/F57</f>
        <v>12</v>
      </c>
      <c r="K57" s="185">
        <f>H57/I57</f>
        <v>5.833333333333333</v>
      </c>
      <c r="L57" s="182">
        <v>974396</v>
      </c>
      <c r="M57" s="183">
        <v>83142</v>
      </c>
      <c r="N57" s="199">
        <f>+L57/M57</f>
        <v>11.719660340140964</v>
      </c>
      <c r="O57" s="203"/>
    </row>
    <row r="58" spans="1:15" s="4" customFormat="1" ht="15">
      <c r="A58" s="128">
        <v>54</v>
      </c>
      <c r="B58" s="195" t="s">
        <v>172</v>
      </c>
      <c r="C58" s="169">
        <v>40438</v>
      </c>
      <c r="D58" s="168" t="s">
        <v>322</v>
      </c>
      <c r="E58" s="170">
        <v>19</v>
      </c>
      <c r="F58" s="170">
        <v>1</v>
      </c>
      <c r="G58" s="170">
        <v>10</v>
      </c>
      <c r="H58" s="206">
        <v>140</v>
      </c>
      <c r="I58" s="207">
        <v>20</v>
      </c>
      <c r="J58" s="173">
        <f>(I58/F58)</f>
        <v>20</v>
      </c>
      <c r="K58" s="174">
        <f>H58/I58</f>
        <v>7</v>
      </c>
      <c r="L58" s="171">
        <f>56752.5+38871+22868.5+4839+2786+2829.5+8012+670+1368+140</f>
        <v>139136.5</v>
      </c>
      <c r="M58" s="172">
        <f>4639+3072+2103+531+316+368+936+83+203+20</f>
        <v>12271</v>
      </c>
      <c r="N58" s="197">
        <f>L58/M58</f>
        <v>11.338643957297693</v>
      </c>
      <c r="O58" s="202"/>
    </row>
    <row r="59" spans="1:15" s="4" customFormat="1" ht="15.75" thickBot="1">
      <c r="A59" s="128">
        <v>55</v>
      </c>
      <c r="B59" s="220" t="s">
        <v>402</v>
      </c>
      <c r="C59" s="460">
        <v>40466</v>
      </c>
      <c r="D59" s="221" t="s">
        <v>444</v>
      </c>
      <c r="E59" s="222">
        <v>10</v>
      </c>
      <c r="F59" s="222">
        <v>1</v>
      </c>
      <c r="G59" s="222">
        <v>4</v>
      </c>
      <c r="H59" s="461">
        <v>33</v>
      </c>
      <c r="I59" s="462">
        <v>5</v>
      </c>
      <c r="J59" s="463">
        <f>IF(H59&lt;&gt;0,I59/F59,"")</f>
        <v>5</v>
      </c>
      <c r="K59" s="464">
        <f>IF(H59&lt;&gt;0,H59/I59,"")</f>
        <v>6.6</v>
      </c>
      <c r="L59" s="465">
        <f>7088+2486+815+33</f>
        <v>10422</v>
      </c>
      <c r="M59" s="466">
        <f>735+318+126+5</f>
        <v>1184</v>
      </c>
      <c r="N59" s="467">
        <f>IF(L59&lt;&gt;0,L59/M59,"")</f>
        <v>8.802364864864865</v>
      </c>
      <c r="O59" s="203"/>
    </row>
    <row r="60" spans="1:15" s="4" customFormat="1" ht="15">
      <c r="A60" s="513"/>
      <c r="B60" s="514"/>
      <c r="C60" s="7"/>
      <c r="D60" s="9"/>
      <c r="E60" s="27"/>
      <c r="F60" s="28"/>
      <c r="G60" s="27"/>
      <c r="H60" s="11"/>
      <c r="I60" s="12"/>
      <c r="J60" s="15"/>
      <c r="K60" s="16"/>
      <c r="L60" s="17"/>
      <c r="M60" s="18"/>
      <c r="N60" s="81"/>
      <c r="O60" s="87"/>
    </row>
    <row r="61" spans="1:15" s="4" customFormat="1" ht="13.5">
      <c r="A61" s="131"/>
      <c r="B61" s="39"/>
      <c r="C61" s="40"/>
      <c r="D61" s="41"/>
      <c r="E61" s="42"/>
      <c r="F61" s="42"/>
      <c r="G61" s="42"/>
      <c r="H61" s="43"/>
      <c r="I61" s="44"/>
      <c r="J61" s="45"/>
      <c r="K61" s="46"/>
      <c r="L61" s="47"/>
      <c r="M61" s="48"/>
      <c r="N61" s="82"/>
      <c r="O61" s="87"/>
    </row>
    <row r="62" spans="1:15" s="4" customFormat="1" ht="15">
      <c r="A62" s="131"/>
      <c r="B62" s="49"/>
      <c r="C62" s="50"/>
      <c r="D62" s="51"/>
      <c r="E62" s="52"/>
      <c r="F62" s="53"/>
      <c r="G62" s="42"/>
      <c r="H62" s="43"/>
      <c r="I62" s="44"/>
      <c r="J62" s="515" t="s">
        <v>417</v>
      </c>
      <c r="K62" s="516"/>
      <c r="L62" s="516"/>
      <c r="M62" s="516"/>
      <c r="N62" s="516"/>
      <c r="O62" s="87"/>
    </row>
    <row r="63" spans="1:15" s="4" customFormat="1" ht="15">
      <c r="A63" s="131"/>
      <c r="B63" s="49"/>
      <c r="C63" s="50"/>
      <c r="D63" s="51"/>
      <c r="E63" s="52"/>
      <c r="F63" s="42"/>
      <c r="G63" s="54"/>
      <c r="H63" s="43"/>
      <c r="I63" s="44"/>
      <c r="J63" s="516"/>
      <c r="K63" s="516"/>
      <c r="L63" s="516"/>
      <c r="M63" s="516"/>
      <c r="N63" s="516"/>
      <c r="O63" s="87"/>
    </row>
    <row r="64" spans="1:14" s="8" customFormat="1" ht="15">
      <c r="A64" s="131"/>
      <c r="B64" s="49"/>
      <c r="C64" s="50"/>
      <c r="D64" s="51"/>
      <c r="E64" s="52"/>
      <c r="F64" s="42"/>
      <c r="G64" s="54"/>
      <c r="H64" s="43"/>
      <c r="I64" s="44"/>
      <c r="J64" s="516"/>
      <c r="K64" s="516"/>
      <c r="L64" s="516"/>
      <c r="M64" s="516"/>
      <c r="N64" s="516"/>
    </row>
    <row r="65" spans="1:15" s="4" customFormat="1" ht="15">
      <c r="A65" s="131"/>
      <c r="B65" s="49"/>
      <c r="C65" s="50"/>
      <c r="D65" s="51"/>
      <c r="E65" s="52"/>
      <c r="F65" s="42"/>
      <c r="G65" s="54"/>
      <c r="H65" s="43"/>
      <c r="I65" s="44"/>
      <c r="J65" s="517"/>
      <c r="K65" s="517"/>
      <c r="L65" s="517"/>
      <c r="M65" s="517"/>
      <c r="N65" s="517"/>
      <c r="O65" s="87"/>
    </row>
    <row r="66" spans="1:15" s="4" customFormat="1" ht="15">
      <c r="A66" s="131"/>
      <c r="B66" s="49"/>
      <c r="C66" s="50"/>
      <c r="D66" s="51"/>
      <c r="E66" s="52"/>
      <c r="F66" s="42"/>
      <c r="G66" s="510" t="s">
        <v>200</v>
      </c>
      <c r="H66" s="511"/>
      <c r="I66" s="511"/>
      <c r="J66" s="511"/>
      <c r="K66" s="511"/>
      <c r="L66" s="511"/>
      <c r="M66" s="511"/>
      <c r="N66" s="511"/>
      <c r="O66" s="87"/>
    </row>
    <row r="67" spans="1:15" s="4" customFormat="1" ht="15">
      <c r="A67" s="131"/>
      <c r="B67" s="49"/>
      <c r="C67" s="50"/>
      <c r="D67" s="51"/>
      <c r="E67" s="52"/>
      <c r="F67" s="52"/>
      <c r="G67" s="511"/>
      <c r="H67" s="511"/>
      <c r="I67" s="511"/>
      <c r="J67" s="511"/>
      <c r="K67" s="511"/>
      <c r="L67" s="511"/>
      <c r="M67" s="511"/>
      <c r="N67" s="511"/>
      <c r="O67" s="87"/>
    </row>
    <row r="68" spans="1:15" s="4" customFormat="1" ht="15">
      <c r="A68" s="131"/>
      <c r="B68" s="49"/>
      <c r="C68" s="50"/>
      <c r="D68" s="51"/>
      <c r="E68" s="52"/>
      <c r="F68" s="42"/>
      <c r="G68" s="511"/>
      <c r="H68" s="511"/>
      <c r="I68" s="511"/>
      <c r="J68" s="511"/>
      <c r="K68" s="511"/>
      <c r="L68" s="511"/>
      <c r="M68" s="511"/>
      <c r="N68" s="511"/>
      <c r="O68" s="87"/>
    </row>
    <row r="69" spans="1:15" s="4" customFormat="1" ht="15">
      <c r="A69" s="131"/>
      <c r="B69" s="49"/>
      <c r="C69" s="50"/>
      <c r="D69" s="51"/>
      <c r="E69" s="52"/>
      <c r="F69" s="42"/>
      <c r="G69" s="511"/>
      <c r="H69" s="511"/>
      <c r="I69" s="511"/>
      <c r="J69" s="511"/>
      <c r="K69" s="511"/>
      <c r="L69" s="511"/>
      <c r="M69" s="511"/>
      <c r="N69" s="511"/>
      <c r="O69" s="87"/>
    </row>
    <row r="70" spans="1:15" s="4" customFormat="1" ht="15">
      <c r="A70" s="131"/>
      <c r="B70" s="49"/>
      <c r="C70" s="50"/>
      <c r="D70" s="51"/>
      <c r="E70" s="52"/>
      <c r="F70" s="42"/>
      <c r="G70" s="511"/>
      <c r="H70" s="511"/>
      <c r="I70" s="511"/>
      <c r="J70" s="511"/>
      <c r="K70" s="511"/>
      <c r="L70" s="511"/>
      <c r="M70" s="511"/>
      <c r="N70" s="511"/>
      <c r="O70" s="87"/>
    </row>
    <row r="71" spans="1:15" s="6" customFormat="1" ht="15">
      <c r="A71" s="131"/>
      <c r="B71" s="49"/>
      <c r="C71" s="50"/>
      <c r="D71" s="51"/>
      <c r="E71" s="52"/>
      <c r="F71" s="42"/>
      <c r="G71" s="511"/>
      <c r="H71" s="511"/>
      <c r="I71" s="511"/>
      <c r="J71" s="511"/>
      <c r="K71" s="511"/>
      <c r="L71" s="511"/>
      <c r="M71" s="511"/>
      <c r="N71" s="511"/>
      <c r="O71" s="88"/>
    </row>
    <row r="72" spans="1:15" s="6" customFormat="1" ht="15">
      <c r="A72" s="131"/>
      <c r="B72" s="49"/>
      <c r="C72" s="50"/>
      <c r="D72" s="51"/>
      <c r="E72" s="52"/>
      <c r="F72" s="42"/>
      <c r="G72" s="512" t="s">
        <v>267</v>
      </c>
      <c r="H72" s="511"/>
      <c r="I72" s="511"/>
      <c r="J72" s="511"/>
      <c r="K72" s="511"/>
      <c r="L72" s="511"/>
      <c r="M72" s="511"/>
      <c r="N72" s="511"/>
      <c r="O72" s="88"/>
    </row>
    <row r="73" spans="1:15" s="6" customFormat="1" ht="15">
      <c r="A73" s="131"/>
      <c r="B73" s="49"/>
      <c r="C73" s="50"/>
      <c r="D73" s="51"/>
      <c r="E73" s="52"/>
      <c r="F73" s="42"/>
      <c r="G73" s="511"/>
      <c r="H73" s="511"/>
      <c r="I73" s="511"/>
      <c r="J73" s="511"/>
      <c r="K73" s="511"/>
      <c r="L73" s="511"/>
      <c r="M73" s="511"/>
      <c r="N73" s="511"/>
      <c r="O73" s="88"/>
    </row>
    <row r="74" spans="1:15" s="6" customFormat="1" ht="15">
      <c r="A74" s="131"/>
      <c r="B74" s="49"/>
      <c r="C74" s="50"/>
      <c r="D74" s="51"/>
      <c r="E74" s="52"/>
      <c r="F74" s="42"/>
      <c r="G74" s="511"/>
      <c r="H74" s="511"/>
      <c r="I74" s="511"/>
      <c r="J74" s="511"/>
      <c r="K74" s="511"/>
      <c r="L74" s="511"/>
      <c r="M74" s="511"/>
      <c r="N74" s="511"/>
      <c r="O74" s="88"/>
    </row>
    <row r="75" spans="1:15" s="6" customFormat="1" ht="15">
      <c r="A75" s="131"/>
      <c r="B75" s="49"/>
      <c r="C75" s="50"/>
      <c r="D75" s="51"/>
      <c r="E75" s="52"/>
      <c r="F75" s="42"/>
      <c r="G75" s="511"/>
      <c r="H75" s="511"/>
      <c r="I75" s="511"/>
      <c r="J75" s="511"/>
      <c r="K75" s="511"/>
      <c r="L75" s="511"/>
      <c r="M75" s="511"/>
      <c r="N75" s="511"/>
      <c r="O75" s="88"/>
    </row>
    <row r="76" spans="1:15" s="6" customFormat="1" ht="15">
      <c r="A76" s="131"/>
      <c r="B76" s="49"/>
      <c r="C76" s="50"/>
      <c r="D76" s="51"/>
      <c r="E76" s="52"/>
      <c r="F76" s="42"/>
      <c r="G76" s="511"/>
      <c r="H76" s="511"/>
      <c r="I76" s="511"/>
      <c r="J76" s="511"/>
      <c r="K76" s="511"/>
      <c r="L76" s="511"/>
      <c r="M76" s="511"/>
      <c r="N76" s="511"/>
      <c r="O76" s="88"/>
    </row>
    <row r="77" spans="1:15" s="6" customFormat="1" ht="15">
      <c r="A77" s="131"/>
      <c r="B77" s="55"/>
      <c r="C77" s="56"/>
      <c r="D77" s="57"/>
      <c r="E77" s="30"/>
      <c r="F77" s="42"/>
      <c r="G77" s="511"/>
      <c r="H77" s="511"/>
      <c r="I77" s="511"/>
      <c r="J77" s="511"/>
      <c r="K77" s="511"/>
      <c r="L77" s="511"/>
      <c r="M77" s="511"/>
      <c r="N77" s="511"/>
      <c r="O77" s="88"/>
    </row>
    <row r="78" spans="1:15" s="6" customFormat="1" ht="15">
      <c r="A78" s="131"/>
      <c r="B78" s="55"/>
      <c r="C78" s="56"/>
      <c r="D78" s="57"/>
      <c r="E78" s="30"/>
      <c r="F78" s="42"/>
      <c r="G78" s="511"/>
      <c r="H78" s="511"/>
      <c r="I78" s="511"/>
      <c r="J78" s="511"/>
      <c r="K78" s="511"/>
      <c r="L78" s="511"/>
      <c r="M78" s="511"/>
      <c r="N78" s="511"/>
      <c r="O78" s="88"/>
    </row>
    <row r="79" spans="1:15" s="6" customFormat="1" ht="15">
      <c r="A79" s="131"/>
      <c r="B79" s="55"/>
      <c r="C79" s="56"/>
      <c r="D79" s="57"/>
      <c r="E79" s="30"/>
      <c r="F79" s="42"/>
      <c r="G79" s="30"/>
      <c r="H79" s="58"/>
      <c r="I79" s="59"/>
      <c r="J79" s="60"/>
      <c r="K79" s="61"/>
      <c r="L79" s="62"/>
      <c r="M79" s="63"/>
      <c r="N79" s="83"/>
      <c r="O79" s="88"/>
    </row>
    <row r="80" spans="1:15" s="6" customFormat="1" ht="15">
      <c r="A80" s="131"/>
      <c r="B80" s="55"/>
      <c r="C80" s="56"/>
      <c r="D80" s="57"/>
      <c r="E80" s="30"/>
      <c r="F80" s="42"/>
      <c r="G80" s="30"/>
      <c r="H80" s="58"/>
      <c r="I80" s="59"/>
      <c r="J80" s="60"/>
      <c r="K80" s="61"/>
      <c r="L80" s="62"/>
      <c r="M80" s="63"/>
      <c r="N80" s="83"/>
      <c r="O80" s="88"/>
    </row>
    <row r="81" spans="1:15" s="6" customFormat="1" ht="18">
      <c r="A81" s="131"/>
      <c r="B81" s="55"/>
      <c r="C81" s="56"/>
      <c r="D81" s="57"/>
      <c r="E81" s="30"/>
      <c r="F81" s="42"/>
      <c r="G81" s="42"/>
      <c r="H81" s="64"/>
      <c r="I81" s="65"/>
      <c r="J81" s="45"/>
      <c r="K81" s="46"/>
      <c r="L81" s="66"/>
      <c r="M81" s="48"/>
      <c r="N81" s="82"/>
      <c r="O81" s="88"/>
    </row>
    <row r="82" spans="1:15" s="6" customFormat="1" ht="18">
      <c r="A82" s="131"/>
      <c r="B82" s="55"/>
      <c r="C82" s="56"/>
      <c r="D82" s="57"/>
      <c r="E82" s="30"/>
      <c r="F82" s="42"/>
      <c r="G82" s="42"/>
      <c r="H82" s="64"/>
      <c r="I82" s="65"/>
      <c r="J82" s="45"/>
      <c r="K82" s="46"/>
      <c r="L82" s="66"/>
      <c r="M82" s="48"/>
      <c r="N82" s="82"/>
      <c r="O82" s="88"/>
    </row>
    <row r="83" spans="1:15" s="6" customFormat="1" ht="15">
      <c r="A83" s="131"/>
      <c r="B83" s="55"/>
      <c r="C83" s="56"/>
      <c r="D83" s="57"/>
      <c r="E83" s="30"/>
      <c r="F83" s="30"/>
      <c r="G83" s="30"/>
      <c r="H83" s="58"/>
      <c r="I83" s="59"/>
      <c r="J83" s="60"/>
      <c r="K83" s="61"/>
      <c r="L83" s="62"/>
      <c r="M83" s="63"/>
      <c r="N83" s="83"/>
      <c r="O83" s="88"/>
    </row>
    <row r="84" spans="1:15" s="6" customFormat="1" ht="15">
      <c r="A84" s="131"/>
      <c r="B84" s="55"/>
      <c r="C84" s="56"/>
      <c r="D84" s="57"/>
      <c r="E84" s="30"/>
      <c r="F84" s="30"/>
      <c r="G84" s="30"/>
      <c r="H84" s="58"/>
      <c r="I84" s="59"/>
      <c r="J84" s="60"/>
      <c r="K84" s="61"/>
      <c r="L84" s="62"/>
      <c r="M84" s="63"/>
      <c r="N84" s="83"/>
      <c r="O84" s="88"/>
    </row>
    <row r="85" spans="2:14" ht="18">
      <c r="B85" s="55"/>
      <c r="C85" s="56"/>
      <c r="D85" s="57"/>
      <c r="E85" s="30"/>
      <c r="F85" s="30"/>
      <c r="G85" s="30"/>
      <c r="H85" s="58"/>
      <c r="I85" s="59"/>
      <c r="J85" s="60"/>
      <c r="K85" s="61"/>
      <c r="L85" s="62"/>
      <c r="M85" s="63"/>
      <c r="N85" s="83"/>
    </row>
    <row r="86" spans="2:14" ht="18">
      <c r="B86" s="55"/>
      <c r="C86" s="56"/>
      <c r="D86" s="57"/>
      <c r="E86" s="30"/>
      <c r="F86" s="30"/>
      <c r="G86" s="30"/>
      <c r="H86" s="58"/>
      <c r="I86" s="59"/>
      <c r="J86" s="60"/>
      <c r="K86" s="61"/>
      <c r="L86" s="62"/>
      <c r="M86" s="63"/>
      <c r="N86" s="83"/>
    </row>
    <row r="87" spans="2:14" ht="18">
      <c r="B87" s="55"/>
      <c r="C87" s="56"/>
      <c r="D87" s="57"/>
      <c r="E87" s="30"/>
      <c r="F87" s="30"/>
      <c r="G87" s="30"/>
      <c r="H87" s="58"/>
      <c r="I87" s="59"/>
      <c r="J87" s="60"/>
      <c r="K87" s="61"/>
      <c r="L87" s="62"/>
      <c r="M87" s="63"/>
      <c r="N87" s="83"/>
    </row>
    <row r="88" spans="2:14" ht="18">
      <c r="B88" s="55"/>
      <c r="C88" s="56"/>
      <c r="D88" s="57"/>
      <c r="E88" s="30"/>
      <c r="F88" s="30"/>
      <c r="G88" s="30"/>
      <c r="H88" s="58"/>
      <c r="I88" s="59"/>
      <c r="J88" s="60"/>
      <c r="K88" s="61"/>
      <c r="L88" s="62"/>
      <c r="M88" s="63"/>
      <c r="N88" s="83"/>
    </row>
    <row r="89" spans="2:14" ht="18">
      <c r="B89" s="55"/>
      <c r="C89" s="56"/>
      <c r="D89" s="57"/>
      <c r="E89" s="30"/>
      <c r="F89" s="30"/>
      <c r="G89" s="30"/>
      <c r="H89" s="58"/>
      <c r="I89" s="59"/>
      <c r="J89" s="60"/>
      <c r="K89" s="61"/>
      <c r="L89" s="62"/>
      <c r="M89" s="63"/>
      <c r="N89" s="83"/>
    </row>
    <row r="90" spans="2:14" ht="18">
      <c r="B90" s="55"/>
      <c r="C90" s="56"/>
      <c r="D90" s="57"/>
      <c r="E90" s="30"/>
      <c r="F90" s="30"/>
      <c r="G90" s="30"/>
      <c r="H90" s="58"/>
      <c r="I90" s="59"/>
      <c r="J90" s="60"/>
      <c r="K90" s="61"/>
      <c r="L90" s="62"/>
      <c r="M90" s="63"/>
      <c r="N90" s="83"/>
    </row>
    <row r="91" spans="6:14" ht="22.5">
      <c r="F91" s="30"/>
      <c r="G91" s="30"/>
      <c r="H91" s="58"/>
      <c r="I91" s="59"/>
      <c r="J91" s="60"/>
      <c r="K91" s="61"/>
      <c r="L91" s="62"/>
      <c r="M91" s="63"/>
      <c r="N91" s="83"/>
    </row>
    <row r="92" spans="6:14" ht="22.5">
      <c r="F92" s="30"/>
      <c r="G92" s="30"/>
      <c r="H92" s="58"/>
      <c r="I92" s="59"/>
      <c r="J92" s="60"/>
      <c r="K92" s="61"/>
      <c r="L92" s="62"/>
      <c r="M92" s="63"/>
      <c r="N92" s="83"/>
    </row>
    <row r="93" spans="6:14" ht="22.5">
      <c r="F93" s="30"/>
      <c r="G93" s="30"/>
      <c r="H93" s="58"/>
      <c r="I93" s="59"/>
      <c r="J93" s="60"/>
      <c r="K93" s="61"/>
      <c r="L93" s="62"/>
      <c r="M93" s="63"/>
      <c r="N93" s="83"/>
    </row>
    <row r="94" spans="6:14" ht="22.5">
      <c r="F94" s="30"/>
      <c r="G94" s="30"/>
      <c r="H94" s="58"/>
      <c r="I94" s="59"/>
      <c r="J94" s="60"/>
      <c r="K94" s="61"/>
      <c r="L94" s="62"/>
      <c r="M94" s="63"/>
      <c r="N94" s="83"/>
    </row>
    <row r="95" spans="6:14" ht="22.5">
      <c r="F95" s="30"/>
      <c r="G95" s="30"/>
      <c r="H95" s="58"/>
      <c r="I95" s="59"/>
      <c r="J95" s="60"/>
      <c r="K95" s="61"/>
      <c r="L95" s="62"/>
      <c r="M95" s="63"/>
      <c r="N95" s="83"/>
    </row>
    <row r="96" spans="6:14" ht="22.5">
      <c r="F96" s="30"/>
      <c r="G96" s="30"/>
      <c r="H96" s="58"/>
      <c r="I96" s="59"/>
      <c r="J96" s="60"/>
      <c r="K96" s="61"/>
      <c r="L96" s="62"/>
      <c r="M96" s="63"/>
      <c r="N96" s="83"/>
    </row>
  </sheetData>
  <sheetProtection insertRows="0" deleteRows="0" sort="0"/>
  <mergeCells count="14">
    <mergeCell ref="D3:D4"/>
    <mergeCell ref="G3:G4"/>
    <mergeCell ref="H3:K3"/>
    <mergeCell ref="C3:C4"/>
    <mergeCell ref="G66:N71"/>
    <mergeCell ref="G72:N78"/>
    <mergeCell ref="A60:B60"/>
    <mergeCell ref="J62:N64"/>
    <mergeCell ref="J65:N65"/>
    <mergeCell ref="A2:N2"/>
    <mergeCell ref="L3:N3"/>
    <mergeCell ref="F3:F4"/>
    <mergeCell ref="E3:E4"/>
    <mergeCell ref="B3:B4"/>
  </mergeCells>
  <printOptions horizontalCentered="1" verticalCentered="1"/>
  <pageMargins left="0.53" right="0.19" top="0.5905511811023623" bottom="0.5" header="0.5118110236220472" footer="0.45"/>
  <pageSetup orientation="portrait" paperSize="9" scale="45"/>
  <ignoredErrors>
    <ignoredError sqref="P29 P33:P34 P6 P13:P16 P30:P32 P17 P18:P19 P7:P12 P20:P24 P35:P44 K20:K28 P25:P28 L51:L52 K29:K52 J29:J52 N29:N52" formula="1"/>
    <ignoredError sqref="M12:M50 L12:L19 L58:M58" unlockedFormula="1"/>
    <ignoredError sqref="L20:L28 L29:L50" formula="1" unlockedFormula="1"/>
  </ignoredErrors>
  <drawing r:id="rId1"/>
</worksheet>
</file>

<file path=xl/worksheets/sheet2.xml><?xml version="1.0" encoding="utf-8"?>
<worksheet xmlns="http://schemas.openxmlformats.org/spreadsheetml/2006/main" xmlns:r="http://schemas.openxmlformats.org/officeDocument/2006/relationships">
  <dimension ref="A1:O235"/>
  <sheetViews>
    <sheetView zoomScale="150" zoomScaleNormal="150" zoomScalePageLayoutView="0" workbookViewId="0" topLeftCell="A1">
      <selection activeCell="B3" sqref="B3:B4"/>
    </sheetView>
  </sheetViews>
  <sheetFormatPr defaultColWidth="17.421875" defaultRowHeight="12.75"/>
  <cols>
    <col min="1" max="1" width="5.140625" style="111" customWidth="1"/>
    <col min="2" max="2" width="44.28125" style="106" bestFit="1" customWidth="1"/>
    <col min="3" max="3" width="8.8515625" style="107" bestFit="1" customWidth="1"/>
    <col min="4" max="4" width="19.140625" style="107" bestFit="1" customWidth="1"/>
    <col min="5" max="5" width="4.7109375" style="424" bestFit="1" customWidth="1"/>
    <col min="6" max="6" width="6.140625" style="424" customWidth="1"/>
    <col min="7" max="7" width="14.57421875" style="58" bestFit="1" customWidth="1"/>
    <col min="8" max="8" width="10.421875" style="108" bestFit="1" customWidth="1"/>
    <col min="9" max="9" width="7.8515625" style="109" customWidth="1"/>
    <col min="10" max="10" width="2.140625" style="149" bestFit="1" customWidth="1"/>
    <col min="11" max="11" width="17.421875" style="105" customWidth="1"/>
    <col min="12" max="12" width="17.421875" style="104" customWidth="1"/>
    <col min="13" max="13" width="17.421875" style="105" customWidth="1"/>
    <col min="14" max="15" width="17.421875" style="96" customWidth="1"/>
    <col min="16" max="16384" width="17.421875" style="106" customWidth="1"/>
  </cols>
  <sheetData>
    <row r="1" spans="1:13" s="100" customFormat="1" ht="34.5" thickBot="1">
      <c r="A1" s="531" t="s">
        <v>445</v>
      </c>
      <c r="B1" s="532"/>
      <c r="C1" s="532"/>
      <c r="D1" s="532"/>
      <c r="E1" s="532"/>
      <c r="F1" s="532"/>
      <c r="G1" s="532"/>
      <c r="H1" s="532"/>
      <c r="I1" s="532"/>
      <c r="J1" s="147"/>
      <c r="K1" s="98"/>
      <c r="L1" s="99"/>
      <c r="M1" s="98"/>
    </row>
    <row r="2" spans="1:15" s="97" customFormat="1" ht="3.75" customHeight="1" thickBot="1">
      <c r="A2" s="110"/>
      <c r="B2" s="112"/>
      <c r="C2" s="113"/>
      <c r="D2" s="113"/>
      <c r="E2" s="113"/>
      <c r="F2" s="113"/>
      <c r="G2" s="114"/>
      <c r="H2" s="115"/>
      <c r="I2" s="116"/>
      <c r="J2" s="148"/>
      <c r="K2" s="101"/>
      <c r="L2" s="102"/>
      <c r="M2" s="101"/>
      <c r="N2" s="103"/>
      <c r="O2" s="103"/>
    </row>
    <row r="3" spans="1:13" s="139" customFormat="1" ht="12">
      <c r="A3" s="135"/>
      <c r="B3" s="533" t="s">
        <v>269</v>
      </c>
      <c r="C3" s="535" t="s">
        <v>202</v>
      </c>
      <c r="D3" s="535" t="s">
        <v>206</v>
      </c>
      <c r="E3" s="537" t="s">
        <v>208</v>
      </c>
      <c r="F3" s="537" t="s">
        <v>203</v>
      </c>
      <c r="G3" s="537" t="s">
        <v>210</v>
      </c>
      <c r="H3" s="537"/>
      <c r="I3" s="539" t="s">
        <v>204</v>
      </c>
      <c r="J3" s="141"/>
      <c r="K3" s="136"/>
      <c r="L3" s="137"/>
      <c r="M3" s="138"/>
    </row>
    <row r="4" spans="1:13" s="139" customFormat="1" ht="12.75" thickBot="1">
      <c r="A4" s="140"/>
      <c r="B4" s="534"/>
      <c r="C4" s="536"/>
      <c r="D4" s="536"/>
      <c r="E4" s="538"/>
      <c r="F4" s="538"/>
      <c r="G4" s="145" t="s">
        <v>272</v>
      </c>
      <c r="H4" s="146" t="s">
        <v>268</v>
      </c>
      <c r="I4" s="540"/>
      <c r="J4" s="141"/>
      <c r="K4" s="136"/>
      <c r="L4" s="137"/>
      <c r="M4" s="138"/>
    </row>
    <row r="5" spans="1:11" ht="15">
      <c r="A5" s="118">
        <v>1</v>
      </c>
      <c r="B5" s="491" t="s">
        <v>409</v>
      </c>
      <c r="C5" s="446">
        <v>40221</v>
      </c>
      <c r="D5" s="492" t="s">
        <v>333</v>
      </c>
      <c r="E5" s="493">
        <v>378</v>
      </c>
      <c r="F5" s="493">
        <v>21</v>
      </c>
      <c r="G5" s="494">
        <f>15262368+6874188.5+2847763.25-223+1769171+1008022.25+602324.75+244767.5+35902+50854+1772+740+466+1889+1178+72+1176+376+620+1922+3597+1315+371</f>
        <v>28710632.25</v>
      </c>
      <c r="H5" s="495">
        <f>1752204+788243+333771+209388+119359+72788+39635-10+7563+234+104+69+615+148+12+346+52+124+384+600+152+61</f>
        <v>3325842</v>
      </c>
      <c r="I5" s="496">
        <f>+G5/H5</f>
        <v>8.632590559022347</v>
      </c>
      <c r="J5" s="202">
        <v>1</v>
      </c>
      <c r="K5" s="117"/>
    </row>
    <row r="6" spans="1:11" ht="15">
      <c r="A6" s="118">
        <v>2</v>
      </c>
      <c r="B6" s="200" t="s">
        <v>238</v>
      </c>
      <c r="C6" s="180">
        <v>40487</v>
      </c>
      <c r="D6" s="186" t="s">
        <v>335</v>
      </c>
      <c r="E6" s="187">
        <v>383</v>
      </c>
      <c r="F6" s="187">
        <v>3</v>
      </c>
      <c r="G6" s="212">
        <v>25108307</v>
      </c>
      <c r="H6" s="213">
        <v>2710736</v>
      </c>
      <c r="I6" s="201">
        <f>+G6/H6</f>
        <v>9.262542350121885</v>
      </c>
      <c r="J6" s="203">
        <v>1</v>
      </c>
      <c r="K6" s="117"/>
    </row>
    <row r="7" spans="1:11" ht="15">
      <c r="A7" s="134">
        <v>3</v>
      </c>
      <c r="B7" s="503" t="s">
        <v>410</v>
      </c>
      <c r="C7" s="504">
        <v>40235</v>
      </c>
      <c r="D7" s="505" t="s">
        <v>320</v>
      </c>
      <c r="E7" s="506">
        <v>256</v>
      </c>
      <c r="F7" s="506">
        <v>39</v>
      </c>
      <c r="G7" s="507">
        <v>21723367</v>
      </c>
      <c r="H7" s="508">
        <v>2459815</v>
      </c>
      <c r="I7" s="509">
        <f>+G7/H7</f>
        <v>8.831301134434907</v>
      </c>
      <c r="J7" s="203">
        <v>1</v>
      </c>
      <c r="K7" s="117"/>
    </row>
    <row r="8" spans="1:11" ht="15">
      <c r="A8" s="118">
        <v>4</v>
      </c>
      <c r="B8" s="497" t="s">
        <v>237</v>
      </c>
      <c r="C8" s="225">
        <v>40179</v>
      </c>
      <c r="D8" s="498" t="s">
        <v>320</v>
      </c>
      <c r="E8" s="499">
        <v>370</v>
      </c>
      <c r="F8" s="499">
        <v>34</v>
      </c>
      <c r="G8" s="500">
        <v>20856555</v>
      </c>
      <c r="H8" s="501">
        <v>2323061</v>
      </c>
      <c r="I8" s="502">
        <f>+G8/H8</f>
        <v>8.97804878993707</v>
      </c>
      <c r="J8" s="202">
        <v>1</v>
      </c>
      <c r="K8" s="117"/>
    </row>
    <row r="9" spans="1:11" ht="15">
      <c r="A9" s="118">
        <v>5</v>
      </c>
      <c r="B9" s="198" t="s">
        <v>218</v>
      </c>
      <c r="C9" s="180">
        <v>40389</v>
      </c>
      <c r="D9" s="168" t="s">
        <v>321</v>
      </c>
      <c r="E9" s="181">
        <v>139</v>
      </c>
      <c r="F9" s="181">
        <v>17</v>
      </c>
      <c r="G9" s="204">
        <v>11023277</v>
      </c>
      <c r="H9" s="205">
        <v>1099037</v>
      </c>
      <c r="I9" s="199">
        <f>+G9/H9</f>
        <v>10.029941667114027</v>
      </c>
      <c r="J9" s="203"/>
      <c r="K9" s="117"/>
    </row>
    <row r="10" spans="1:11" ht="15">
      <c r="A10" s="118">
        <v>6</v>
      </c>
      <c r="B10" s="198" t="s">
        <v>411</v>
      </c>
      <c r="C10" s="180">
        <v>40263</v>
      </c>
      <c r="D10" s="179" t="s">
        <v>444</v>
      </c>
      <c r="E10" s="181">
        <v>286</v>
      </c>
      <c r="F10" s="181">
        <v>24</v>
      </c>
      <c r="G10" s="204">
        <v>9498739</v>
      </c>
      <c r="H10" s="205">
        <v>1141448</v>
      </c>
      <c r="I10" s="199">
        <f>IF(G10&lt;&gt;0,G10/H10,"")</f>
        <v>8.321657228362572</v>
      </c>
      <c r="J10" s="202">
        <v>1</v>
      </c>
      <c r="K10" s="117"/>
    </row>
    <row r="11" spans="1:11" ht="15">
      <c r="A11" s="118">
        <v>7</v>
      </c>
      <c r="B11" s="198" t="s">
        <v>239</v>
      </c>
      <c r="C11" s="180">
        <v>40359</v>
      </c>
      <c r="D11" s="179" t="s">
        <v>322</v>
      </c>
      <c r="E11" s="181">
        <v>221</v>
      </c>
      <c r="F11" s="181">
        <v>17</v>
      </c>
      <c r="G11" s="204">
        <f>8339911.75+126742+36059+17874+19872.5+46539+20027.5+13183.5+5802.5+9278+6469+3698</f>
        <v>8645456.75</v>
      </c>
      <c r="H11" s="205">
        <f>985659+23920+5695+2809+3200+7782+3821+2588+999+2467+1187+903</f>
        <v>1041030</v>
      </c>
      <c r="I11" s="199">
        <f>G11/H11</f>
        <v>8.304714321393236</v>
      </c>
      <c r="J11" s="202"/>
      <c r="K11" s="117"/>
    </row>
    <row r="12" spans="1:11" ht="15">
      <c r="A12" s="118">
        <v>8</v>
      </c>
      <c r="B12" s="195" t="s">
        <v>412</v>
      </c>
      <c r="C12" s="169">
        <v>40235</v>
      </c>
      <c r="D12" s="168" t="s">
        <v>322</v>
      </c>
      <c r="E12" s="193">
        <v>227</v>
      </c>
      <c r="F12" s="193">
        <v>29</v>
      </c>
      <c r="G12" s="206">
        <f>8240207.5+202+255+7892+2376+1782+1782+2376</f>
        <v>8256872.5</v>
      </c>
      <c r="H12" s="207">
        <f>1023896+40+51+1967+594+445+445+594</f>
        <v>1028032</v>
      </c>
      <c r="I12" s="197">
        <f>G12/H12</f>
        <v>8.031727125225673</v>
      </c>
      <c r="J12" s="202">
        <v>1</v>
      </c>
      <c r="K12" s="117"/>
    </row>
    <row r="13" spans="1:11" ht="15">
      <c r="A13" s="118">
        <v>9</v>
      </c>
      <c r="B13" s="195" t="s">
        <v>413</v>
      </c>
      <c r="C13" s="192">
        <v>40200</v>
      </c>
      <c r="D13" s="175" t="s">
        <v>333</v>
      </c>
      <c r="E13" s="490">
        <v>203</v>
      </c>
      <c r="F13" s="490">
        <v>28</v>
      </c>
      <c r="G13" s="208">
        <f>3375939.75+2025612.25+1005793.75+228158+129822-591+58554+4486+0.5+8491+759.5+1035+759+201+415+646+449+105+90+2225+753+907+573+114+42+69+65+102+142+29</f>
        <v>6845746.75</v>
      </c>
      <c r="H13" s="215">
        <f>390291+234725-168+117153-100+30011-18+18391+466+8404+725+1222+127+171+129+36+46+64+73+21+18+297+138+150+94+22+10+9+15+21+4</f>
        <v>802547</v>
      </c>
      <c r="I13" s="218">
        <f aca="true" t="shared" si="0" ref="I13:I26">+G13/H13</f>
        <v>8.530025967326525</v>
      </c>
      <c r="J13" s="202">
        <v>1</v>
      </c>
      <c r="K13" s="117"/>
    </row>
    <row r="14" spans="1:11" ht="15">
      <c r="A14" s="118">
        <v>10</v>
      </c>
      <c r="B14" s="195" t="s">
        <v>53</v>
      </c>
      <c r="C14" s="169">
        <v>40200</v>
      </c>
      <c r="D14" s="176" t="s">
        <v>320</v>
      </c>
      <c r="E14" s="193">
        <v>227</v>
      </c>
      <c r="F14" s="193">
        <v>22</v>
      </c>
      <c r="G14" s="208">
        <v>6716187</v>
      </c>
      <c r="H14" s="215">
        <v>750913</v>
      </c>
      <c r="I14" s="196">
        <f t="shared" si="0"/>
        <v>8.94402813641527</v>
      </c>
      <c r="J14" s="202">
        <v>1</v>
      </c>
      <c r="K14" s="117"/>
    </row>
    <row r="15" spans="1:11" ht="15">
      <c r="A15" s="118">
        <v>11</v>
      </c>
      <c r="B15" s="198" t="s">
        <v>54</v>
      </c>
      <c r="C15" s="180">
        <v>40214</v>
      </c>
      <c r="D15" s="179" t="s">
        <v>335</v>
      </c>
      <c r="E15" s="181">
        <v>144</v>
      </c>
      <c r="F15" s="181">
        <v>31</v>
      </c>
      <c r="G15" s="204">
        <v>6103697</v>
      </c>
      <c r="H15" s="205">
        <v>666238</v>
      </c>
      <c r="I15" s="199">
        <f t="shared" si="0"/>
        <v>9.161436303543178</v>
      </c>
      <c r="J15" s="202">
        <v>1</v>
      </c>
      <c r="K15" s="117"/>
    </row>
    <row r="16" spans="1:11" ht="15">
      <c r="A16" s="118">
        <v>12</v>
      </c>
      <c r="B16" s="195" t="s">
        <v>329</v>
      </c>
      <c r="C16" s="169">
        <v>40326</v>
      </c>
      <c r="D16" s="176" t="s">
        <v>320</v>
      </c>
      <c r="E16" s="193">
        <v>212</v>
      </c>
      <c r="F16" s="193">
        <v>23</v>
      </c>
      <c r="G16" s="208">
        <v>6035217</v>
      </c>
      <c r="H16" s="215">
        <v>579137</v>
      </c>
      <c r="I16" s="196">
        <f t="shared" si="0"/>
        <v>10.421052358940976</v>
      </c>
      <c r="J16" s="202"/>
      <c r="K16" s="117"/>
    </row>
    <row r="17" spans="1:11" ht="15">
      <c r="A17" s="118">
        <v>13</v>
      </c>
      <c r="B17" s="198" t="s">
        <v>143</v>
      </c>
      <c r="C17" s="180">
        <v>40418</v>
      </c>
      <c r="D17" s="179" t="s">
        <v>323</v>
      </c>
      <c r="E17" s="181">
        <v>260</v>
      </c>
      <c r="F17" s="181">
        <v>33</v>
      </c>
      <c r="G17" s="210">
        <v>5318712</v>
      </c>
      <c r="H17" s="211">
        <v>860445</v>
      </c>
      <c r="I17" s="199">
        <f t="shared" si="0"/>
        <v>6.181350347785157</v>
      </c>
      <c r="J17" s="202">
        <v>1</v>
      </c>
      <c r="K17" s="117"/>
    </row>
    <row r="18" spans="1:11" ht="15">
      <c r="A18" s="118">
        <v>14</v>
      </c>
      <c r="B18" s="198" t="s">
        <v>463</v>
      </c>
      <c r="C18" s="180">
        <v>40499</v>
      </c>
      <c r="D18" s="168" t="s">
        <v>321</v>
      </c>
      <c r="E18" s="181">
        <v>216</v>
      </c>
      <c r="F18" s="181">
        <v>1</v>
      </c>
      <c r="G18" s="204">
        <v>4942103</v>
      </c>
      <c r="H18" s="205">
        <v>507697</v>
      </c>
      <c r="I18" s="199">
        <f t="shared" si="0"/>
        <v>9.73435533398858</v>
      </c>
      <c r="J18" s="203"/>
      <c r="K18" s="117"/>
    </row>
    <row r="19" spans="1:11" ht="15">
      <c r="A19" s="118">
        <v>15</v>
      </c>
      <c r="B19" s="198" t="s">
        <v>226</v>
      </c>
      <c r="C19" s="180">
        <v>40319</v>
      </c>
      <c r="D19" s="179" t="s">
        <v>320</v>
      </c>
      <c r="E19" s="181">
        <v>178</v>
      </c>
      <c r="F19" s="181">
        <v>16</v>
      </c>
      <c r="G19" s="204">
        <v>4933804</v>
      </c>
      <c r="H19" s="205">
        <v>547200</v>
      </c>
      <c r="I19" s="199">
        <f t="shared" si="0"/>
        <v>9.016454678362573</v>
      </c>
      <c r="J19" s="202"/>
      <c r="K19" s="117"/>
    </row>
    <row r="20" spans="1:11" ht="10.5" customHeight="1">
      <c r="A20" s="118">
        <v>16</v>
      </c>
      <c r="B20" s="198" t="s">
        <v>240</v>
      </c>
      <c r="C20" s="180">
        <v>40382</v>
      </c>
      <c r="D20" s="179" t="s">
        <v>320</v>
      </c>
      <c r="E20" s="181">
        <v>142</v>
      </c>
      <c r="F20" s="181">
        <v>13</v>
      </c>
      <c r="G20" s="204">
        <v>4898654</v>
      </c>
      <c r="H20" s="205">
        <v>438211</v>
      </c>
      <c r="I20" s="199">
        <f t="shared" si="0"/>
        <v>11.178756352533368</v>
      </c>
      <c r="J20" s="202"/>
      <c r="K20" s="117"/>
    </row>
    <row r="21" spans="1:11" ht="15">
      <c r="A21" s="118">
        <v>17</v>
      </c>
      <c r="B21" s="198" t="s">
        <v>338</v>
      </c>
      <c r="C21" s="180">
        <v>40270</v>
      </c>
      <c r="D21" s="179" t="s">
        <v>321</v>
      </c>
      <c r="E21" s="181">
        <v>199</v>
      </c>
      <c r="F21" s="181">
        <v>19</v>
      </c>
      <c r="G21" s="204">
        <v>4811400</v>
      </c>
      <c r="H21" s="205">
        <v>476597</v>
      </c>
      <c r="I21" s="199">
        <f t="shared" si="0"/>
        <v>10.095321623929651</v>
      </c>
      <c r="J21" s="202"/>
      <c r="K21" s="117"/>
    </row>
    <row r="22" spans="1:11" ht="15">
      <c r="A22" s="118">
        <v>18</v>
      </c>
      <c r="B22" s="198" t="s">
        <v>504</v>
      </c>
      <c r="C22" s="180">
        <v>40312</v>
      </c>
      <c r="D22" s="179" t="s">
        <v>320</v>
      </c>
      <c r="E22" s="181">
        <v>168</v>
      </c>
      <c r="F22" s="181">
        <v>13</v>
      </c>
      <c r="G22" s="204">
        <v>4578821</v>
      </c>
      <c r="H22" s="205">
        <v>491609</v>
      </c>
      <c r="I22" s="199">
        <f t="shared" si="0"/>
        <v>9.313948686862934</v>
      </c>
      <c r="J22" s="202"/>
      <c r="K22" s="117"/>
    </row>
    <row r="23" spans="1:11" ht="15">
      <c r="A23" s="118">
        <v>19</v>
      </c>
      <c r="B23" s="198" t="s">
        <v>91</v>
      </c>
      <c r="C23" s="180">
        <v>40494</v>
      </c>
      <c r="D23" s="168" t="s">
        <v>321</v>
      </c>
      <c r="E23" s="181">
        <v>144</v>
      </c>
      <c r="F23" s="181">
        <v>2</v>
      </c>
      <c r="G23" s="204">
        <v>4491835</v>
      </c>
      <c r="H23" s="205">
        <v>377420</v>
      </c>
      <c r="I23" s="199">
        <f t="shared" si="0"/>
        <v>11.901422818080652</v>
      </c>
      <c r="J23" s="203"/>
      <c r="K23" s="117"/>
    </row>
    <row r="24" spans="1:11" ht="15">
      <c r="A24" s="118">
        <v>20</v>
      </c>
      <c r="B24" s="198" t="s">
        <v>438</v>
      </c>
      <c r="C24" s="180">
        <v>40242</v>
      </c>
      <c r="D24" s="179" t="s">
        <v>320</v>
      </c>
      <c r="E24" s="181">
        <v>75</v>
      </c>
      <c r="F24" s="181">
        <v>22</v>
      </c>
      <c r="G24" s="204">
        <v>3754099</v>
      </c>
      <c r="H24" s="205">
        <v>335819</v>
      </c>
      <c r="I24" s="199">
        <f t="shared" si="0"/>
        <v>11.178935676659153</v>
      </c>
      <c r="J24" s="202"/>
      <c r="K24" s="117"/>
    </row>
    <row r="25" spans="1:11" ht="15">
      <c r="A25" s="118">
        <v>21</v>
      </c>
      <c r="B25" s="200" t="s">
        <v>257</v>
      </c>
      <c r="C25" s="180">
        <v>40431</v>
      </c>
      <c r="D25" s="186" t="s">
        <v>335</v>
      </c>
      <c r="E25" s="187">
        <v>124</v>
      </c>
      <c r="F25" s="187">
        <v>11</v>
      </c>
      <c r="G25" s="212">
        <v>3687729</v>
      </c>
      <c r="H25" s="213">
        <v>331519</v>
      </c>
      <c r="I25" s="201">
        <f t="shared" si="0"/>
        <v>11.123733481338927</v>
      </c>
      <c r="J25" s="203"/>
      <c r="K25" s="117"/>
    </row>
    <row r="26" spans="1:11" ht="15">
      <c r="A26" s="118">
        <v>22</v>
      </c>
      <c r="B26" s="195" t="s">
        <v>289</v>
      </c>
      <c r="C26" s="169">
        <v>40361</v>
      </c>
      <c r="D26" s="176" t="s">
        <v>320</v>
      </c>
      <c r="E26" s="170">
        <v>161</v>
      </c>
      <c r="F26" s="170">
        <v>21</v>
      </c>
      <c r="G26" s="208">
        <v>3660977</v>
      </c>
      <c r="H26" s="209">
        <v>334359</v>
      </c>
      <c r="I26" s="196">
        <f t="shared" si="0"/>
        <v>10.949240187941703</v>
      </c>
      <c r="J26" s="203"/>
      <c r="K26" s="117"/>
    </row>
    <row r="27" spans="1:11" ht="15">
      <c r="A27" s="118">
        <v>23</v>
      </c>
      <c r="B27" s="198" t="s">
        <v>144</v>
      </c>
      <c r="C27" s="180">
        <v>40242</v>
      </c>
      <c r="D27" s="179" t="s">
        <v>444</v>
      </c>
      <c r="E27" s="181">
        <v>125</v>
      </c>
      <c r="F27" s="181">
        <v>22</v>
      </c>
      <c r="G27" s="214">
        <f>3052174.5+368+334+926</f>
        <v>3053802.5</v>
      </c>
      <c r="H27" s="209">
        <f>484917+57+56+140</f>
        <v>485170</v>
      </c>
      <c r="I27" s="201">
        <f>IF(G27&lt;&gt;0,G27/H27,"")</f>
        <v>6.294293752705237</v>
      </c>
      <c r="J27" s="203">
        <v>1</v>
      </c>
      <c r="K27" s="117"/>
    </row>
    <row r="28" spans="1:11" ht="15">
      <c r="A28" s="118">
        <v>24</v>
      </c>
      <c r="B28" s="198" t="s">
        <v>478</v>
      </c>
      <c r="C28" s="180">
        <v>40193</v>
      </c>
      <c r="D28" s="179" t="s">
        <v>321</v>
      </c>
      <c r="E28" s="181">
        <v>83</v>
      </c>
      <c r="F28" s="181">
        <v>18</v>
      </c>
      <c r="G28" s="204">
        <v>2828949</v>
      </c>
      <c r="H28" s="205">
        <v>269864</v>
      </c>
      <c r="I28" s="199">
        <f aca="true" t="shared" si="1" ref="I28:I33">+G28/H28</f>
        <v>10.482869148904634</v>
      </c>
      <c r="J28" s="202"/>
      <c r="K28" s="117"/>
    </row>
    <row r="29" spans="1:11" ht="15">
      <c r="A29" s="118">
        <v>25</v>
      </c>
      <c r="B29" s="195" t="s">
        <v>60</v>
      </c>
      <c r="C29" s="169">
        <v>40375</v>
      </c>
      <c r="D29" s="176" t="s">
        <v>320</v>
      </c>
      <c r="E29" s="170">
        <v>130</v>
      </c>
      <c r="F29" s="170">
        <v>19</v>
      </c>
      <c r="G29" s="208">
        <v>2776223</v>
      </c>
      <c r="H29" s="209">
        <v>313059</v>
      </c>
      <c r="I29" s="196">
        <f t="shared" si="1"/>
        <v>8.868050431388333</v>
      </c>
      <c r="J29" s="203"/>
      <c r="K29" s="117"/>
    </row>
    <row r="30" spans="1:11" ht="15">
      <c r="A30" s="118">
        <v>26</v>
      </c>
      <c r="B30" s="195" t="s">
        <v>241</v>
      </c>
      <c r="C30" s="169">
        <v>40375</v>
      </c>
      <c r="D30" s="176" t="s">
        <v>320</v>
      </c>
      <c r="E30" s="170">
        <v>130</v>
      </c>
      <c r="F30" s="170">
        <v>17</v>
      </c>
      <c r="G30" s="208">
        <v>2774966</v>
      </c>
      <c r="H30" s="209">
        <v>312692</v>
      </c>
      <c r="I30" s="196">
        <f t="shared" si="1"/>
        <v>8.874438744835173</v>
      </c>
      <c r="J30" s="398"/>
      <c r="K30" s="117"/>
    </row>
    <row r="31" spans="1:11" ht="15">
      <c r="A31" s="118">
        <v>27</v>
      </c>
      <c r="B31" s="198" t="s">
        <v>502</v>
      </c>
      <c r="C31" s="180">
        <v>40305</v>
      </c>
      <c r="D31" s="179" t="s">
        <v>320</v>
      </c>
      <c r="E31" s="181">
        <v>126</v>
      </c>
      <c r="F31" s="181">
        <v>14</v>
      </c>
      <c r="G31" s="204">
        <v>2743085</v>
      </c>
      <c r="H31" s="205">
        <v>294602</v>
      </c>
      <c r="I31" s="199">
        <f t="shared" si="1"/>
        <v>9.311155389304894</v>
      </c>
      <c r="J31" s="202"/>
      <c r="K31" s="117"/>
    </row>
    <row r="32" spans="1:11" ht="15">
      <c r="A32" s="118">
        <v>28</v>
      </c>
      <c r="B32" s="198" t="s">
        <v>397</v>
      </c>
      <c r="C32" s="180">
        <v>40459</v>
      </c>
      <c r="D32" s="168" t="s">
        <v>321</v>
      </c>
      <c r="E32" s="181">
        <v>55</v>
      </c>
      <c r="F32" s="181">
        <v>7</v>
      </c>
      <c r="G32" s="204">
        <v>2657832</v>
      </c>
      <c r="H32" s="205">
        <v>228025</v>
      </c>
      <c r="I32" s="199">
        <f t="shared" si="1"/>
        <v>11.655879837737091</v>
      </c>
      <c r="J32" s="203"/>
      <c r="K32" s="117"/>
    </row>
    <row r="33" spans="1:11" ht="15">
      <c r="A33" s="118">
        <v>29</v>
      </c>
      <c r="B33" s="198" t="s">
        <v>65</v>
      </c>
      <c r="C33" s="180">
        <v>40396</v>
      </c>
      <c r="D33" s="216" t="s">
        <v>321</v>
      </c>
      <c r="E33" s="181">
        <v>132</v>
      </c>
      <c r="F33" s="181">
        <v>14</v>
      </c>
      <c r="G33" s="204">
        <v>2368052</v>
      </c>
      <c r="H33" s="205">
        <v>252612</v>
      </c>
      <c r="I33" s="199">
        <f t="shared" si="1"/>
        <v>9.374265672256266</v>
      </c>
      <c r="J33" s="202"/>
      <c r="K33" s="117"/>
    </row>
    <row r="34" spans="1:11" ht="15">
      <c r="A34" s="118">
        <v>30</v>
      </c>
      <c r="B34" s="195" t="s">
        <v>311</v>
      </c>
      <c r="C34" s="169">
        <v>40480</v>
      </c>
      <c r="D34" s="168" t="s">
        <v>322</v>
      </c>
      <c r="E34" s="170">
        <v>100</v>
      </c>
      <c r="F34" s="170">
        <v>4</v>
      </c>
      <c r="G34" s="206">
        <f>1221166+429124.5+378100+240009.5</f>
        <v>2268400</v>
      </c>
      <c r="H34" s="207">
        <f>114702+40612+35598+23284</f>
        <v>214196</v>
      </c>
      <c r="I34" s="197">
        <f>G34/H34</f>
        <v>10.590300472464472</v>
      </c>
      <c r="J34" s="202"/>
      <c r="K34" s="117"/>
    </row>
    <row r="35" spans="1:11" ht="15">
      <c r="A35" s="118">
        <v>31</v>
      </c>
      <c r="B35" s="195" t="s">
        <v>439</v>
      </c>
      <c r="C35" s="169">
        <v>40249</v>
      </c>
      <c r="D35" s="176" t="s">
        <v>320</v>
      </c>
      <c r="E35" s="170">
        <v>97</v>
      </c>
      <c r="F35" s="170">
        <v>14</v>
      </c>
      <c r="G35" s="208">
        <v>2262684</v>
      </c>
      <c r="H35" s="209">
        <v>227930</v>
      </c>
      <c r="I35" s="196">
        <f>+G35/H35</f>
        <v>9.927100425569254</v>
      </c>
      <c r="J35" s="202"/>
      <c r="K35" s="117"/>
    </row>
    <row r="36" spans="1:11" ht="15">
      <c r="A36" s="118">
        <v>32</v>
      </c>
      <c r="B36" s="195" t="s">
        <v>456</v>
      </c>
      <c r="C36" s="169">
        <v>40368</v>
      </c>
      <c r="D36" s="168" t="s">
        <v>322</v>
      </c>
      <c r="E36" s="170">
        <v>126</v>
      </c>
      <c r="F36" s="170">
        <v>20</v>
      </c>
      <c r="G36" s="206">
        <f>2106797.5+50230.5+32558.5+15249.5+15137+17418.5+7784.5+2808+2841.5+1328+2453+1693+613+726+713+1425.5</f>
        <v>2259777</v>
      </c>
      <c r="H36" s="207">
        <f>220679+7944+5486+2451+2714+3159+1414+494+658+202+452+398+85+227+178+356</f>
        <v>246897</v>
      </c>
      <c r="I36" s="197">
        <f>G36/H36</f>
        <v>9.152711454574174</v>
      </c>
      <c r="J36" s="202"/>
      <c r="K36" s="117"/>
    </row>
    <row r="37" spans="1:11" ht="15">
      <c r="A37" s="118">
        <v>33</v>
      </c>
      <c r="B37" s="195" t="s">
        <v>405</v>
      </c>
      <c r="C37" s="169">
        <v>40466</v>
      </c>
      <c r="D37" s="168" t="s">
        <v>322</v>
      </c>
      <c r="E37" s="170">
        <v>139</v>
      </c>
      <c r="F37" s="170">
        <v>6</v>
      </c>
      <c r="G37" s="206">
        <f>859399.5+611922.5+597511+92540.5+35432.5+12313</f>
        <v>2209119</v>
      </c>
      <c r="H37" s="207">
        <f>81834+61457+58453+8463+3493+2070</f>
        <v>215770</v>
      </c>
      <c r="I37" s="197">
        <f>G37/H37</f>
        <v>10.238304676275664</v>
      </c>
      <c r="J37" s="202"/>
      <c r="K37" s="117"/>
    </row>
    <row r="38" spans="1:11" ht="15">
      <c r="A38" s="118">
        <v>34</v>
      </c>
      <c r="B38" s="198" t="s">
        <v>336</v>
      </c>
      <c r="C38" s="180">
        <v>40291</v>
      </c>
      <c r="D38" s="179" t="s">
        <v>320</v>
      </c>
      <c r="E38" s="181">
        <v>134</v>
      </c>
      <c r="F38" s="181">
        <v>22</v>
      </c>
      <c r="G38" s="204">
        <v>2203432</v>
      </c>
      <c r="H38" s="205">
        <v>196958</v>
      </c>
      <c r="I38" s="199">
        <f>+G38/H38</f>
        <v>11.187319123874126</v>
      </c>
      <c r="J38" s="202"/>
      <c r="K38" s="117"/>
    </row>
    <row r="39" spans="1:11" ht="15">
      <c r="A39" s="118">
        <v>35</v>
      </c>
      <c r="B39" s="198" t="s">
        <v>242</v>
      </c>
      <c r="C39" s="180">
        <v>40403</v>
      </c>
      <c r="D39" s="179" t="s">
        <v>320</v>
      </c>
      <c r="E39" s="181">
        <v>114</v>
      </c>
      <c r="F39" s="181">
        <v>11</v>
      </c>
      <c r="G39" s="204">
        <v>2175089</v>
      </c>
      <c r="H39" s="205">
        <v>235795</v>
      </c>
      <c r="I39" s="199">
        <f>+G39/H39</f>
        <v>9.22449161347781</v>
      </c>
      <c r="J39" s="202"/>
      <c r="K39" s="117"/>
    </row>
    <row r="40" spans="1:11" ht="15">
      <c r="A40" s="118">
        <v>36</v>
      </c>
      <c r="B40" s="195" t="s">
        <v>251</v>
      </c>
      <c r="C40" s="169">
        <v>40424</v>
      </c>
      <c r="D40" s="176" t="s">
        <v>320</v>
      </c>
      <c r="E40" s="170">
        <v>107</v>
      </c>
      <c r="F40" s="170">
        <v>12</v>
      </c>
      <c r="G40" s="208">
        <v>2157393</v>
      </c>
      <c r="H40" s="209">
        <v>193623</v>
      </c>
      <c r="I40" s="196">
        <f>+G40/H40</f>
        <v>11.142235168342603</v>
      </c>
      <c r="J40" s="203"/>
      <c r="K40" s="117"/>
    </row>
    <row r="41" spans="1:11" ht="15">
      <c r="A41" s="118">
        <v>37</v>
      </c>
      <c r="B41" s="195" t="s">
        <v>244</v>
      </c>
      <c r="C41" s="169">
        <v>40466</v>
      </c>
      <c r="D41" s="176" t="s">
        <v>320</v>
      </c>
      <c r="E41" s="170">
        <v>119</v>
      </c>
      <c r="F41" s="170">
        <v>6</v>
      </c>
      <c r="G41" s="208">
        <v>1967863</v>
      </c>
      <c r="H41" s="209">
        <v>168067</v>
      </c>
      <c r="I41" s="196">
        <f>+G41/H41</f>
        <v>11.708800656880888</v>
      </c>
      <c r="J41" s="203"/>
      <c r="K41" s="117"/>
    </row>
    <row r="42" spans="1:11" ht="15">
      <c r="A42" s="118">
        <v>38</v>
      </c>
      <c r="B42" s="195" t="s">
        <v>9</v>
      </c>
      <c r="C42" s="192">
        <v>40487</v>
      </c>
      <c r="D42" s="175" t="s">
        <v>333</v>
      </c>
      <c r="E42" s="193">
        <v>162</v>
      </c>
      <c r="F42" s="193">
        <v>3</v>
      </c>
      <c r="G42" s="208">
        <f>525983.5+915356-20+520720.5</f>
        <v>1962040</v>
      </c>
      <c r="H42" s="209">
        <f>56225+93965-2+58841</f>
        <v>209029</v>
      </c>
      <c r="I42" s="201">
        <f>IF(G42&lt;&gt;0,G42/H42,"")</f>
        <v>9.386448770266327</v>
      </c>
      <c r="J42" s="203">
        <v>1</v>
      </c>
      <c r="K42" s="117"/>
    </row>
    <row r="43" spans="1:11" ht="15">
      <c r="A43" s="118">
        <v>39</v>
      </c>
      <c r="B43" s="195" t="s">
        <v>243</v>
      </c>
      <c r="C43" s="169">
        <v>40200</v>
      </c>
      <c r="D43" s="176" t="s">
        <v>320</v>
      </c>
      <c r="E43" s="170">
        <v>95</v>
      </c>
      <c r="F43" s="170">
        <v>21</v>
      </c>
      <c r="G43" s="208">
        <v>1949562</v>
      </c>
      <c r="H43" s="209">
        <v>218653</v>
      </c>
      <c r="I43" s="196">
        <f>+G43/H43</f>
        <v>8.91623714287021</v>
      </c>
      <c r="J43" s="202"/>
      <c r="K43" s="117"/>
    </row>
    <row r="44" spans="1:11" ht="15">
      <c r="A44" s="118">
        <v>40</v>
      </c>
      <c r="B44" s="198" t="s">
        <v>466</v>
      </c>
      <c r="C44" s="180">
        <v>40207</v>
      </c>
      <c r="D44" s="179" t="s">
        <v>444</v>
      </c>
      <c r="E44" s="181">
        <v>47</v>
      </c>
      <c r="F44" s="181">
        <v>36</v>
      </c>
      <c r="G44" s="214">
        <f>1873890.5+5542+564+70+558+190</f>
        <v>1880814.5</v>
      </c>
      <c r="H44" s="209">
        <f>160830+1202+112+10+80+27</f>
        <v>162261</v>
      </c>
      <c r="I44" s="201">
        <f>IF(G44&lt;&gt;0,G44/H44,"")</f>
        <v>11.591291191352203</v>
      </c>
      <c r="J44" s="203"/>
      <c r="K44" s="117"/>
    </row>
    <row r="45" spans="1:11" ht="15">
      <c r="A45" s="118">
        <v>41</v>
      </c>
      <c r="B45" s="404" t="s">
        <v>466</v>
      </c>
      <c r="C45" s="180">
        <v>40207</v>
      </c>
      <c r="D45" s="179" t="s">
        <v>444</v>
      </c>
      <c r="E45" s="181">
        <v>47</v>
      </c>
      <c r="F45" s="181">
        <v>35</v>
      </c>
      <c r="G45" s="214">
        <f>1873890.5+5542+564+70+558</f>
        <v>1880624.5</v>
      </c>
      <c r="H45" s="209">
        <f>160830+1202+112+10+80</f>
        <v>162234</v>
      </c>
      <c r="I45" s="201">
        <f>IF(G45&lt;&gt;0,G45/H45,"")</f>
        <v>11.592049138898135</v>
      </c>
      <c r="J45" s="421"/>
      <c r="K45" s="117"/>
    </row>
    <row r="46" spans="1:11" ht="15">
      <c r="A46" s="118">
        <v>42</v>
      </c>
      <c r="B46" s="402" t="s">
        <v>92</v>
      </c>
      <c r="C46" s="180">
        <v>40499</v>
      </c>
      <c r="D46" s="179" t="s">
        <v>321</v>
      </c>
      <c r="E46" s="181">
        <v>216</v>
      </c>
      <c r="F46" s="181">
        <v>0</v>
      </c>
      <c r="G46" s="204">
        <v>1833573</v>
      </c>
      <c r="H46" s="205">
        <v>183889</v>
      </c>
      <c r="I46" s="199">
        <f>+G46/H46</f>
        <v>9.971085818075034</v>
      </c>
      <c r="J46" s="292"/>
      <c r="K46" s="117"/>
    </row>
    <row r="47" spans="1:11" ht="15">
      <c r="A47" s="118">
        <v>43</v>
      </c>
      <c r="B47" s="195" t="s">
        <v>404</v>
      </c>
      <c r="C47" s="169">
        <v>40473</v>
      </c>
      <c r="D47" s="176" t="s">
        <v>320</v>
      </c>
      <c r="E47" s="170">
        <v>100</v>
      </c>
      <c r="F47" s="170">
        <v>5</v>
      </c>
      <c r="G47" s="208">
        <v>1791102</v>
      </c>
      <c r="H47" s="209">
        <v>185024</v>
      </c>
      <c r="I47" s="196">
        <f>+G47/H47</f>
        <v>9.68037659979246</v>
      </c>
      <c r="J47" s="203"/>
      <c r="K47" s="117"/>
    </row>
    <row r="48" spans="1:11" ht="15">
      <c r="A48" s="118">
        <v>44</v>
      </c>
      <c r="B48" s="198" t="s">
        <v>479</v>
      </c>
      <c r="C48" s="180">
        <v>40193</v>
      </c>
      <c r="D48" s="179" t="s">
        <v>444</v>
      </c>
      <c r="E48" s="181">
        <v>86</v>
      </c>
      <c r="F48" s="181">
        <v>27</v>
      </c>
      <c r="G48" s="204">
        <v>1688550.5</v>
      </c>
      <c r="H48" s="205">
        <v>185888</v>
      </c>
      <c r="I48" s="199">
        <f>IF(G48&lt;&gt;0,G48/H48,"")</f>
        <v>9.083698248407643</v>
      </c>
      <c r="J48" s="202"/>
      <c r="K48" s="117"/>
    </row>
    <row r="49" spans="1:11" ht="15">
      <c r="A49" s="118">
        <v>45</v>
      </c>
      <c r="B49" s="195" t="s">
        <v>146</v>
      </c>
      <c r="C49" s="169">
        <v>40459</v>
      </c>
      <c r="D49" s="168" t="s">
        <v>322</v>
      </c>
      <c r="E49" s="170">
        <v>142</v>
      </c>
      <c r="F49" s="170">
        <v>7</v>
      </c>
      <c r="G49" s="206">
        <f>569713+434829.5+295345.5+223420+26108+12415.5+5998</f>
        <v>1567829.5</v>
      </c>
      <c r="H49" s="207">
        <f>61050+47827+36467+29781+4601+2405+1000</f>
        <v>183131</v>
      </c>
      <c r="I49" s="197">
        <f>G49/H49</f>
        <v>8.561245774882462</v>
      </c>
      <c r="J49" s="202">
        <v>1</v>
      </c>
      <c r="K49" s="117"/>
    </row>
    <row r="50" spans="1:11" ht="15">
      <c r="A50" s="118">
        <v>46</v>
      </c>
      <c r="B50" s="198" t="s">
        <v>145</v>
      </c>
      <c r="C50" s="180">
        <v>40249</v>
      </c>
      <c r="D50" s="179" t="s">
        <v>444</v>
      </c>
      <c r="E50" s="181">
        <v>116</v>
      </c>
      <c r="F50" s="181">
        <v>27</v>
      </c>
      <c r="G50" s="204">
        <v>1550563.25</v>
      </c>
      <c r="H50" s="205">
        <v>210407</v>
      </c>
      <c r="I50" s="199">
        <f>IF(G50&lt;&gt;0,G50/H50,"")</f>
        <v>7.369352017756063</v>
      </c>
      <c r="J50" s="202">
        <v>1</v>
      </c>
      <c r="K50" s="117"/>
    </row>
    <row r="51" spans="1:11" ht="15">
      <c r="A51" s="118">
        <v>47</v>
      </c>
      <c r="B51" s="198" t="s">
        <v>245</v>
      </c>
      <c r="C51" s="180">
        <v>40214</v>
      </c>
      <c r="D51" s="179" t="s">
        <v>321</v>
      </c>
      <c r="E51" s="181">
        <v>72</v>
      </c>
      <c r="F51" s="181">
        <v>21</v>
      </c>
      <c r="G51" s="204">
        <v>1240570</v>
      </c>
      <c r="H51" s="205">
        <v>127045</v>
      </c>
      <c r="I51" s="199">
        <f>+G51/H51</f>
        <v>9.764807745287102</v>
      </c>
      <c r="J51" s="202"/>
      <c r="K51" s="117"/>
    </row>
    <row r="52" spans="1:11" ht="15">
      <c r="A52" s="118">
        <v>48</v>
      </c>
      <c r="B52" s="198" t="s">
        <v>414</v>
      </c>
      <c r="C52" s="180">
        <v>40403</v>
      </c>
      <c r="D52" s="179" t="s">
        <v>321</v>
      </c>
      <c r="E52" s="181">
        <v>77</v>
      </c>
      <c r="F52" s="181">
        <v>3</v>
      </c>
      <c r="G52" s="204">
        <v>1193934</v>
      </c>
      <c r="H52" s="205">
        <v>102690</v>
      </c>
      <c r="I52" s="199">
        <f>+G52/H52</f>
        <v>11.626584867075664</v>
      </c>
      <c r="J52" s="202"/>
      <c r="K52" s="117"/>
    </row>
    <row r="53" spans="1:11" ht="15">
      <c r="A53" s="118">
        <v>49</v>
      </c>
      <c r="B53" s="198" t="s">
        <v>246</v>
      </c>
      <c r="C53" s="169">
        <v>40228</v>
      </c>
      <c r="D53" s="179" t="s">
        <v>320</v>
      </c>
      <c r="E53" s="170">
        <v>88</v>
      </c>
      <c r="F53" s="170">
        <v>15</v>
      </c>
      <c r="G53" s="208">
        <v>1169584</v>
      </c>
      <c r="H53" s="209">
        <v>115713</v>
      </c>
      <c r="I53" s="196">
        <f>+G53/H53</f>
        <v>10.107628356364453</v>
      </c>
      <c r="J53" s="202"/>
      <c r="K53" s="117"/>
    </row>
    <row r="54" spans="1:15" s="163" customFormat="1" ht="15">
      <c r="A54" s="118">
        <v>50</v>
      </c>
      <c r="B54" s="198" t="s">
        <v>108</v>
      </c>
      <c r="C54" s="180">
        <v>40249</v>
      </c>
      <c r="D54" s="179" t="s">
        <v>333</v>
      </c>
      <c r="E54" s="181">
        <v>71</v>
      </c>
      <c r="F54" s="181">
        <v>25</v>
      </c>
      <c r="G54" s="204">
        <f>432486.25+301574+151308+7+112893+51222.5+22996.5+15680+18589.5+18584+12838+4788+1663+4208+490+365+2398+36+790+1056+718+2330+3855+1170+2143+1876</f>
        <v>1166064.75</v>
      </c>
      <c r="H54" s="205">
        <f>50407+35095+18523+1+15427+7108+3545+2281+2896+2839+2036+884+288+738+98+73+400+6+143+184+126+381+556+123+222+369</f>
        <v>144749</v>
      </c>
      <c r="I54" s="199">
        <f>+G54/H54</f>
        <v>8.055770678899336</v>
      </c>
      <c r="J54" s="202">
        <v>1</v>
      </c>
      <c r="K54" s="159"/>
      <c r="L54" s="160"/>
      <c r="M54" s="161"/>
      <c r="N54" s="162"/>
      <c r="O54" s="162"/>
    </row>
    <row r="55" spans="1:10" ht="15">
      <c r="A55" s="167">
        <v>51</v>
      </c>
      <c r="B55" s="198" t="s">
        <v>62</v>
      </c>
      <c r="C55" s="180">
        <v>40340</v>
      </c>
      <c r="D55" s="179" t="s">
        <v>321</v>
      </c>
      <c r="E55" s="181">
        <v>72</v>
      </c>
      <c r="F55" s="181">
        <v>14</v>
      </c>
      <c r="G55" s="204">
        <v>1164752</v>
      </c>
      <c r="H55" s="205">
        <v>102004</v>
      </c>
      <c r="I55" s="199">
        <f>+G55/H55</f>
        <v>11.418689463158307</v>
      </c>
      <c r="J55" s="202"/>
    </row>
    <row r="56" spans="1:10" ht="15">
      <c r="A56" s="167">
        <v>52</v>
      </c>
      <c r="B56" s="456" t="s">
        <v>109</v>
      </c>
      <c r="C56" s="426">
        <v>40417</v>
      </c>
      <c r="D56" s="425" t="s">
        <v>448</v>
      </c>
      <c r="E56" s="427">
        <v>81</v>
      </c>
      <c r="F56" s="427">
        <v>13</v>
      </c>
      <c r="G56" s="428">
        <v>1161238</v>
      </c>
      <c r="H56" s="435">
        <v>99572</v>
      </c>
      <c r="I56" s="457">
        <v>11.662294620977786</v>
      </c>
      <c r="J56" s="203"/>
    </row>
    <row r="57" spans="1:10" ht="15">
      <c r="A57" s="167">
        <v>53</v>
      </c>
      <c r="B57" s="198" t="s">
        <v>0</v>
      </c>
      <c r="C57" s="180">
        <v>40319</v>
      </c>
      <c r="D57" s="179" t="s">
        <v>321</v>
      </c>
      <c r="E57" s="181">
        <v>83</v>
      </c>
      <c r="F57" s="181">
        <v>15</v>
      </c>
      <c r="G57" s="204">
        <v>1148321</v>
      </c>
      <c r="H57" s="205">
        <v>133120</v>
      </c>
      <c r="I57" s="199">
        <f>+G57/H57</f>
        <v>8.626209435096154</v>
      </c>
      <c r="J57" s="202"/>
    </row>
    <row r="58" spans="1:10" ht="15">
      <c r="A58" s="167">
        <v>54</v>
      </c>
      <c r="B58" s="195" t="s">
        <v>496</v>
      </c>
      <c r="C58" s="169">
        <v>40298</v>
      </c>
      <c r="D58" s="168" t="s">
        <v>322</v>
      </c>
      <c r="E58" s="170">
        <v>50</v>
      </c>
      <c r="F58" s="170">
        <v>22</v>
      </c>
      <c r="G58" s="206">
        <f>1098381+301+1678+698+987+769+1685+973</f>
        <v>1105472</v>
      </c>
      <c r="H58" s="207">
        <f>132245+33+281+122+172+134+283+164</f>
        <v>133434</v>
      </c>
      <c r="I58" s="197">
        <f>G58/H58</f>
        <v>8.284784987334563</v>
      </c>
      <c r="J58" s="202"/>
    </row>
    <row r="59" spans="1:10" ht="15">
      <c r="A59" s="167">
        <v>55</v>
      </c>
      <c r="B59" s="198" t="s">
        <v>426</v>
      </c>
      <c r="C59" s="180">
        <v>40221</v>
      </c>
      <c r="D59" s="179" t="s">
        <v>321</v>
      </c>
      <c r="E59" s="181">
        <v>85</v>
      </c>
      <c r="F59" s="181">
        <v>16</v>
      </c>
      <c r="G59" s="204">
        <v>1082639</v>
      </c>
      <c r="H59" s="205">
        <v>102049</v>
      </c>
      <c r="I59" s="199">
        <f>+G59/H59</f>
        <v>10.609011357289145</v>
      </c>
      <c r="J59" s="202"/>
    </row>
    <row r="60" spans="1:10" ht="15">
      <c r="A60" s="167">
        <v>56</v>
      </c>
      <c r="B60" s="198" t="s">
        <v>467</v>
      </c>
      <c r="C60" s="180">
        <v>40207</v>
      </c>
      <c r="D60" s="179" t="s">
        <v>335</v>
      </c>
      <c r="E60" s="181">
        <v>87</v>
      </c>
      <c r="F60" s="181">
        <v>21</v>
      </c>
      <c r="G60" s="204">
        <v>1076786</v>
      </c>
      <c r="H60" s="205">
        <v>103826</v>
      </c>
      <c r="I60" s="199">
        <f>+G60/H60</f>
        <v>10.371063124843488</v>
      </c>
      <c r="J60" s="202"/>
    </row>
    <row r="61" spans="1:10" ht="15">
      <c r="A61" s="167">
        <v>57</v>
      </c>
      <c r="B61" s="195" t="s">
        <v>398</v>
      </c>
      <c r="C61" s="169">
        <v>40459</v>
      </c>
      <c r="D61" s="176" t="s">
        <v>320</v>
      </c>
      <c r="E61" s="193">
        <v>93</v>
      </c>
      <c r="F61" s="193">
        <v>7</v>
      </c>
      <c r="G61" s="208">
        <v>1069941</v>
      </c>
      <c r="H61" s="215">
        <v>98505</v>
      </c>
      <c r="I61" s="196">
        <f>+G61/H61</f>
        <v>10.861793817572712</v>
      </c>
      <c r="J61" s="203"/>
    </row>
    <row r="62" spans="1:10" ht="15">
      <c r="A62" s="167">
        <v>58</v>
      </c>
      <c r="B62" s="195" t="s">
        <v>464</v>
      </c>
      <c r="C62" s="169">
        <v>40445</v>
      </c>
      <c r="D62" s="168" t="s">
        <v>322</v>
      </c>
      <c r="E62" s="193">
        <v>99</v>
      </c>
      <c r="F62" s="193">
        <v>9</v>
      </c>
      <c r="G62" s="206">
        <f>321502+248658+168337.5+120626.5+93787.5+82596.5+8900+14133+4789</f>
        <v>1063330</v>
      </c>
      <c r="H62" s="207">
        <f>37510+29635+22309+17930+15012+11746+1292+2243+804</f>
        <v>138481</v>
      </c>
      <c r="I62" s="197">
        <f>G62/H62</f>
        <v>7.6785262960261695</v>
      </c>
      <c r="J62" s="202">
        <v>1</v>
      </c>
    </row>
    <row r="63" spans="1:10" ht="15">
      <c r="A63" s="167">
        <v>59</v>
      </c>
      <c r="B63" s="198" t="s">
        <v>489</v>
      </c>
      <c r="C63" s="169">
        <v>40284</v>
      </c>
      <c r="D63" s="179" t="s">
        <v>320</v>
      </c>
      <c r="E63" s="193">
        <v>157</v>
      </c>
      <c r="F63" s="193">
        <v>11</v>
      </c>
      <c r="G63" s="208">
        <v>1056267</v>
      </c>
      <c r="H63" s="215">
        <v>125687</v>
      </c>
      <c r="I63" s="196">
        <f>+G63/H63</f>
        <v>8.4039479023288</v>
      </c>
      <c r="J63" s="202"/>
    </row>
    <row r="64" spans="1:10" ht="15">
      <c r="A64" s="167">
        <v>60</v>
      </c>
      <c r="B64" s="195" t="s">
        <v>1</v>
      </c>
      <c r="C64" s="169">
        <v>40445</v>
      </c>
      <c r="D64" s="168" t="s">
        <v>322</v>
      </c>
      <c r="E64" s="193">
        <v>99</v>
      </c>
      <c r="F64" s="193">
        <v>7</v>
      </c>
      <c r="G64" s="206">
        <f>321502+248658+168337.5+120626.5+93787.5+82596.5+8900</f>
        <v>1044408</v>
      </c>
      <c r="H64" s="207">
        <f>37510+29635+22309+17930+15012+11746+1292</f>
        <v>135434</v>
      </c>
      <c r="I64" s="197">
        <f>G64/H64</f>
        <v>7.7115643043844235</v>
      </c>
      <c r="J64" s="202">
        <v>1</v>
      </c>
    </row>
    <row r="65" spans="1:10" ht="15">
      <c r="A65" s="167">
        <v>61</v>
      </c>
      <c r="B65" s="402" t="s">
        <v>252</v>
      </c>
      <c r="C65" s="180">
        <v>40424</v>
      </c>
      <c r="D65" s="179" t="s">
        <v>321</v>
      </c>
      <c r="E65" s="181">
        <v>64</v>
      </c>
      <c r="F65" s="181">
        <v>10</v>
      </c>
      <c r="G65" s="204">
        <v>989874</v>
      </c>
      <c r="H65" s="205">
        <v>102379</v>
      </c>
      <c r="I65" s="199">
        <f aca="true" t="shared" si="2" ref="I65:I70">+G65/H65</f>
        <v>9.66872112444935</v>
      </c>
      <c r="J65" s="292"/>
    </row>
    <row r="66" spans="1:10" ht="15">
      <c r="A66" s="167">
        <v>62</v>
      </c>
      <c r="B66" s="198" t="s">
        <v>394</v>
      </c>
      <c r="C66" s="180">
        <v>40452</v>
      </c>
      <c r="D66" s="179" t="s">
        <v>321</v>
      </c>
      <c r="E66" s="181">
        <v>74</v>
      </c>
      <c r="F66" s="181">
        <v>4</v>
      </c>
      <c r="G66" s="204">
        <v>989426</v>
      </c>
      <c r="H66" s="205">
        <v>82056</v>
      </c>
      <c r="I66" s="199">
        <f t="shared" si="2"/>
        <v>12.057936043677488</v>
      </c>
      <c r="J66" s="202"/>
    </row>
    <row r="67" spans="1:10" ht="15">
      <c r="A67" s="167">
        <v>63</v>
      </c>
      <c r="B67" s="198" t="s">
        <v>2</v>
      </c>
      <c r="C67" s="180">
        <v>40473</v>
      </c>
      <c r="D67" s="168" t="s">
        <v>321</v>
      </c>
      <c r="E67" s="181">
        <v>74</v>
      </c>
      <c r="F67" s="181">
        <v>5</v>
      </c>
      <c r="G67" s="204">
        <v>974396</v>
      </c>
      <c r="H67" s="205">
        <v>83142</v>
      </c>
      <c r="I67" s="199">
        <f t="shared" si="2"/>
        <v>11.719660340140964</v>
      </c>
      <c r="J67" s="203"/>
    </row>
    <row r="68" spans="1:10" ht="15">
      <c r="A68" s="167">
        <v>64</v>
      </c>
      <c r="B68" s="198" t="s">
        <v>147</v>
      </c>
      <c r="C68" s="180">
        <v>40466</v>
      </c>
      <c r="D68" s="168" t="s">
        <v>321</v>
      </c>
      <c r="E68" s="181">
        <v>135</v>
      </c>
      <c r="F68" s="181">
        <v>6</v>
      </c>
      <c r="G68" s="204">
        <v>936341</v>
      </c>
      <c r="H68" s="205">
        <v>103006</v>
      </c>
      <c r="I68" s="199">
        <f t="shared" si="2"/>
        <v>9.090159796516708</v>
      </c>
      <c r="J68" s="203">
        <v>1</v>
      </c>
    </row>
    <row r="69" spans="1:10" ht="15">
      <c r="A69" s="167">
        <v>65</v>
      </c>
      <c r="B69" s="195" t="s">
        <v>3</v>
      </c>
      <c r="C69" s="169">
        <v>40431</v>
      </c>
      <c r="D69" s="176" t="s">
        <v>320</v>
      </c>
      <c r="E69" s="170">
        <v>91</v>
      </c>
      <c r="F69" s="170">
        <v>8</v>
      </c>
      <c r="G69" s="208">
        <v>891077</v>
      </c>
      <c r="H69" s="209">
        <v>84123</v>
      </c>
      <c r="I69" s="196">
        <f t="shared" si="2"/>
        <v>10.592549005622718</v>
      </c>
      <c r="J69" s="202"/>
    </row>
    <row r="70" spans="1:10" ht="15">
      <c r="A70" s="167">
        <v>66</v>
      </c>
      <c r="B70" s="198" t="s">
        <v>4</v>
      </c>
      <c r="C70" s="180">
        <v>40291</v>
      </c>
      <c r="D70" s="179" t="s">
        <v>321</v>
      </c>
      <c r="E70" s="181">
        <v>71</v>
      </c>
      <c r="F70" s="181">
        <v>16</v>
      </c>
      <c r="G70" s="204">
        <v>889332</v>
      </c>
      <c r="H70" s="205">
        <v>89718</v>
      </c>
      <c r="I70" s="199">
        <f t="shared" si="2"/>
        <v>9.912525914532202</v>
      </c>
      <c r="J70" s="202"/>
    </row>
    <row r="71" spans="1:10" ht="15">
      <c r="A71" s="167">
        <v>67</v>
      </c>
      <c r="B71" s="198" t="s">
        <v>148</v>
      </c>
      <c r="C71" s="180">
        <v>40452</v>
      </c>
      <c r="D71" s="179" t="s">
        <v>444</v>
      </c>
      <c r="E71" s="181">
        <v>148</v>
      </c>
      <c r="F71" s="181">
        <v>8</v>
      </c>
      <c r="G71" s="214">
        <f>699440.5+93480+55329+21058.5+2054+5186.5+3036</f>
        <v>879584.5</v>
      </c>
      <c r="H71" s="209">
        <f>74937+13125+8283+3296+346+1058+497</f>
        <v>101542</v>
      </c>
      <c r="I71" s="201">
        <f>IF(G71&lt;&gt;0,G71/H71,"")</f>
        <v>8.662272754131296</v>
      </c>
      <c r="J71" s="203">
        <v>1</v>
      </c>
    </row>
    <row r="72" spans="1:10" ht="15">
      <c r="A72" s="167">
        <v>68</v>
      </c>
      <c r="B72" s="198" t="s">
        <v>5</v>
      </c>
      <c r="C72" s="180">
        <v>40417</v>
      </c>
      <c r="D72" s="168" t="s">
        <v>321</v>
      </c>
      <c r="E72" s="181">
        <v>119</v>
      </c>
      <c r="F72" s="181">
        <v>12</v>
      </c>
      <c r="G72" s="204">
        <v>856532</v>
      </c>
      <c r="H72" s="205">
        <v>96197</v>
      </c>
      <c r="I72" s="199">
        <f>+G72/H72</f>
        <v>8.903936713203114</v>
      </c>
      <c r="J72" s="203"/>
    </row>
    <row r="73" spans="1:10" ht="15">
      <c r="A73" s="167">
        <v>69</v>
      </c>
      <c r="B73" s="198" t="s">
        <v>403</v>
      </c>
      <c r="C73" s="180">
        <v>40228</v>
      </c>
      <c r="D73" s="179" t="s">
        <v>322</v>
      </c>
      <c r="E73" s="181">
        <v>88</v>
      </c>
      <c r="F73" s="181">
        <v>24</v>
      </c>
      <c r="G73" s="204">
        <f>848677.55+469+99+661+35+1782</f>
        <v>851723.55</v>
      </c>
      <c r="H73" s="205">
        <f>99747+71+15+97+3+445</f>
        <v>100378</v>
      </c>
      <c r="I73" s="199">
        <f>G73/H73</f>
        <v>8.48516158919285</v>
      </c>
      <c r="J73" s="202"/>
    </row>
    <row r="74" spans="1:10" ht="15">
      <c r="A74" s="167">
        <v>70</v>
      </c>
      <c r="B74" s="198" t="s">
        <v>468</v>
      </c>
      <c r="C74" s="180">
        <v>40207</v>
      </c>
      <c r="D74" s="179" t="s">
        <v>320</v>
      </c>
      <c r="E74" s="181">
        <v>50</v>
      </c>
      <c r="F74" s="181">
        <v>28</v>
      </c>
      <c r="G74" s="204">
        <v>815675</v>
      </c>
      <c r="H74" s="205">
        <v>72645</v>
      </c>
      <c r="I74" s="199">
        <f>+G74/H74</f>
        <v>11.228233188794825</v>
      </c>
      <c r="J74" s="202"/>
    </row>
    <row r="75" spans="1:10" ht="15">
      <c r="A75" s="167">
        <v>71</v>
      </c>
      <c r="B75" s="195" t="s">
        <v>93</v>
      </c>
      <c r="C75" s="169">
        <v>40494</v>
      </c>
      <c r="D75" s="176" t="s">
        <v>320</v>
      </c>
      <c r="E75" s="170">
        <v>72</v>
      </c>
      <c r="F75" s="170">
        <v>2</v>
      </c>
      <c r="G75" s="208">
        <v>809950</v>
      </c>
      <c r="H75" s="209">
        <v>74078</v>
      </c>
      <c r="I75" s="196">
        <f>+G75/H75</f>
        <v>10.93374551148789</v>
      </c>
      <c r="J75" s="203"/>
    </row>
    <row r="76" spans="1:10" ht="15">
      <c r="A76" s="167">
        <v>72</v>
      </c>
      <c r="B76" s="198" t="s">
        <v>364</v>
      </c>
      <c r="C76" s="180">
        <v>40179</v>
      </c>
      <c r="D76" s="179" t="s">
        <v>322</v>
      </c>
      <c r="E76" s="181">
        <v>42</v>
      </c>
      <c r="F76" s="181">
        <v>27</v>
      </c>
      <c r="G76" s="204">
        <f>310442.5+275157.5+119153+26271.5+19971.5+13231+6468+3094+3122+818+3348+2300+3563+967.5+3712+860+1689+2039.5+386+1501+1918+1782+950.5+1188+40.5+1880.5+3564</f>
        <v>809418.5</v>
      </c>
      <c r="H76" s="205">
        <f>26771+24068+11328+2954+1983+1309+737+492+663+147+552+369+891+351+402+113+203+279+61+213+429+446+238+297+3+319+891</f>
        <v>76509</v>
      </c>
      <c r="I76" s="199">
        <f>G76/H76</f>
        <v>10.579389352886588</v>
      </c>
      <c r="J76" s="202"/>
    </row>
    <row r="77" spans="1:10" ht="15">
      <c r="A77" s="167">
        <v>73</v>
      </c>
      <c r="B77" s="195" t="s">
        <v>386</v>
      </c>
      <c r="C77" s="169">
        <v>40438</v>
      </c>
      <c r="D77" s="176" t="s">
        <v>320</v>
      </c>
      <c r="E77" s="170">
        <v>55</v>
      </c>
      <c r="F77" s="170">
        <v>8</v>
      </c>
      <c r="G77" s="208">
        <v>803926</v>
      </c>
      <c r="H77" s="209">
        <v>82740</v>
      </c>
      <c r="I77" s="196">
        <f>+G77/H77</f>
        <v>9.716291999033116</v>
      </c>
      <c r="J77" s="398"/>
    </row>
    <row r="78" spans="1:10" ht="15">
      <c r="A78" s="167">
        <v>74</v>
      </c>
      <c r="B78" s="198" t="s">
        <v>224</v>
      </c>
      <c r="C78" s="180">
        <v>40403</v>
      </c>
      <c r="D78" s="179" t="s">
        <v>321</v>
      </c>
      <c r="E78" s="181">
        <v>60</v>
      </c>
      <c r="F78" s="181">
        <v>11</v>
      </c>
      <c r="G78" s="204">
        <v>797420</v>
      </c>
      <c r="H78" s="205">
        <v>80151</v>
      </c>
      <c r="I78" s="199">
        <f>+G78/H78</f>
        <v>9.948971316639842</v>
      </c>
      <c r="J78" s="202"/>
    </row>
    <row r="79" spans="1:10" ht="15">
      <c r="A79" s="167">
        <v>75</v>
      </c>
      <c r="B79" s="198" t="s">
        <v>326</v>
      </c>
      <c r="C79" s="180">
        <v>40319</v>
      </c>
      <c r="D79" s="179" t="s">
        <v>322</v>
      </c>
      <c r="E79" s="181">
        <v>40</v>
      </c>
      <c r="F79" s="181">
        <v>20</v>
      </c>
      <c r="G79" s="204">
        <f>711534+6511+3796+419.5+1506+964+288+504+98</f>
        <v>725620.5</v>
      </c>
      <c r="H79" s="205">
        <f>75498+1388+916+61+219+126+48+72+14</f>
        <v>78342</v>
      </c>
      <c r="I79" s="199">
        <f>G79/H79</f>
        <v>9.262215669755687</v>
      </c>
      <c r="J79" s="202"/>
    </row>
    <row r="80" spans="1:10" ht="15">
      <c r="A80" s="167">
        <v>76</v>
      </c>
      <c r="B80" s="456" t="s">
        <v>465</v>
      </c>
      <c r="C80" s="426">
        <v>40501</v>
      </c>
      <c r="D80" s="425" t="s">
        <v>448</v>
      </c>
      <c r="E80" s="427">
        <v>121</v>
      </c>
      <c r="F80" s="427">
        <v>1</v>
      </c>
      <c r="G80" s="428">
        <v>682375.5</v>
      </c>
      <c r="H80" s="435">
        <v>65069</v>
      </c>
      <c r="I80" s="457">
        <v>10.486952312160938</v>
      </c>
      <c r="J80" s="203">
        <v>1</v>
      </c>
    </row>
    <row r="81" spans="1:10" ht="15">
      <c r="A81" s="167">
        <v>77</v>
      </c>
      <c r="B81" s="198" t="s">
        <v>339</v>
      </c>
      <c r="C81" s="169">
        <v>40235</v>
      </c>
      <c r="D81" s="179" t="s">
        <v>444</v>
      </c>
      <c r="E81" s="170">
        <v>29</v>
      </c>
      <c r="F81" s="170">
        <v>18</v>
      </c>
      <c r="G81" s="208">
        <v>666142</v>
      </c>
      <c r="H81" s="209">
        <v>54854</v>
      </c>
      <c r="I81" s="196">
        <f>IF(G81&lt;&gt;0,G81/H81,"")</f>
        <v>12.143909286469537</v>
      </c>
      <c r="J81" s="202"/>
    </row>
    <row r="82" spans="1:10" ht="15">
      <c r="A82" s="167">
        <v>78</v>
      </c>
      <c r="B82" s="195" t="s">
        <v>94</v>
      </c>
      <c r="C82" s="169">
        <v>40494</v>
      </c>
      <c r="D82" s="168" t="s">
        <v>322</v>
      </c>
      <c r="E82" s="170">
        <v>80</v>
      </c>
      <c r="F82" s="170">
        <v>2</v>
      </c>
      <c r="G82" s="206">
        <f>400584.5+260220.5</f>
        <v>660805</v>
      </c>
      <c r="H82" s="207">
        <f>34427+24318</f>
        <v>58745</v>
      </c>
      <c r="I82" s="197">
        <f>G82/H82</f>
        <v>11.248702017192953</v>
      </c>
      <c r="J82" s="202"/>
    </row>
    <row r="83" spans="1:10" ht="15">
      <c r="A83" s="167">
        <v>79</v>
      </c>
      <c r="B83" s="403" t="s">
        <v>391</v>
      </c>
      <c r="C83" s="399">
        <v>40445</v>
      </c>
      <c r="D83" s="400" t="s">
        <v>322</v>
      </c>
      <c r="E83" s="401">
        <v>66</v>
      </c>
      <c r="F83" s="401">
        <v>8</v>
      </c>
      <c r="G83" s="210">
        <v>660763</v>
      </c>
      <c r="H83" s="211">
        <v>57298</v>
      </c>
      <c r="I83" s="196">
        <v>11.53204300324619</v>
      </c>
      <c r="J83" s="292"/>
    </row>
    <row r="84" spans="1:15" s="154" customFormat="1" ht="15">
      <c r="A84" s="118">
        <v>80</v>
      </c>
      <c r="B84" s="195" t="s">
        <v>6</v>
      </c>
      <c r="C84" s="169">
        <v>40410</v>
      </c>
      <c r="D84" s="168" t="s">
        <v>322</v>
      </c>
      <c r="E84" s="170">
        <v>100</v>
      </c>
      <c r="F84" s="170">
        <v>15</v>
      </c>
      <c r="G84" s="206">
        <f>4793.5+233907+173006+95171+69286+22212.5+11921.5+10683+6473+5548+3621+5930+360+5346+2138.5</f>
        <v>650397</v>
      </c>
      <c r="H84" s="207">
        <f>312+25267+17706+10642+10638+3791+2335+2134+1501+1673+635+1434+72+1336+534</f>
        <v>80010</v>
      </c>
      <c r="I84" s="197">
        <f>G84/H84</f>
        <v>8.128946381702287</v>
      </c>
      <c r="J84" s="202"/>
      <c r="K84" s="164"/>
      <c r="L84" s="165"/>
      <c r="M84" s="164"/>
      <c r="N84" s="166"/>
      <c r="O84" s="166"/>
    </row>
    <row r="85" spans="1:10" ht="15">
      <c r="A85" s="118">
        <v>81</v>
      </c>
      <c r="B85" s="195" t="s">
        <v>253</v>
      </c>
      <c r="C85" s="169">
        <v>40424</v>
      </c>
      <c r="D85" s="168" t="s">
        <v>322</v>
      </c>
      <c r="E85" s="170">
        <v>66</v>
      </c>
      <c r="F85" s="170">
        <v>10</v>
      </c>
      <c r="G85" s="206">
        <f>264785.5+196229+73062.5+45412.5+41454+14558.5+4120.5+4550.5+1195+461</f>
        <v>645829</v>
      </c>
      <c r="H85" s="207">
        <f>24937+20438+7883+6565+6065+2243+706+928+215+170</f>
        <v>70150</v>
      </c>
      <c r="I85" s="197">
        <f>G85/H85</f>
        <v>9.2064005702067</v>
      </c>
      <c r="J85" s="202"/>
    </row>
    <row r="86" spans="1:10" ht="15">
      <c r="A86" s="118">
        <v>82</v>
      </c>
      <c r="B86" s="198" t="s">
        <v>263</v>
      </c>
      <c r="C86" s="180">
        <v>40263</v>
      </c>
      <c r="D86" s="179" t="s">
        <v>333</v>
      </c>
      <c r="E86" s="181">
        <v>26</v>
      </c>
      <c r="F86" s="181">
        <v>16</v>
      </c>
      <c r="G86" s="204">
        <f>221307.25+165337+90601.5+71567+36580+10706+10295.5+5581+2374+1755+4236+0.5+204+3138+141+128+1211</f>
        <v>625162.75</v>
      </c>
      <c r="H86" s="205">
        <f>17930+13640+7523+6342+3464+1258+1309+637+273+215+422+32+492+25+22+134</f>
        <v>53718</v>
      </c>
      <c r="I86" s="199">
        <f aca="true" t="shared" si="3" ref="I86:I92">+G86/H86</f>
        <v>11.637863472206709</v>
      </c>
      <c r="J86" s="202"/>
    </row>
    <row r="87" spans="1:10" ht="15">
      <c r="A87" s="118">
        <v>83</v>
      </c>
      <c r="B87" s="195" t="s">
        <v>432</v>
      </c>
      <c r="C87" s="169">
        <v>40193</v>
      </c>
      <c r="D87" s="176" t="s">
        <v>320</v>
      </c>
      <c r="E87" s="170">
        <v>40</v>
      </c>
      <c r="F87" s="170">
        <v>24</v>
      </c>
      <c r="G87" s="208">
        <v>620741</v>
      </c>
      <c r="H87" s="209">
        <v>54728</v>
      </c>
      <c r="I87" s="196">
        <f t="shared" si="3"/>
        <v>11.34229279345125</v>
      </c>
      <c r="J87" s="202"/>
    </row>
    <row r="88" spans="1:10" ht="15">
      <c r="A88" s="118">
        <v>84</v>
      </c>
      <c r="B88" s="198" t="s">
        <v>340</v>
      </c>
      <c r="C88" s="180">
        <v>40298</v>
      </c>
      <c r="D88" s="179" t="s">
        <v>321</v>
      </c>
      <c r="E88" s="181">
        <v>73</v>
      </c>
      <c r="F88" s="181">
        <v>12</v>
      </c>
      <c r="G88" s="204">
        <v>605393</v>
      </c>
      <c r="H88" s="205">
        <v>67048</v>
      </c>
      <c r="I88" s="199">
        <f t="shared" si="3"/>
        <v>9.02924770313805</v>
      </c>
      <c r="J88" s="202"/>
    </row>
    <row r="89" spans="1:10" ht="15">
      <c r="A89" s="118">
        <v>85</v>
      </c>
      <c r="B89" s="200" t="s">
        <v>254</v>
      </c>
      <c r="C89" s="180">
        <v>40424</v>
      </c>
      <c r="D89" s="186" t="s">
        <v>335</v>
      </c>
      <c r="E89" s="187">
        <v>69</v>
      </c>
      <c r="F89" s="187">
        <v>9</v>
      </c>
      <c r="G89" s="212">
        <v>604794</v>
      </c>
      <c r="H89" s="213">
        <v>64132</v>
      </c>
      <c r="I89" s="201">
        <f t="shared" si="3"/>
        <v>9.430455934634816</v>
      </c>
      <c r="J89" s="202"/>
    </row>
    <row r="90" spans="1:10" ht="15">
      <c r="A90" s="118">
        <v>86</v>
      </c>
      <c r="B90" s="198" t="s">
        <v>286</v>
      </c>
      <c r="C90" s="180">
        <v>40200</v>
      </c>
      <c r="D90" s="179" t="s">
        <v>320</v>
      </c>
      <c r="E90" s="181">
        <v>100</v>
      </c>
      <c r="F90" s="181">
        <v>10</v>
      </c>
      <c r="G90" s="204">
        <v>602901</v>
      </c>
      <c r="H90" s="205">
        <v>63060</v>
      </c>
      <c r="I90" s="199">
        <f t="shared" si="3"/>
        <v>9.560751665080875</v>
      </c>
      <c r="J90" s="202"/>
    </row>
    <row r="91" spans="1:10" ht="15">
      <c r="A91" s="118">
        <v>87</v>
      </c>
      <c r="B91" s="195" t="s">
        <v>149</v>
      </c>
      <c r="C91" s="169">
        <v>40270</v>
      </c>
      <c r="D91" s="176" t="s">
        <v>320</v>
      </c>
      <c r="E91" s="170">
        <v>77</v>
      </c>
      <c r="F91" s="170">
        <v>12</v>
      </c>
      <c r="G91" s="208">
        <v>574948</v>
      </c>
      <c r="H91" s="209">
        <v>63339</v>
      </c>
      <c r="I91" s="196">
        <f t="shared" si="3"/>
        <v>9.077314135051074</v>
      </c>
      <c r="J91" s="202">
        <v>1</v>
      </c>
    </row>
    <row r="92" spans="1:10" ht="15">
      <c r="A92" s="118">
        <v>88</v>
      </c>
      <c r="B92" s="198" t="s">
        <v>7</v>
      </c>
      <c r="C92" s="180">
        <v>40277</v>
      </c>
      <c r="D92" s="179" t="s">
        <v>335</v>
      </c>
      <c r="E92" s="181">
        <v>24</v>
      </c>
      <c r="F92" s="181">
        <v>22</v>
      </c>
      <c r="G92" s="204">
        <v>559113</v>
      </c>
      <c r="H92" s="205">
        <v>56515</v>
      </c>
      <c r="I92" s="199">
        <f t="shared" si="3"/>
        <v>9.893178802087942</v>
      </c>
      <c r="J92" s="202"/>
    </row>
    <row r="93" spans="1:10" ht="15">
      <c r="A93" s="118">
        <v>89</v>
      </c>
      <c r="B93" s="195" t="s">
        <v>281</v>
      </c>
      <c r="C93" s="169">
        <v>40347</v>
      </c>
      <c r="D93" s="168" t="s">
        <v>322</v>
      </c>
      <c r="E93" s="170">
        <v>66</v>
      </c>
      <c r="F93" s="170">
        <v>23</v>
      </c>
      <c r="G93" s="206">
        <f>478213+7083+3309.5+6055+4900+8378+4378.5+2349+3103+2074+7679.5+6108+2991.5+2180+2234+642</f>
        <v>541678</v>
      </c>
      <c r="H93" s="207">
        <f>55327+1259+553+1133+756+1285+650+408+682+334+1688+1394+539+483+475+201</f>
        <v>67167</v>
      </c>
      <c r="I93" s="197">
        <f>G93/H93</f>
        <v>8.064644840472257</v>
      </c>
      <c r="J93" s="202"/>
    </row>
    <row r="94" spans="1:10" ht="15">
      <c r="A94" s="118">
        <v>90</v>
      </c>
      <c r="B94" s="198" t="s">
        <v>437</v>
      </c>
      <c r="C94" s="180">
        <v>40242</v>
      </c>
      <c r="D94" s="179" t="s">
        <v>321</v>
      </c>
      <c r="E94" s="181">
        <v>53</v>
      </c>
      <c r="F94" s="181">
        <v>19</v>
      </c>
      <c r="G94" s="204">
        <v>539010</v>
      </c>
      <c r="H94" s="205">
        <v>55456</v>
      </c>
      <c r="I94" s="199">
        <f>+G94/H94</f>
        <v>9.719597518753606</v>
      </c>
      <c r="J94" s="202"/>
    </row>
    <row r="95" spans="1:10" ht="15">
      <c r="A95" s="118">
        <v>91</v>
      </c>
      <c r="B95" s="198" t="s">
        <v>8</v>
      </c>
      <c r="C95" s="180">
        <v>40193</v>
      </c>
      <c r="D95" s="179" t="s">
        <v>322</v>
      </c>
      <c r="E95" s="181">
        <v>55</v>
      </c>
      <c r="F95" s="181">
        <v>27</v>
      </c>
      <c r="G95" s="204">
        <f>197266+158498+94472.5+25746.5+5341+4975+4175+3550+3868+6158+8020+1277+951+3397+4599+198+566+1146+2247.5+174+31.5+2775.5+1188+735+2376+307+324</f>
        <v>534362.5</v>
      </c>
      <c r="H95" s="205">
        <f>19567+17056+12441+3194+866+909+697+693+818+1478+1988+298+238+832+1154+55+212+207+411+57+12+610+297+71+594+46+71</f>
        <v>64872</v>
      </c>
      <c r="I95" s="199">
        <f>G95/H95</f>
        <v>8.237182451596992</v>
      </c>
      <c r="J95" s="202"/>
    </row>
    <row r="96" spans="1:10" ht="15">
      <c r="A96" s="118">
        <v>92</v>
      </c>
      <c r="B96" s="198" t="s">
        <v>10</v>
      </c>
      <c r="C96" s="180">
        <v>40375</v>
      </c>
      <c r="D96" s="179" t="s">
        <v>321</v>
      </c>
      <c r="E96" s="181">
        <v>67</v>
      </c>
      <c r="F96" s="181">
        <v>12</v>
      </c>
      <c r="G96" s="204">
        <v>523565</v>
      </c>
      <c r="H96" s="205">
        <v>54976</v>
      </c>
      <c r="I96" s="199">
        <f>+G96/H96</f>
        <v>9.523519353899884</v>
      </c>
      <c r="J96" s="202"/>
    </row>
    <row r="97" spans="1:10" ht="15">
      <c r="A97" s="118">
        <v>93</v>
      </c>
      <c r="B97" s="195" t="s">
        <v>498</v>
      </c>
      <c r="C97" s="169">
        <v>40298</v>
      </c>
      <c r="D97" s="176" t="s">
        <v>320</v>
      </c>
      <c r="E97" s="170">
        <v>55</v>
      </c>
      <c r="F97" s="170">
        <v>7</v>
      </c>
      <c r="G97" s="208">
        <v>491070</v>
      </c>
      <c r="H97" s="209">
        <v>50430</v>
      </c>
      <c r="I97" s="196">
        <f>+G97/H97</f>
        <v>9.737656157049376</v>
      </c>
      <c r="J97" s="202"/>
    </row>
    <row r="98" spans="1:10" ht="15">
      <c r="A98" s="118">
        <v>94</v>
      </c>
      <c r="B98" s="198" t="s">
        <v>365</v>
      </c>
      <c r="C98" s="180">
        <v>40179</v>
      </c>
      <c r="D98" s="179" t="s">
        <v>321</v>
      </c>
      <c r="E98" s="181">
        <v>60</v>
      </c>
      <c r="F98" s="181">
        <v>12</v>
      </c>
      <c r="G98" s="204">
        <v>477649</v>
      </c>
      <c r="H98" s="205">
        <v>47587</v>
      </c>
      <c r="I98" s="199">
        <f>+G98/H98</f>
        <v>10.03738415953937</v>
      </c>
      <c r="J98" s="202"/>
    </row>
    <row r="99" spans="1:10" ht="15">
      <c r="A99" s="118">
        <v>95</v>
      </c>
      <c r="B99" s="198" t="s">
        <v>433</v>
      </c>
      <c r="C99" s="180">
        <v>40200</v>
      </c>
      <c r="D99" s="179" t="s">
        <v>321</v>
      </c>
      <c r="E99" s="181">
        <v>50</v>
      </c>
      <c r="F99" s="181">
        <v>13</v>
      </c>
      <c r="G99" s="204">
        <v>477628</v>
      </c>
      <c r="H99" s="205">
        <v>43096</v>
      </c>
      <c r="I99" s="199">
        <f>+G99/H99</f>
        <v>11.082884722480044</v>
      </c>
      <c r="J99" s="202"/>
    </row>
    <row r="100" spans="1:10" ht="15">
      <c r="A100" s="118">
        <v>96</v>
      </c>
      <c r="B100" s="198" t="s">
        <v>150</v>
      </c>
      <c r="C100" s="180">
        <v>40193</v>
      </c>
      <c r="D100" s="179" t="s">
        <v>444</v>
      </c>
      <c r="E100" s="181">
        <v>124</v>
      </c>
      <c r="F100" s="181">
        <v>28</v>
      </c>
      <c r="G100" s="204">
        <v>462004.75</v>
      </c>
      <c r="H100" s="205">
        <v>58594</v>
      </c>
      <c r="I100" s="199">
        <f>IF(G100&lt;&gt;0,G100/H100,"")</f>
        <v>7.884847424650988</v>
      </c>
      <c r="J100" s="202">
        <v>1</v>
      </c>
    </row>
    <row r="101" spans="1:10" ht="15">
      <c r="A101" s="118">
        <v>97</v>
      </c>
      <c r="B101" s="403" t="s">
        <v>11</v>
      </c>
      <c r="C101" s="399">
        <v>40438</v>
      </c>
      <c r="D101" s="400" t="s">
        <v>322</v>
      </c>
      <c r="E101" s="401">
        <v>36</v>
      </c>
      <c r="F101" s="401">
        <v>9</v>
      </c>
      <c r="G101" s="210">
        <v>461860</v>
      </c>
      <c r="H101" s="211">
        <v>44213</v>
      </c>
      <c r="I101" s="196">
        <v>7.19364909062423</v>
      </c>
      <c r="J101" s="292"/>
    </row>
    <row r="102" spans="1:10" ht="15">
      <c r="A102" s="118">
        <v>98</v>
      </c>
      <c r="B102" s="195" t="s">
        <v>488</v>
      </c>
      <c r="C102" s="169">
        <v>40277</v>
      </c>
      <c r="D102" s="176" t="s">
        <v>320</v>
      </c>
      <c r="E102" s="170">
        <v>46</v>
      </c>
      <c r="F102" s="170">
        <v>11</v>
      </c>
      <c r="G102" s="208">
        <v>444402</v>
      </c>
      <c r="H102" s="209">
        <v>43201</v>
      </c>
      <c r="I102" s="196">
        <f>+G102/H102</f>
        <v>10.286845211916392</v>
      </c>
      <c r="J102" s="202"/>
    </row>
    <row r="103" spans="1:10" ht="15">
      <c r="A103" s="118">
        <v>99</v>
      </c>
      <c r="B103" s="198" t="s">
        <v>159</v>
      </c>
      <c r="C103" s="180">
        <v>40242</v>
      </c>
      <c r="D103" s="179" t="s">
        <v>322</v>
      </c>
      <c r="E103" s="181">
        <v>74</v>
      </c>
      <c r="F103" s="181">
        <v>28</v>
      </c>
      <c r="G103" s="204">
        <f>421210.25+356+162+4324+208+552+958+360</f>
        <v>428130.25</v>
      </c>
      <c r="H103" s="205">
        <f>55245+64+29+994+22+92+124+60</f>
        <v>56630</v>
      </c>
      <c r="I103" s="199">
        <f>G103/H103</f>
        <v>7.56013155571252</v>
      </c>
      <c r="J103" s="202">
        <v>1</v>
      </c>
    </row>
    <row r="104" spans="1:10" ht="15">
      <c r="A104" s="118">
        <v>100</v>
      </c>
      <c r="B104" s="195" t="s">
        <v>12</v>
      </c>
      <c r="C104" s="169">
        <v>40410</v>
      </c>
      <c r="D104" s="176" t="s">
        <v>320</v>
      </c>
      <c r="E104" s="170">
        <v>63</v>
      </c>
      <c r="F104" s="170">
        <v>11</v>
      </c>
      <c r="G104" s="208">
        <v>420104</v>
      </c>
      <c r="H104" s="209">
        <v>41095</v>
      </c>
      <c r="I104" s="196">
        <f>+G104/H104</f>
        <v>10.222752159630126</v>
      </c>
      <c r="J104" s="202"/>
    </row>
    <row r="105" spans="1:10" ht="15">
      <c r="A105" s="118">
        <v>101</v>
      </c>
      <c r="B105" s="198" t="s">
        <v>13</v>
      </c>
      <c r="C105" s="180">
        <v>40312</v>
      </c>
      <c r="D105" s="179" t="s">
        <v>444</v>
      </c>
      <c r="E105" s="181">
        <v>64</v>
      </c>
      <c r="F105" s="181">
        <v>21</v>
      </c>
      <c r="G105" s="214">
        <f>384993+315+150+24</f>
        <v>385482</v>
      </c>
      <c r="H105" s="209">
        <f>43717+38+25+4</f>
        <v>43784</v>
      </c>
      <c r="I105" s="201">
        <f>IF(G105&lt;&gt;0,G105/H105,"")</f>
        <v>8.804175041110907</v>
      </c>
      <c r="J105" s="203"/>
    </row>
    <row r="106" spans="1:10" ht="15">
      <c r="A106" s="118">
        <v>102</v>
      </c>
      <c r="B106" s="198" t="s">
        <v>494</v>
      </c>
      <c r="C106" s="169">
        <v>40214</v>
      </c>
      <c r="D106" s="176" t="s">
        <v>320</v>
      </c>
      <c r="E106" s="170">
        <v>33</v>
      </c>
      <c r="F106" s="170">
        <v>14</v>
      </c>
      <c r="G106" s="208">
        <v>378715</v>
      </c>
      <c r="H106" s="209">
        <v>31429</v>
      </c>
      <c r="I106" s="196">
        <f>+G106/H106</f>
        <v>12.049858411021669</v>
      </c>
      <c r="J106" s="202"/>
    </row>
    <row r="107" spans="1:10" ht="15">
      <c r="A107" s="118">
        <v>103</v>
      </c>
      <c r="B107" s="195" t="s">
        <v>14</v>
      </c>
      <c r="C107" s="169">
        <v>40291</v>
      </c>
      <c r="D107" s="168" t="s">
        <v>322</v>
      </c>
      <c r="E107" s="170">
        <v>54</v>
      </c>
      <c r="F107" s="170">
        <v>17</v>
      </c>
      <c r="G107" s="206">
        <f>176958+95672+38981+18151.5+6163+2998+21275.5+2116.5+2388+999.5+1168+372+497.5+323+2165+2352+2523+2019.5</f>
        <v>377123</v>
      </c>
      <c r="H107" s="207">
        <f>18263+9908+5625+2922+979+506+4267+339+381+216+144+54+175+45+344+378+364+505</f>
        <v>45415</v>
      </c>
      <c r="I107" s="197">
        <f>G107/H107</f>
        <v>8.303930419464935</v>
      </c>
      <c r="J107" s="202">
        <v>1</v>
      </c>
    </row>
    <row r="108" spans="1:10" ht="15">
      <c r="A108" s="118">
        <v>104</v>
      </c>
      <c r="B108" s="402" t="s">
        <v>15</v>
      </c>
      <c r="C108" s="180">
        <v>40452</v>
      </c>
      <c r="D108" s="179" t="s">
        <v>321</v>
      </c>
      <c r="E108" s="181">
        <v>63</v>
      </c>
      <c r="F108" s="181">
        <v>6</v>
      </c>
      <c r="G108" s="204">
        <v>371902</v>
      </c>
      <c r="H108" s="205">
        <v>35376</v>
      </c>
      <c r="I108" s="199">
        <f>+G108/H108</f>
        <v>10.51283355947535</v>
      </c>
      <c r="J108" s="292"/>
    </row>
    <row r="109" spans="1:10" ht="15">
      <c r="A109" s="118">
        <v>105</v>
      </c>
      <c r="B109" s="198" t="s">
        <v>499</v>
      </c>
      <c r="C109" s="180">
        <v>40298</v>
      </c>
      <c r="D109" s="179" t="s">
        <v>320</v>
      </c>
      <c r="E109" s="181">
        <v>35</v>
      </c>
      <c r="F109" s="181">
        <v>11</v>
      </c>
      <c r="G109" s="204">
        <v>371097</v>
      </c>
      <c r="H109" s="205">
        <v>38345</v>
      </c>
      <c r="I109" s="199">
        <f>+G109/H109</f>
        <v>9.677845872995176</v>
      </c>
      <c r="J109" s="202"/>
    </row>
    <row r="110" spans="1:10" ht="15">
      <c r="A110" s="118">
        <v>106</v>
      </c>
      <c r="B110" s="198" t="s">
        <v>16</v>
      </c>
      <c r="C110" s="180">
        <v>40312</v>
      </c>
      <c r="D110" s="179" t="s">
        <v>444</v>
      </c>
      <c r="E110" s="181">
        <v>76</v>
      </c>
      <c r="F110" s="181">
        <v>25</v>
      </c>
      <c r="G110" s="214">
        <f>368451+307+100+121+229+326</f>
        <v>369534</v>
      </c>
      <c r="H110" s="209">
        <f>33019+57+16+18+35+48</f>
        <v>33193</v>
      </c>
      <c r="I110" s="201">
        <f>IF(G110&lt;&gt;0,G110/H110,"")</f>
        <v>11.13288946464616</v>
      </c>
      <c r="J110" s="203"/>
    </row>
    <row r="111" spans="1:10" ht="15">
      <c r="A111" s="118">
        <v>107</v>
      </c>
      <c r="B111" s="198" t="s">
        <v>17</v>
      </c>
      <c r="C111" s="180">
        <v>40277</v>
      </c>
      <c r="D111" s="179" t="s">
        <v>322</v>
      </c>
      <c r="E111" s="181">
        <v>32</v>
      </c>
      <c r="F111" s="181">
        <v>21</v>
      </c>
      <c r="G111" s="204">
        <f>123623+70914+52321.5+36022.5+20471+19766.5+8607.5+6454.5+5997+5816+5957.5+4106+4057+1721+797+784+203+228+300+294+150</f>
        <v>368591</v>
      </c>
      <c r="H111" s="205">
        <f>12717+7769+7500+5431+3494+3439+1495+1058+966+862+757+518+635+261+113+120+29+38+50+49+25</f>
        <v>47326</v>
      </c>
      <c r="I111" s="199">
        <f>G111/H111</f>
        <v>7.7883404471115245</v>
      </c>
      <c r="J111" s="202"/>
    </row>
    <row r="112" spans="1:10" ht="15">
      <c r="A112" s="118">
        <v>108</v>
      </c>
      <c r="B112" s="200" t="s">
        <v>400</v>
      </c>
      <c r="C112" s="180">
        <v>40459</v>
      </c>
      <c r="D112" s="186" t="s">
        <v>335</v>
      </c>
      <c r="E112" s="187">
        <v>50</v>
      </c>
      <c r="F112" s="187">
        <v>7</v>
      </c>
      <c r="G112" s="212">
        <v>366434</v>
      </c>
      <c r="H112" s="213">
        <v>32723</v>
      </c>
      <c r="I112" s="201">
        <f>+G112/H112</f>
        <v>11.198056412920575</v>
      </c>
      <c r="J112" s="203"/>
    </row>
    <row r="113" spans="1:10" ht="15">
      <c r="A113" s="118">
        <v>109</v>
      </c>
      <c r="B113" s="195" t="s">
        <v>18</v>
      </c>
      <c r="C113" s="169">
        <v>40333</v>
      </c>
      <c r="D113" s="168" t="s">
        <v>322</v>
      </c>
      <c r="E113" s="170">
        <v>20</v>
      </c>
      <c r="F113" s="170">
        <v>12</v>
      </c>
      <c r="G113" s="206">
        <f>323225+11633.5+4727+7021+3937+3808.5+2557+1297.5+236+594+340+1126+846</f>
        <v>361348.5</v>
      </c>
      <c r="H113" s="207">
        <f>37441+1670+699+1273+639+721+319+290+38+99+54+190+143</f>
        <v>43576</v>
      </c>
      <c r="I113" s="197">
        <f>G113/H113</f>
        <v>8.292374242702405</v>
      </c>
      <c r="J113" s="202"/>
    </row>
    <row r="114" spans="1:10" ht="15">
      <c r="A114" s="118">
        <v>110</v>
      </c>
      <c r="B114" s="198" t="s">
        <v>290</v>
      </c>
      <c r="C114" s="180">
        <v>40368</v>
      </c>
      <c r="D114" s="179" t="s">
        <v>320</v>
      </c>
      <c r="E114" s="181">
        <v>62</v>
      </c>
      <c r="F114" s="181">
        <v>13</v>
      </c>
      <c r="G114" s="204">
        <v>357884</v>
      </c>
      <c r="H114" s="205">
        <v>33438</v>
      </c>
      <c r="I114" s="199">
        <f>+G114/H114</f>
        <v>10.702912853639571</v>
      </c>
      <c r="J114" s="202"/>
    </row>
    <row r="115" spans="1:10" ht="15">
      <c r="A115" s="118">
        <v>111</v>
      </c>
      <c r="B115" s="195" t="s">
        <v>258</v>
      </c>
      <c r="C115" s="169">
        <v>40430</v>
      </c>
      <c r="D115" s="168" t="s">
        <v>322</v>
      </c>
      <c r="E115" s="170">
        <v>57</v>
      </c>
      <c r="F115" s="170">
        <v>12</v>
      </c>
      <c r="G115" s="206">
        <f>15818.5+150711.5+75138.5+33591.5+30249.5+17415.5+8294.5+10566+6016+6121.5+888.5+2484</f>
        <v>357295.5</v>
      </c>
      <c r="H115" s="207">
        <f>1512+15643+7345+4634+4073+2646+1136+2027+1109+1483+117+572</f>
        <v>42297</v>
      </c>
      <c r="I115" s="197">
        <f>G115/H115</f>
        <v>8.447301227037379</v>
      </c>
      <c r="J115" s="202"/>
    </row>
    <row r="116" spans="1:10" ht="15">
      <c r="A116" s="118">
        <v>112</v>
      </c>
      <c r="B116" s="198" t="s">
        <v>19</v>
      </c>
      <c r="C116" s="169">
        <v>40270</v>
      </c>
      <c r="D116" s="179" t="s">
        <v>320</v>
      </c>
      <c r="E116" s="193">
        <v>51</v>
      </c>
      <c r="F116" s="193">
        <v>10</v>
      </c>
      <c r="G116" s="208">
        <v>357238</v>
      </c>
      <c r="H116" s="215">
        <v>33792</v>
      </c>
      <c r="I116" s="196">
        <f aca="true" t="shared" si="4" ref="I116:I124">+G116/H116</f>
        <v>10.571673768939394</v>
      </c>
      <c r="J116" s="202"/>
    </row>
    <row r="117" spans="1:10" ht="15">
      <c r="A117" s="118">
        <v>113</v>
      </c>
      <c r="B117" s="195" t="s">
        <v>282</v>
      </c>
      <c r="C117" s="192">
        <v>40347</v>
      </c>
      <c r="D117" s="175" t="s">
        <v>333</v>
      </c>
      <c r="E117" s="193">
        <v>45</v>
      </c>
      <c r="F117" s="193">
        <v>15</v>
      </c>
      <c r="G117" s="208">
        <f>163509.5+101167+33186.5+24021.5+13754+6432+0.5+3592+1727+471+4315+96+85.5+88.5+1066+282</f>
        <v>353794</v>
      </c>
      <c r="H117" s="209">
        <f>25673+3885+3462+2080+937+579+241+56+689+16+12+12+179+47</f>
        <v>37868</v>
      </c>
      <c r="I117" s="218">
        <f t="shared" si="4"/>
        <v>9.342822435829724</v>
      </c>
      <c r="J117" s="202"/>
    </row>
    <row r="118" spans="1:10" ht="15">
      <c r="A118" s="118">
        <v>114</v>
      </c>
      <c r="B118" s="198" t="s">
        <v>64</v>
      </c>
      <c r="C118" s="180">
        <v>40382</v>
      </c>
      <c r="D118" s="179" t="s">
        <v>372</v>
      </c>
      <c r="E118" s="181" t="s">
        <v>61</v>
      </c>
      <c r="F118" s="181" t="s">
        <v>469</v>
      </c>
      <c r="G118" s="204">
        <v>353617</v>
      </c>
      <c r="H118" s="205">
        <v>38620</v>
      </c>
      <c r="I118" s="199">
        <f t="shared" si="4"/>
        <v>9.15631796996375</v>
      </c>
      <c r="J118" s="202"/>
    </row>
    <row r="119" spans="1:10" ht="15">
      <c r="A119" s="118">
        <v>115</v>
      </c>
      <c r="B119" s="198" t="s">
        <v>69</v>
      </c>
      <c r="C119" s="180">
        <v>40284</v>
      </c>
      <c r="D119" s="179" t="s">
        <v>321</v>
      </c>
      <c r="E119" s="181">
        <v>50</v>
      </c>
      <c r="F119" s="181">
        <v>19</v>
      </c>
      <c r="G119" s="204">
        <v>352448</v>
      </c>
      <c r="H119" s="205">
        <v>46007</v>
      </c>
      <c r="I119" s="199">
        <f t="shared" si="4"/>
        <v>7.660747277588193</v>
      </c>
      <c r="J119" s="202"/>
    </row>
    <row r="120" spans="1:10" ht="15">
      <c r="A120" s="118">
        <v>116</v>
      </c>
      <c r="B120" s="198" t="s">
        <v>264</v>
      </c>
      <c r="C120" s="180">
        <v>40263</v>
      </c>
      <c r="D120" s="179" t="s">
        <v>320</v>
      </c>
      <c r="E120" s="181">
        <v>28</v>
      </c>
      <c r="F120" s="181">
        <v>24</v>
      </c>
      <c r="G120" s="204">
        <v>352029</v>
      </c>
      <c r="H120" s="205">
        <v>36402</v>
      </c>
      <c r="I120" s="199">
        <f t="shared" si="4"/>
        <v>9.670595022251524</v>
      </c>
      <c r="J120" s="202"/>
    </row>
    <row r="121" spans="1:10" ht="15">
      <c r="A121" s="118">
        <v>117</v>
      </c>
      <c r="B121" s="198" t="s">
        <v>152</v>
      </c>
      <c r="C121" s="180">
        <v>40309</v>
      </c>
      <c r="D121" s="179" t="s">
        <v>320</v>
      </c>
      <c r="E121" s="181">
        <v>71</v>
      </c>
      <c r="F121" s="181">
        <v>9</v>
      </c>
      <c r="G121" s="204">
        <v>330823</v>
      </c>
      <c r="H121" s="205">
        <v>34646</v>
      </c>
      <c r="I121" s="199">
        <f t="shared" si="4"/>
        <v>9.548663626392656</v>
      </c>
      <c r="J121" s="202"/>
    </row>
    <row r="122" spans="1:10" ht="15">
      <c r="A122" s="118">
        <v>118</v>
      </c>
      <c r="B122" s="198" t="s">
        <v>151</v>
      </c>
      <c r="C122" s="180">
        <v>40340</v>
      </c>
      <c r="D122" s="179" t="s">
        <v>333</v>
      </c>
      <c r="E122" s="181">
        <v>52</v>
      </c>
      <c r="F122" s="181">
        <v>16</v>
      </c>
      <c r="G122" s="204">
        <f>144139+109152+40981+11023.5+7232+3244+3575+474+519+592+94+116.5+883+1590+710+284</f>
        <v>324609</v>
      </c>
      <c r="H122" s="205">
        <f>14650+11055+5395+1581+974+426+476+53+94+99+13+16+143+284+88+47</f>
        <v>35394</v>
      </c>
      <c r="I122" s="199">
        <f t="shared" si="4"/>
        <v>9.171300220376335</v>
      </c>
      <c r="J122" s="202"/>
    </row>
    <row r="123" spans="1:10" ht="15">
      <c r="A123" s="118">
        <v>119</v>
      </c>
      <c r="B123" s="195" t="s">
        <v>392</v>
      </c>
      <c r="C123" s="169">
        <v>40445</v>
      </c>
      <c r="D123" s="176" t="s">
        <v>320</v>
      </c>
      <c r="E123" s="170">
        <v>45</v>
      </c>
      <c r="F123" s="170">
        <v>6</v>
      </c>
      <c r="G123" s="208">
        <v>321664</v>
      </c>
      <c r="H123" s="209">
        <v>31238</v>
      </c>
      <c r="I123" s="196">
        <f t="shared" si="4"/>
        <v>10.297202125616236</v>
      </c>
      <c r="J123" s="202"/>
    </row>
    <row r="124" spans="1:10" ht="15">
      <c r="A124" s="118">
        <v>120</v>
      </c>
      <c r="B124" s="198" t="s">
        <v>261</v>
      </c>
      <c r="C124" s="180">
        <v>40256</v>
      </c>
      <c r="D124" s="179" t="s">
        <v>335</v>
      </c>
      <c r="E124" s="181">
        <v>25</v>
      </c>
      <c r="F124" s="181">
        <v>20</v>
      </c>
      <c r="G124" s="204">
        <v>321144</v>
      </c>
      <c r="H124" s="205">
        <v>33567</v>
      </c>
      <c r="I124" s="199">
        <f t="shared" si="4"/>
        <v>9.5672535525963</v>
      </c>
      <c r="J124" s="202"/>
    </row>
    <row r="125" spans="1:10" ht="15">
      <c r="A125" s="118">
        <v>121</v>
      </c>
      <c r="B125" s="456" t="s">
        <v>161</v>
      </c>
      <c r="C125" s="426">
        <v>40452</v>
      </c>
      <c r="D125" s="425" t="s">
        <v>448</v>
      </c>
      <c r="E125" s="427">
        <v>72</v>
      </c>
      <c r="F125" s="427">
        <v>8</v>
      </c>
      <c r="G125" s="428">
        <v>314629</v>
      </c>
      <c r="H125" s="435">
        <v>41081</v>
      </c>
      <c r="I125" s="457">
        <v>7.658747352790828</v>
      </c>
      <c r="J125" s="203">
        <v>1</v>
      </c>
    </row>
    <row r="126" spans="1:10" ht="15">
      <c r="A126" s="118">
        <v>122</v>
      </c>
      <c r="B126" s="198" t="s">
        <v>160</v>
      </c>
      <c r="C126" s="169">
        <v>40277</v>
      </c>
      <c r="D126" s="176" t="s">
        <v>321</v>
      </c>
      <c r="E126" s="170">
        <v>65</v>
      </c>
      <c r="F126" s="170">
        <v>9</v>
      </c>
      <c r="G126" s="208">
        <f>309621+745</f>
        <v>310366</v>
      </c>
      <c r="H126" s="209">
        <f>37154+142</f>
        <v>37296</v>
      </c>
      <c r="I126" s="196">
        <f>+G126/H126</f>
        <v>8.321696696696696</v>
      </c>
      <c r="J126" s="202">
        <v>1</v>
      </c>
    </row>
    <row r="127" spans="1:10" ht="15">
      <c r="A127" s="118">
        <v>123</v>
      </c>
      <c r="B127" s="195" t="s">
        <v>20</v>
      </c>
      <c r="C127" s="169">
        <v>40305</v>
      </c>
      <c r="D127" s="168" t="s">
        <v>322</v>
      </c>
      <c r="E127" s="170">
        <v>22</v>
      </c>
      <c r="F127" s="170">
        <v>21</v>
      </c>
      <c r="G127" s="206">
        <f>296367.5+1334+979+1882+2688+504.5+938+784</f>
        <v>305477</v>
      </c>
      <c r="H127" s="207">
        <f>30471+150+155+200+326+84+136+232</f>
        <v>31754</v>
      </c>
      <c r="I127" s="197">
        <f>G127/H127</f>
        <v>9.620110852176104</v>
      </c>
      <c r="J127" s="202"/>
    </row>
    <row r="128" spans="1:10" ht="15">
      <c r="A128" s="118">
        <v>124</v>
      </c>
      <c r="B128" s="195" t="s">
        <v>406</v>
      </c>
      <c r="C128" s="169">
        <v>40473</v>
      </c>
      <c r="D128" s="168" t="s">
        <v>322</v>
      </c>
      <c r="E128" s="170">
        <v>28</v>
      </c>
      <c r="F128" s="170">
        <v>5</v>
      </c>
      <c r="G128" s="206">
        <f>152569.5+122205.5+10562+6863.5+9619</f>
        <v>301819.5</v>
      </c>
      <c r="H128" s="207">
        <f>12992+10278+1201+886+1535</f>
        <v>26892</v>
      </c>
      <c r="I128" s="197">
        <f>G128/H128</f>
        <v>11.223393574297189</v>
      </c>
      <c r="J128" s="202"/>
    </row>
    <row r="129" spans="1:10" ht="15">
      <c r="A129" s="118">
        <v>125</v>
      </c>
      <c r="B129" s="198" t="s">
        <v>21</v>
      </c>
      <c r="C129" s="180">
        <v>40256</v>
      </c>
      <c r="D129" s="179" t="s">
        <v>322</v>
      </c>
      <c r="E129" s="181">
        <v>64</v>
      </c>
      <c r="F129" s="181">
        <v>11</v>
      </c>
      <c r="G129" s="204">
        <f>200154.75+75068.75+5354.5+7056.5+4518+1434+3806.5+2237+701+90+161</f>
        <v>300582</v>
      </c>
      <c r="H129" s="205">
        <f>18560+6806+580+1084+703+200+609+357+115+15+25</f>
        <v>29054</v>
      </c>
      <c r="I129" s="199">
        <f>G129/H129</f>
        <v>10.34563227094376</v>
      </c>
      <c r="J129" s="202"/>
    </row>
    <row r="130" spans="1:10" ht="15">
      <c r="A130" s="118">
        <v>126</v>
      </c>
      <c r="B130" s="198" t="s">
        <v>22</v>
      </c>
      <c r="C130" s="180">
        <v>40228</v>
      </c>
      <c r="D130" s="179" t="s">
        <v>322</v>
      </c>
      <c r="E130" s="181">
        <v>17</v>
      </c>
      <c r="F130" s="181">
        <v>31</v>
      </c>
      <c r="G130" s="204">
        <f>289107+1009.5+669+336+323+699+1238+121+1782</f>
        <v>295284.5</v>
      </c>
      <c r="H130" s="205">
        <f>30560+127+85+56+54+123+217+22+445</f>
        <v>31689</v>
      </c>
      <c r="I130" s="199">
        <f>G130/H130</f>
        <v>9.318201899712834</v>
      </c>
      <c r="J130" s="202"/>
    </row>
    <row r="131" spans="1:10" ht="15">
      <c r="A131" s="118">
        <v>127</v>
      </c>
      <c r="B131" s="200" t="s">
        <v>162</v>
      </c>
      <c r="C131" s="169">
        <v>40277</v>
      </c>
      <c r="D131" s="176" t="s">
        <v>323</v>
      </c>
      <c r="E131" s="170">
        <v>32</v>
      </c>
      <c r="F131" s="170">
        <v>10</v>
      </c>
      <c r="G131" s="208">
        <v>293343.25</v>
      </c>
      <c r="H131" s="209">
        <v>31910</v>
      </c>
      <c r="I131" s="196">
        <f>+G131/H131</f>
        <v>9.192831400814791</v>
      </c>
      <c r="J131" s="202">
        <v>1</v>
      </c>
    </row>
    <row r="132" spans="1:10" ht="15">
      <c r="A132" s="118">
        <v>128</v>
      </c>
      <c r="B132" s="195" t="s">
        <v>415</v>
      </c>
      <c r="C132" s="169">
        <v>40417</v>
      </c>
      <c r="D132" s="168" t="s">
        <v>322</v>
      </c>
      <c r="E132" s="170">
        <v>25</v>
      </c>
      <c r="F132" s="170">
        <v>10</v>
      </c>
      <c r="G132" s="206">
        <f>87475.5+57473+42134+23624+14854.5+21662+13363.5+5246+6057+2099</f>
        <v>273988.5</v>
      </c>
      <c r="H132" s="207">
        <f>7817+5228+5394+3109+2109+2845+2026+770+762+416</f>
        <v>30476</v>
      </c>
      <c r="I132" s="197">
        <f>G132/H132</f>
        <v>8.990303845649036</v>
      </c>
      <c r="J132" s="202"/>
    </row>
    <row r="133" spans="1:10" ht="15">
      <c r="A133" s="118">
        <v>129</v>
      </c>
      <c r="B133" s="198" t="s">
        <v>328</v>
      </c>
      <c r="C133" s="180">
        <v>40291</v>
      </c>
      <c r="D133" s="179" t="s">
        <v>322</v>
      </c>
      <c r="E133" s="181">
        <v>40</v>
      </c>
      <c r="F133" s="181">
        <v>16</v>
      </c>
      <c r="G133" s="204">
        <v>272412</v>
      </c>
      <c r="H133" s="205">
        <v>35341</v>
      </c>
      <c r="I133" s="199">
        <v>7.708101072408817</v>
      </c>
      <c r="J133" s="202"/>
    </row>
    <row r="134" spans="1:10" ht="15">
      <c r="A134" s="118">
        <v>130</v>
      </c>
      <c r="B134" s="198" t="s">
        <v>163</v>
      </c>
      <c r="C134" s="180">
        <v>40235</v>
      </c>
      <c r="D134" s="179" t="s">
        <v>321</v>
      </c>
      <c r="E134" s="181">
        <v>91</v>
      </c>
      <c r="F134" s="181">
        <v>12</v>
      </c>
      <c r="G134" s="204">
        <v>272173</v>
      </c>
      <c r="H134" s="205">
        <v>34380</v>
      </c>
      <c r="I134" s="199">
        <f>+G134/H134</f>
        <v>7.916608493310064</v>
      </c>
      <c r="J134" s="202"/>
    </row>
    <row r="135" spans="1:10" ht="15">
      <c r="A135" s="118">
        <v>131</v>
      </c>
      <c r="B135" s="198" t="s">
        <v>23</v>
      </c>
      <c r="C135" s="180">
        <v>40284</v>
      </c>
      <c r="D135" s="179" t="s">
        <v>335</v>
      </c>
      <c r="E135" s="181">
        <v>30</v>
      </c>
      <c r="F135" s="181">
        <v>21</v>
      </c>
      <c r="G135" s="204">
        <v>269283</v>
      </c>
      <c r="H135" s="205">
        <v>30684</v>
      </c>
      <c r="I135" s="199">
        <f>+G135/H135</f>
        <v>8.776007039499413</v>
      </c>
      <c r="J135" s="202"/>
    </row>
    <row r="136" spans="1:10" ht="15">
      <c r="A136" s="118">
        <v>132</v>
      </c>
      <c r="B136" s="195" t="s">
        <v>399</v>
      </c>
      <c r="C136" s="169">
        <v>40459</v>
      </c>
      <c r="D136" s="176" t="s">
        <v>320</v>
      </c>
      <c r="E136" s="170">
        <v>56</v>
      </c>
      <c r="F136" s="170">
        <v>4</v>
      </c>
      <c r="G136" s="208">
        <v>268209</v>
      </c>
      <c r="H136" s="209">
        <v>28812</v>
      </c>
      <c r="I136" s="196">
        <f>+G136/H136</f>
        <v>9.308933777592669</v>
      </c>
      <c r="J136" s="202"/>
    </row>
    <row r="137" spans="1:10" ht="15">
      <c r="A137" s="118">
        <v>133</v>
      </c>
      <c r="B137" s="195" t="s">
        <v>24</v>
      </c>
      <c r="C137" s="169">
        <v>40228</v>
      </c>
      <c r="D137" s="176" t="s">
        <v>320</v>
      </c>
      <c r="E137" s="170">
        <v>70</v>
      </c>
      <c r="F137" s="170">
        <v>17</v>
      </c>
      <c r="G137" s="208">
        <v>266528</v>
      </c>
      <c r="H137" s="209">
        <v>29571</v>
      </c>
      <c r="I137" s="196">
        <f>+G137/H137</f>
        <v>9.013154780020967</v>
      </c>
      <c r="J137" s="202"/>
    </row>
    <row r="138" spans="1:10" ht="15">
      <c r="A138" s="118">
        <v>134</v>
      </c>
      <c r="B138" s="195" t="s">
        <v>407</v>
      </c>
      <c r="C138" s="169">
        <v>40473</v>
      </c>
      <c r="D138" s="168" t="s">
        <v>322</v>
      </c>
      <c r="E138" s="193">
        <v>30</v>
      </c>
      <c r="F138" s="193">
        <v>5</v>
      </c>
      <c r="G138" s="206">
        <f>140269+106844+7979+4849+4700.5</f>
        <v>264641.5</v>
      </c>
      <c r="H138" s="207">
        <f>11518+8629+641+577+660</f>
        <v>22025</v>
      </c>
      <c r="I138" s="197">
        <f>G138/H138</f>
        <v>12.01550510783201</v>
      </c>
      <c r="J138" s="202"/>
    </row>
    <row r="139" spans="1:10" ht="15">
      <c r="A139" s="118">
        <v>135</v>
      </c>
      <c r="B139" s="198" t="s">
        <v>164</v>
      </c>
      <c r="C139" s="180">
        <v>40333</v>
      </c>
      <c r="D139" s="179" t="s">
        <v>335</v>
      </c>
      <c r="E139" s="181">
        <v>90</v>
      </c>
      <c r="F139" s="181">
        <v>14</v>
      </c>
      <c r="G139" s="204">
        <v>263209</v>
      </c>
      <c r="H139" s="205">
        <v>32238</v>
      </c>
      <c r="I139" s="199">
        <f>+G139/H139</f>
        <v>8.164557354674608</v>
      </c>
      <c r="J139" s="202">
        <v>1</v>
      </c>
    </row>
    <row r="140" spans="1:10" ht="15">
      <c r="A140" s="118">
        <v>136</v>
      </c>
      <c r="B140" s="195" t="s">
        <v>434</v>
      </c>
      <c r="C140" s="169">
        <v>40186</v>
      </c>
      <c r="D140" s="176" t="s">
        <v>321</v>
      </c>
      <c r="E140" s="193">
        <v>59</v>
      </c>
      <c r="F140" s="193">
        <v>6</v>
      </c>
      <c r="G140" s="208">
        <v>261553</v>
      </c>
      <c r="H140" s="215">
        <v>25914</v>
      </c>
      <c r="I140" s="196">
        <f>+G140/H140</f>
        <v>10.093115690360422</v>
      </c>
      <c r="J140" s="202"/>
    </row>
    <row r="141" spans="1:10" ht="15">
      <c r="A141" s="118">
        <v>137</v>
      </c>
      <c r="B141" s="198" t="s">
        <v>25</v>
      </c>
      <c r="C141" s="180">
        <v>40235</v>
      </c>
      <c r="D141" s="179" t="s">
        <v>320</v>
      </c>
      <c r="E141" s="181">
        <v>46</v>
      </c>
      <c r="F141" s="181">
        <v>24</v>
      </c>
      <c r="G141" s="204">
        <v>259737</v>
      </c>
      <c r="H141" s="205">
        <v>25502</v>
      </c>
      <c r="I141" s="199">
        <f>+G141/H141</f>
        <v>10.184965885028625</v>
      </c>
      <c r="J141" s="202"/>
    </row>
    <row r="142" spans="1:10" ht="15">
      <c r="A142" s="118">
        <v>138</v>
      </c>
      <c r="B142" s="198" t="s">
        <v>165</v>
      </c>
      <c r="C142" s="180">
        <v>40277</v>
      </c>
      <c r="D142" s="176" t="s">
        <v>349</v>
      </c>
      <c r="E142" s="181">
        <v>101</v>
      </c>
      <c r="F142" s="181">
        <v>11</v>
      </c>
      <c r="G142" s="204">
        <f>139056.25+65096+32553+8586+0.5+3919+0.5+4271+1102+240+828+70+409</f>
        <v>256131.25</v>
      </c>
      <c r="H142" s="205">
        <f>17232+8920+4923+1282+584+699+215+38+132+12+63</f>
        <v>34100</v>
      </c>
      <c r="I142" s="199">
        <f>+G142/H142</f>
        <v>7.511180351906158</v>
      </c>
      <c r="J142" s="202">
        <v>1</v>
      </c>
    </row>
    <row r="143" spans="1:11" ht="15">
      <c r="A143" s="118">
        <v>139</v>
      </c>
      <c r="B143" s="198" t="s">
        <v>295</v>
      </c>
      <c r="C143" s="169">
        <v>40256</v>
      </c>
      <c r="D143" s="176" t="s">
        <v>320</v>
      </c>
      <c r="E143" s="170">
        <v>77</v>
      </c>
      <c r="F143" s="170">
        <v>10</v>
      </c>
      <c r="G143" s="208">
        <v>254220</v>
      </c>
      <c r="H143" s="209">
        <v>30104</v>
      </c>
      <c r="I143" s="196">
        <f>+G143/H143</f>
        <v>8.444724953494552</v>
      </c>
      <c r="J143" s="202">
        <v>1</v>
      </c>
      <c r="K143" s="117"/>
    </row>
    <row r="144" spans="1:11" ht="15">
      <c r="A144" s="118">
        <v>140</v>
      </c>
      <c r="B144" s="198" t="s">
        <v>331</v>
      </c>
      <c r="C144" s="180">
        <v>40326</v>
      </c>
      <c r="D144" s="179" t="s">
        <v>444</v>
      </c>
      <c r="E144" s="181">
        <v>45</v>
      </c>
      <c r="F144" s="181">
        <v>17</v>
      </c>
      <c r="G144" s="204">
        <v>250439.5</v>
      </c>
      <c r="H144" s="205">
        <v>30508</v>
      </c>
      <c r="I144" s="199">
        <f>IF(G144&lt;&gt;0,G144/H144,"")</f>
        <v>8.208977972990692</v>
      </c>
      <c r="J144" s="202"/>
      <c r="K144" s="117"/>
    </row>
    <row r="145" spans="1:11" ht="15">
      <c r="A145" s="118">
        <v>141</v>
      </c>
      <c r="B145" s="200" t="s">
        <v>27</v>
      </c>
      <c r="C145" s="180">
        <v>40207</v>
      </c>
      <c r="D145" s="186" t="s">
        <v>335</v>
      </c>
      <c r="E145" s="187">
        <v>21</v>
      </c>
      <c r="F145" s="187">
        <v>4</v>
      </c>
      <c r="G145" s="212">
        <v>231539</v>
      </c>
      <c r="H145" s="213">
        <v>18242</v>
      </c>
      <c r="I145" s="201">
        <f>+G145/H145</f>
        <v>12.692632386799692</v>
      </c>
      <c r="J145" s="203"/>
      <c r="K145" s="117"/>
    </row>
    <row r="146" spans="1:11" ht="15">
      <c r="A146" s="118">
        <v>142</v>
      </c>
      <c r="B146" s="195" t="s">
        <v>368</v>
      </c>
      <c r="C146" s="169">
        <v>40186</v>
      </c>
      <c r="D146" s="176" t="s">
        <v>324</v>
      </c>
      <c r="E146" s="170">
        <v>19</v>
      </c>
      <c r="F146" s="170">
        <v>11</v>
      </c>
      <c r="G146" s="208">
        <v>223915</v>
      </c>
      <c r="H146" s="209">
        <v>19044</v>
      </c>
      <c r="I146" s="196">
        <f>+G146/H146</f>
        <v>11.757771476580551</v>
      </c>
      <c r="J146" s="202"/>
      <c r="K146" s="117"/>
    </row>
    <row r="147" spans="1:11" ht="15">
      <c r="A147" s="118">
        <v>143</v>
      </c>
      <c r="B147" s="195" t="s">
        <v>96</v>
      </c>
      <c r="C147" s="192">
        <v>40480</v>
      </c>
      <c r="D147" s="175" t="s">
        <v>333</v>
      </c>
      <c r="E147" s="193">
        <v>135</v>
      </c>
      <c r="F147" s="193">
        <v>4</v>
      </c>
      <c r="G147" s="208">
        <f>151771.5+44278.5+20156+2941.5</f>
        <v>219147.5</v>
      </c>
      <c r="H147" s="209">
        <f>19003+7410+3277+525</f>
        <v>30215</v>
      </c>
      <c r="I147" s="201">
        <f>IF(G147&lt;&gt;0,G147/H147,"")</f>
        <v>7.2529372828065535</v>
      </c>
      <c r="J147" s="203">
        <v>1</v>
      </c>
      <c r="K147" s="117"/>
    </row>
    <row r="148" spans="1:10" ht="15">
      <c r="A148" s="118">
        <v>144</v>
      </c>
      <c r="B148" s="200" t="s">
        <v>296</v>
      </c>
      <c r="C148" s="169">
        <v>40277</v>
      </c>
      <c r="D148" s="176" t="s">
        <v>335</v>
      </c>
      <c r="E148" s="170">
        <v>107</v>
      </c>
      <c r="F148" s="170">
        <v>10</v>
      </c>
      <c r="G148" s="208">
        <v>216076</v>
      </c>
      <c r="H148" s="209">
        <v>28261</v>
      </c>
      <c r="I148" s="196">
        <f>+G148/H148</f>
        <v>7.6457308658575425</v>
      </c>
      <c r="J148" s="202">
        <v>1</v>
      </c>
    </row>
    <row r="149" spans="1:10" ht="15">
      <c r="A149" s="118">
        <v>145</v>
      </c>
      <c r="B149" s="198" t="s">
        <v>297</v>
      </c>
      <c r="C149" s="180">
        <v>40207</v>
      </c>
      <c r="D149" s="179" t="s">
        <v>322</v>
      </c>
      <c r="E149" s="181">
        <v>43</v>
      </c>
      <c r="F149" s="181">
        <v>20</v>
      </c>
      <c r="G149" s="204">
        <f>197921.25+1391+1783+2124+372</f>
        <v>203591.25</v>
      </c>
      <c r="H149" s="205">
        <f>28461+236+288+312+46</f>
        <v>29343</v>
      </c>
      <c r="I149" s="199">
        <f>G149/H149</f>
        <v>6.938324302218587</v>
      </c>
      <c r="J149" s="202">
        <v>1</v>
      </c>
    </row>
    <row r="150" spans="1:10" ht="15">
      <c r="A150" s="118">
        <v>146</v>
      </c>
      <c r="B150" s="195" t="s">
        <v>299</v>
      </c>
      <c r="C150" s="192">
        <v>40466</v>
      </c>
      <c r="D150" s="175" t="s">
        <v>333</v>
      </c>
      <c r="E150" s="193">
        <v>22</v>
      </c>
      <c r="F150" s="193">
        <v>6</v>
      </c>
      <c r="G150" s="208">
        <f>75899.5+52129.5+37227.5+14946.5+10905+6815+1085</f>
        <v>199008</v>
      </c>
      <c r="H150" s="209">
        <f>7028+5164+3832+1532+1190+1095+155</f>
        <v>19996</v>
      </c>
      <c r="I150" s="201">
        <f>IF(G150&lt;&gt;0,G150/H150,"")</f>
        <v>9.95239047809562</v>
      </c>
      <c r="J150" s="203">
        <v>1</v>
      </c>
    </row>
    <row r="151" spans="1:10" ht="15">
      <c r="A151" s="118">
        <v>147</v>
      </c>
      <c r="B151" s="198" t="s">
        <v>154</v>
      </c>
      <c r="C151" s="180">
        <v>40309</v>
      </c>
      <c r="D151" s="179" t="s">
        <v>320</v>
      </c>
      <c r="E151" s="181">
        <v>13</v>
      </c>
      <c r="F151" s="181">
        <v>12</v>
      </c>
      <c r="G151" s="204">
        <v>198720</v>
      </c>
      <c r="H151" s="205">
        <v>18926</v>
      </c>
      <c r="I151" s="199">
        <f>+G151/H151</f>
        <v>10.499841487900243</v>
      </c>
      <c r="J151" s="202"/>
    </row>
    <row r="152" spans="1:10" ht="15">
      <c r="A152" s="118">
        <v>148</v>
      </c>
      <c r="B152" s="198" t="s">
        <v>155</v>
      </c>
      <c r="C152" s="180">
        <v>40263</v>
      </c>
      <c r="D152" s="179" t="s">
        <v>322</v>
      </c>
      <c r="E152" s="181">
        <v>30</v>
      </c>
      <c r="F152" s="181">
        <v>14</v>
      </c>
      <c r="G152" s="204">
        <v>196431.5</v>
      </c>
      <c r="H152" s="205">
        <v>22673</v>
      </c>
      <c r="I152" s="199">
        <v>8.663674855555065</v>
      </c>
      <c r="J152" s="202"/>
    </row>
    <row r="153" spans="1:10" ht="15">
      <c r="A153" s="118">
        <v>149</v>
      </c>
      <c r="B153" s="195" t="s">
        <v>156</v>
      </c>
      <c r="C153" s="192">
        <v>40480</v>
      </c>
      <c r="D153" s="175" t="s">
        <v>333</v>
      </c>
      <c r="E153" s="193">
        <v>135</v>
      </c>
      <c r="F153" s="193">
        <v>2</v>
      </c>
      <c r="G153" s="208">
        <f>151771.5+44278.5</f>
        <v>196050</v>
      </c>
      <c r="H153" s="209">
        <f>19003+7410</f>
        <v>26413</v>
      </c>
      <c r="I153" s="218">
        <f>+G153/H153</f>
        <v>7.422481353878772</v>
      </c>
      <c r="J153" s="202">
        <v>1</v>
      </c>
    </row>
    <row r="154" spans="1:10" ht="15">
      <c r="A154" s="118">
        <v>150</v>
      </c>
      <c r="B154" s="198" t="s">
        <v>429</v>
      </c>
      <c r="C154" s="180">
        <v>40291</v>
      </c>
      <c r="D154" s="179" t="s">
        <v>322</v>
      </c>
      <c r="E154" s="181">
        <v>12</v>
      </c>
      <c r="F154" s="181">
        <v>21</v>
      </c>
      <c r="G154" s="204">
        <f>177949.5+5454.5+2200.5+1155+210+2752+1313</f>
        <v>191034.5</v>
      </c>
      <c r="H154" s="205">
        <f>19461+622+289+165+33+656+218</f>
        <v>21444</v>
      </c>
      <c r="I154" s="199">
        <f>G154/H154</f>
        <v>8.908529192314866</v>
      </c>
      <c r="J154" s="202"/>
    </row>
    <row r="155" spans="1:10" ht="15">
      <c r="A155" s="118">
        <v>151</v>
      </c>
      <c r="B155" s="198" t="s">
        <v>157</v>
      </c>
      <c r="C155" s="180">
        <v>40354</v>
      </c>
      <c r="D155" s="179" t="s">
        <v>335</v>
      </c>
      <c r="E155" s="181">
        <v>19</v>
      </c>
      <c r="F155" s="181">
        <v>13</v>
      </c>
      <c r="G155" s="204">
        <v>190895</v>
      </c>
      <c r="H155" s="205">
        <v>17697</v>
      </c>
      <c r="I155" s="199">
        <f>+G155/H155</f>
        <v>10.786856529355259</v>
      </c>
      <c r="J155" s="202"/>
    </row>
    <row r="156" spans="1:10" ht="15">
      <c r="A156" s="118">
        <v>152</v>
      </c>
      <c r="B156" s="198" t="s">
        <v>369</v>
      </c>
      <c r="C156" s="180">
        <v>40235</v>
      </c>
      <c r="D156" s="179" t="s">
        <v>321</v>
      </c>
      <c r="E156" s="181">
        <v>27</v>
      </c>
      <c r="F156" s="181">
        <v>14</v>
      </c>
      <c r="G156" s="204">
        <v>179663</v>
      </c>
      <c r="H156" s="205">
        <v>15565</v>
      </c>
      <c r="I156" s="199">
        <f>+G156/H156</f>
        <v>11.542756183745583</v>
      </c>
      <c r="J156" s="202"/>
    </row>
    <row r="157" spans="1:10" ht="15">
      <c r="A157" s="118">
        <v>153</v>
      </c>
      <c r="B157" s="198" t="s">
        <v>298</v>
      </c>
      <c r="C157" s="180">
        <v>40452</v>
      </c>
      <c r="D157" s="179" t="s">
        <v>444</v>
      </c>
      <c r="E157" s="181">
        <v>67</v>
      </c>
      <c r="F157" s="181">
        <v>6</v>
      </c>
      <c r="G157" s="214">
        <f>148907+7057+8529+4040+573.5</f>
        <v>169106.5</v>
      </c>
      <c r="H157" s="209">
        <f>14954+1128+1323+621+141</f>
        <v>18167</v>
      </c>
      <c r="I157" s="201">
        <f>IF(G157&lt;&gt;0,G157/H157,"")</f>
        <v>9.308443881763637</v>
      </c>
      <c r="J157" s="203">
        <v>1</v>
      </c>
    </row>
    <row r="158" spans="1:10" ht="15">
      <c r="A158" s="118">
        <v>154</v>
      </c>
      <c r="B158" s="195" t="s">
        <v>158</v>
      </c>
      <c r="C158" s="169">
        <v>40284</v>
      </c>
      <c r="D158" s="168" t="s">
        <v>322</v>
      </c>
      <c r="E158" s="170">
        <v>61</v>
      </c>
      <c r="F158" s="170">
        <v>8</v>
      </c>
      <c r="G158" s="204">
        <f>79187.5+46608+16142.5+7651.5+6684+2420+3260.5+1046</f>
        <v>163000</v>
      </c>
      <c r="H158" s="205">
        <f>8877+5736+2665+1508+1216+433+578+184</f>
        <v>21197</v>
      </c>
      <c r="I158" s="199">
        <f>G158/H158</f>
        <v>7.689767419917913</v>
      </c>
      <c r="J158" s="202"/>
    </row>
    <row r="159" spans="1:10" ht="15">
      <c r="A159" s="118">
        <v>155</v>
      </c>
      <c r="B159" s="403" t="s">
        <v>287</v>
      </c>
      <c r="C159" s="169">
        <v>40354</v>
      </c>
      <c r="D159" s="400" t="s">
        <v>322</v>
      </c>
      <c r="E159" s="170">
        <v>20</v>
      </c>
      <c r="F159" s="170">
        <v>20</v>
      </c>
      <c r="G159" s="210">
        <v>162202</v>
      </c>
      <c r="H159" s="211">
        <v>21129</v>
      </c>
      <c r="I159" s="196">
        <v>7.48588906460956</v>
      </c>
      <c r="J159" s="292"/>
    </row>
    <row r="160" spans="1:10" ht="15">
      <c r="A160" s="118">
        <v>156</v>
      </c>
      <c r="B160" s="195" t="s">
        <v>95</v>
      </c>
      <c r="C160" s="169">
        <v>40494</v>
      </c>
      <c r="D160" s="176" t="s">
        <v>320</v>
      </c>
      <c r="E160" s="170">
        <v>51</v>
      </c>
      <c r="F160" s="170">
        <v>2</v>
      </c>
      <c r="G160" s="208">
        <v>158828</v>
      </c>
      <c r="H160" s="209">
        <v>17550</v>
      </c>
      <c r="I160" s="196">
        <f>+G160/H160</f>
        <v>9.05002849002849</v>
      </c>
      <c r="J160" s="203"/>
    </row>
    <row r="161" spans="1:10" ht="15">
      <c r="A161" s="118">
        <v>157</v>
      </c>
      <c r="B161" s="198" t="s">
        <v>167</v>
      </c>
      <c r="C161" s="169">
        <v>40277</v>
      </c>
      <c r="D161" s="176" t="s">
        <v>266</v>
      </c>
      <c r="E161" s="170">
        <v>9</v>
      </c>
      <c r="F161" s="170">
        <v>11</v>
      </c>
      <c r="G161" s="208">
        <v>158450</v>
      </c>
      <c r="H161" s="209">
        <v>23720</v>
      </c>
      <c r="I161" s="196">
        <f>+G161/H161</f>
        <v>6.680016863406408</v>
      </c>
      <c r="J161" s="202"/>
    </row>
    <row r="162" spans="1:10" ht="15">
      <c r="A162" s="118">
        <v>158</v>
      </c>
      <c r="B162" s="198" t="s">
        <v>168</v>
      </c>
      <c r="C162" s="180">
        <v>40410</v>
      </c>
      <c r="D162" s="179" t="s">
        <v>333</v>
      </c>
      <c r="E162" s="181">
        <v>40</v>
      </c>
      <c r="F162" s="181">
        <v>10</v>
      </c>
      <c r="G162" s="204">
        <f>61140.5+34139+18315.5+20997.5+10821+3068+3153+2528+1267+763</f>
        <v>156192.5</v>
      </c>
      <c r="H162" s="205">
        <f>6231+3812+2421+2950+1621+481+481+388+341+139</f>
        <v>18865</v>
      </c>
      <c r="I162" s="199">
        <f>+G162/H162</f>
        <v>8.279485820302147</v>
      </c>
      <c r="J162" s="202"/>
    </row>
    <row r="163" spans="1:10" ht="15">
      <c r="A163" s="118">
        <v>159</v>
      </c>
      <c r="B163" s="198" t="s">
        <v>169</v>
      </c>
      <c r="C163" s="180">
        <v>40319</v>
      </c>
      <c r="D163" s="179" t="s">
        <v>333</v>
      </c>
      <c r="E163" s="181">
        <v>55</v>
      </c>
      <c r="F163" s="181">
        <v>17</v>
      </c>
      <c r="G163" s="204">
        <f>65145+41204+28599.5+10743+2405+0.5+2368+274+127+891+124+545+573+114+1943+465+416+216</f>
        <v>156153</v>
      </c>
      <c r="H163" s="205">
        <f>6350+4165+3879+1659+455+341+36+22+135+21+109+98+19+321+74+58+35</f>
        <v>17777</v>
      </c>
      <c r="I163" s="199">
        <f>+G163/H163</f>
        <v>8.783990549586544</v>
      </c>
      <c r="J163" s="202"/>
    </row>
    <row r="164" spans="1:10" ht="15">
      <c r="A164" s="118">
        <v>160</v>
      </c>
      <c r="B164" s="198" t="s">
        <v>170</v>
      </c>
      <c r="C164" s="180">
        <v>40431</v>
      </c>
      <c r="D164" s="179" t="s">
        <v>320</v>
      </c>
      <c r="E164" s="181">
        <v>50</v>
      </c>
      <c r="F164" s="181">
        <v>5</v>
      </c>
      <c r="G164" s="204">
        <v>156001</v>
      </c>
      <c r="H164" s="205">
        <v>16091</v>
      </c>
      <c r="I164" s="199">
        <f>+G164/H164</f>
        <v>9.694922627555776</v>
      </c>
      <c r="J164" s="202"/>
    </row>
    <row r="165" spans="1:10" ht="15">
      <c r="A165" s="118">
        <v>161</v>
      </c>
      <c r="B165" s="198" t="s">
        <v>316</v>
      </c>
      <c r="C165" s="180">
        <v>40193</v>
      </c>
      <c r="D165" s="179" t="s">
        <v>322</v>
      </c>
      <c r="E165" s="181">
        <v>17</v>
      </c>
      <c r="F165" s="181">
        <v>15</v>
      </c>
      <c r="G165" s="204">
        <f>1080+95415+33267.75+2666+272+903+421+2653+1780+747+58+1376+1549+190+3317+520.5</f>
        <v>146215.25</v>
      </c>
      <c r="H165" s="205">
        <f>108+7515+2837+363+32+176+93+719+445+99+9+205+217+27+387+69</f>
        <v>13301</v>
      </c>
      <c r="I165" s="199">
        <f>G165/H165</f>
        <v>10.992801293135855</v>
      </c>
      <c r="J165" s="202"/>
    </row>
    <row r="166" spans="1:10" ht="15">
      <c r="A166" s="118">
        <v>162</v>
      </c>
      <c r="B166" s="198" t="s">
        <v>171</v>
      </c>
      <c r="C166" s="180">
        <v>40284</v>
      </c>
      <c r="D166" s="179" t="s">
        <v>322</v>
      </c>
      <c r="E166" s="181">
        <v>14</v>
      </c>
      <c r="F166" s="181">
        <v>15</v>
      </c>
      <c r="G166" s="204">
        <f>76493+31029+16263+2973.5+5950+1072+478+1719+278+273+129+687+448+1139+1522</f>
        <v>140453.5</v>
      </c>
      <c r="H166" s="205">
        <f>5580+2331+1364+295+742+216+64+225+39+39+18+75+68+125+169</f>
        <v>11350</v>
      </c>
      <c r="I166" s="199">
        <f>G166/H166</f>
        <v>12.374757709251101</v>
      </c>
      <c r="J166" s="202"/>
    </row>
    <row r="167" spans="1:10" ht="15">
      <c r="A167" s="118">
        <v>163</v>
      </c>
      <c r="B167" s="195" t="s">
        <v>172</v>
      </c>
      <c r="C167" s="169">
        <v>40438</v>
      </c>
      <c r="D167" s="168" t="s">
        <v>322</v>
      </c>
      <c r="E167" s="170">
        <v>19</v>
      </c>
      <c r="F167" s="170">
        <v>10</v>
      </c>
      <c r="G167" s="206">
        <f>56752.5+38871+22868.5+4839+2786+2829.5+8012+670+1368+140</f>
        <v>139136.5</v>
      </c>
      <c r="H167" s="207">
        <f>4639+3072+2103+531+316+368+936+83+203+20</f>
        <v>12271</v>
      </c>
      <c r="I167" s="197">
        <f>G167/H167</f>
        <v>11.338643957297693</v>
      </c>
      <c r="J167" s="202"/>
    </row>
    <row r="168" spans="1:10" ht="15">
      <c r="A168" s="118">
        <v>164</v>
      </c>
      <c r="B168" s="198" t="s">
        <v>220</v>
      </c>
      <c r="C168" s="180">
        <v>40389</v>
      </c>
      <c r="D168" s="179" t="s">
        <v>322</v>
      </c>
      <c r="E168" s="181">
        <v>19</v>
      </c>
      <c r="F168" s="181">
        <v>12</v>
      </c>
      <c r="G168" s="204">
        <f>69032+15425.5+9802+4755.5+7049.5+3610.5+8536+6024.5+2322+245+405.5</f>
        <v>127208</v>
      </c>
      <c r="H168" s="205">
        <f>5509+1589+1417+704+842+602+1038+829+323+37+46</f>
        <v>12936</v>
      </c>
      <c r="I168" s="199">
        <f>G168/H168</f>
        <v>9.833642547928262</v>
      </c>
      <c r="J168" s="202"/>
    </row>
    <row r="169" spans="1:10" ht="15">
      <c r="A169" s="118">
        <v>165</v>
      </c>
      <c r="B169" s="195" t="s">
        <v>300</v>
      </c>
      <c r="C169" s="169">
        <v>40284</v>
      </c>
      <c r="D169" s="168" t="s">
        <v>322</v>
      </c>
      <c r="E169" s="170">
        <v>14</v>
      </c>
      <c r="F169" s="170">
        <v>20</v>
      </c>
      <c r="G169" s="206">
        <f>45403.5+26416+19522+5885+5520+2576+2604+1325+840+957.5+196+2970+1095+960+1330+1159+1173+1901+475+2019.5</f>
        <v>124327.5</v>
      </c>
      <c r="H169" s="207">
        <f>4053+2594+2599+732+962+495+470+215+146+347+28+743+229+194+270+236+188+475+119+505</f>
        <v>15600</v>
      </c>
      <c r="I169" s="197">
        <f>G169/H169</f>
        <v>7.969711538461539</v>
      </c>
      <c r="J169" s="202">
        <v>1</v>
      </c>
    </row>
    <row r="170" spans="1:10" ht="15">
      <c r="A170" s="118">
        <v>166</v>
      </c>
      <c r="B170" s="195" t="s">
        <v>387</v>
      </c>
      <c r="C170" s="192">
        <v>40438</v>
      </c>
      <c r="D170" s="175" t="s">
        <v>333</v>
      </c>
      <c r="E170" s="193">
        <v>30</v>
      </c>
      <c r="F170" s="193">
        <v>8</v>
      </c>
      <c r="G170" s="208">
        <f>49044.5+31343.5+17567+9183+6613.5+3233+3011+150</f>
        <v>120145.5</v>
      </c>
      <c r="H170" s="209">
        <f>4738+3026+2241+1330+1032+509+474+25</f>
        <v>13375</v>
      </c>
      <c r="I170" s="218">
        <f>+G170/H170</f>
        <v>8.982841121495326</v>
      </c>
      <c r="J170" s="202"/>
    </row>
    <row r="171" spans="1:10" ht="15">
      <c r="A171" s="118">
        <v>167</v>
      </c>
      <c r="B171" s="198" t="s">
        <v>301</v>
      </c>
      <c r="C171" s="180">
        <v>40431</v>
      </c>
      <c r="D171" s="179" t="s">
        <v>444</v>
      </c>
      <c r="E171" s="181">
        <v>60</v>
      </c>
      <c r="F171" s="181">
        <v>8</v>
      </c>
      <c r="G171" s="214">
        <f>115481+1579+1872+812</f>
        <v>119744</v>
      </c>
      <c r="H171" s="209">
        <f>15601+273+303+123</f>
        <v>16300</v>
      </c>
      <c r="I171" s="201">
        <f>IF(G171&lt;&gt;0,G171/H171,"")</f>
        <v>7.346257668711656</v>
      </c>
      <c r="J171" s="203">
        <v>1</v>
      </c>
    </row>
    <row r="172" spans="1:10" ht="15">
      <c r="A172" s="118">
        <v>168</v>
      </c>
      <c r="B172" s="195" t="s">
        <v>401</v>
      </c>
      <c r="C172" s="192">
        <v>40459</v>
      </c>
      <c r="D172" s="175" t="s">
        <v>333</v>
      </c>
      <c r="E172" s="193">
        <v>40</v>
      </c>
      <c r="F172" s="193">
        <v>4</v>
      </c>
      <c r="G172" s="208">
        <f>52866+28653.5+23569+12232.5</f>
        <v>117321</v>
      </c>
      <c r="H172" s="209">
        <f>5047+3320+3230+1605</f>
        <v>13202</v>
      </c>
      <c r="I172" s="199">
        <f>+G172/H172</f>
        <v>8.886608089683381</v>
      </c>
      <c r="J172" s="202"/>
    </row>
    <row r="173" spans="1:10" ht="15">
      <c r="A173" s="118">
        <v>169</v>
      </c>
      <c r="B173" s="198" t="s">
        <v>435</v>
      </c>
      <c r="C173" s="180">
        <v>40179</v>
      </c>
      <c r="D173" s="179" t="s">
        <v>322</v>
      </c>
      <c r="E173" s="181">
        <v>8</v>
      </c>
      <c r="F173" s="181">
        <v>19</v>
      </c>
      <c r="G173" s="204">
        <f>61026+19560+4475+1071+144+9277.5+1552+556+2995+1900+2085+1949.5+2324+773+1997+890+271+143+460</f>
        <v>113449</v>
      </c>
      <c r="H173" s="205">
        <f>4540+1674+518+171+26+988+221+91+392+265+285+283+369+141+477+103+49+20+46</f>
        <v>10659</v>
      </c>
      <c r="I173" s="199">
        <f>G173/H173</f>
        <v>10.64349376114082</v>
      </c>
      <c r="J173" s="202"/>
    </row>
    <row r="174" spans="1:10" ht="15">
      <c r="A174" s="118">
        <v>170</v>
      </c>
      <c r="B174" s="198" t="s">
        <v>173</v>
      </c>
      <c r="C174" s="180">
        <v>40291</v>
      </c>
      <c r="D174" s="179" t="s">
        <v>335</v>
      </c>
      <c r="E174" s="181">
        <v>30</v>
      </c>
      <c r="F174" s="181">
        <v>18</v>
      </c>
      <c r="G174" s="204">
        <v>108880</v>
      </c>
      <c r="H174" s="205">
        <v>11922</v>
      </c>
      <c r="I174" s="199">
        <f>+G174/H174</f>
        <v>9.132695856399932</v>
      </c>
      <c r="J174" s="202"/>
    </row>
    <row r="175" spans="1:10" ht="15">
      <c r="A175" s="118">
        <v>171</v>
      </c>
      <c r="B175" s="198" t="s">
        <v>219</v>
      </c>
      <c r="C175" s="180">
        <v>40396</v>
      </c>
      <c r="D175" s="179" t="s">
        <v>320</v>
      </c>
      <c r="E175" s="181">
        <v>20</v>
      </c>
      <c r="F175" s="181">
        <v>10</v>
      </c>
      <c r="G175" s="204">
        <v>108069</v>
      </c>
      <c r="H175" s="205">
        <v>10120</v>
      </c>
      <c r="I175" s="199">
        <f>+G175/H175</f>
        <v>10.678754940711462</v>
      </c>
      <c r="J175" s="202"/>
    </row>
    <row r="176" spans="1:10" ht="15">
      <c r="A176" s="118">
        <v>172</v>
      </c>
      <c r="B176" s="198" t="s">
        <v>175</v>
      </c>
      <c r="C176" s="180">
        <v>40480</v>
      </c>
      <c r="D176" s="179" t="s">
        <v>444</v>
      </c>
      <c r="E176" s="181">
        <v>71</v>
      </c>
      <c r="F176" s="181">
        <v>4</v>
      </c>
      <c r="G176" s="214">
        <f>72774.5+23673+5827+3625</f>
        <v>105899.5</v>
      </c>
      <c r="H176" s="209">
        <f>8533+3652+916+601</f>
        <v>13702</v>
      </c>
      <c r="I176" s="201">
        <f>IF(G176&lt;&gt;0,G176/H176,"")</f>
        <v>7.728762224492775</v>
      </c>
      <c r="J176" s="203">
        <v>1</v>
      </c>
    </row>
    <row r="177" spans="1:10" ht="15">
      <c r="A177" s="118">
        <v>173</v>
      </c>
      <c r="B177" s="195" t="s">
        <v>26</v>
      </c>
      <c r="C177" s="169">
        <v>40487</v>
      </c>
      <c r="D177" s="176" t="s">
        <v>320</v>
      </c>
      <c r="E177" s="170">
        <v>205</v>
      </c>
      <c r="F177" s="170">
        <v>3</v>
      </c>
      <c r="G177" s="208">
        <v>105477</v>
      </c>
      <c r="H177" s="209">
        <v>119169</v>
      </c>
      <c r="I177" s="196">
        <f>+G177/H177</f>
        <v>0.8851043476071797</v>
      </c>
      <c r="J177" s="203"/>
    </row>
    <row r="178" spans="1:10" ht="15">
      <c r="A178" s="118">
        <v>174</v>
      </c>
      <c r="B178" s="195" t="s">
        <v>174</v>
      </c>
      <c r="C178" s="169">
        <v>40396</v>
      </c>
      <c r="D178" s="168" t="s">
        <v>322</v>
      </c>
      <c r="E178" s="170">
        <v>9</v>
      </c>
      <c r="F178" s="170">
        <v>13</v>
      </c>
      <c r="G178" s="206">
        <f>35838.5+19069+5228+4095+10576+4310+8041+6431+902.5+301+689.5+1849+82</f>
        <v>97412.5</v>
      </c>
      <c r="H178" s="207">
        <f>2652+1665+667+612+1102+466+1297+767+123+49+191+458+16</f>
        <v>10065</v>
      </c>
      <c r="I178" s="197">
        <f>G178/H178</f>
        <v>9.678340784898161</v>
      </c>
      <c r="J178" s="202"/>
    </row>
    <row r="179" spans="1:10" ht="15">
      <c r="A179" s="118">
        <v>175</v>
      </c>
      <c r="B179" s="198" t="s">
        <v>302</v>
      </c>
      <c r="C179" s="180">
        <v>40249</v>
      </c>
      <c r="D179" s="216" t="s">
        <v>321</v>
      </c>
      <c r="E179" s="181">
        <v>26</v>
      </c>
      <c r="F179" s="181">
        <v>14</v>
      </c>
      <c r="G179" s="204">
        <v>97094</v>
      </c>
      <c r="H179" s="205">
        <v>11937</v>
      </c>
      <c r="I179" s="199">
        <f>+G179/H179</f>
        <v>8.133869481444249</v>
      </c>
      <c r="J179" s="202">
        <v>1</v>
      </c>
    </row>
    <row r="180" spans="1:10" ht="15">
      <c r="A180" s="118">
        <v>176</v>
      </c>
      <c r="B180" s="195" t="s">
        <v>501</v>
      </c>
      <c r="C180" s="169">
        <v>40298</v>
      </c>
      <c r="D180" s="168" t="s">
        <v>322</v>
      </c>
      <c r="E180" s="170">
        <v>10</v>
      </c>
      <c r="F180" s="170">
        <v>20</v>
      </c>
      <c r="G180" s="206">
        <f>83892.5+865+192+477+220.5+1901+2138.5</f>
        <v>89686.5</v>
      </c>
      <c r="H180" s="207">
        <f>10300+144+24+59+48+475+534</f>
        <v>11584</v>
      </c>
      <c r="I180" s="197">
        <f>G180/H180</f>
        <v>7.74227382596685</v>
      </c>
      <c r="J180" s="202"/>
    </row>
    <row r="181" spans="1:10" ht="15">
      <c r="A181" s="118">
        <v>177</v>
      </c>
      <c r="B181" s="195" t="s">
        <v>176</v>
      </c>
      <c r="C181" s="169">
        <v>40396</v>
      </c>
      <c r="D181" s="168" t="s">
        <v>322</v>
      </c>
      <c r="E181" s="170">
        <v>4</v>
      </c>
      <c r="F181" s="170">
        <v>16</v>
      </c>
      <c r="G181" s="206">
        <f>14959+9646+7725+4386+3960+14571+6049+4818+2605+3811+4797+6372+2996+165+950.5+1598.5</f>
        <v>89409</v>
      </c>
      <c r="H181" s="207">
        <f>1646+1123+1125+547+522+2218+896+595+438+656+743+1047+452+23+148+219</f>
        <v>12398</v>
      </c>
      <c r="I181" s="197">
        <f>G181/H181</f>
        <v>7.211566381674464</v>
      </c>
      <c r="J181" s="202"/>
    </row>
    <row r="182" spans="1:10" ht="15">
      <c r="A182" s="118">
        <v>178</v>
      </c>
      <c r="B182" s="198" t="s">
        <v>431</v>
      </c>
      <c r="C182" s="180">
        <v>40186</v>
      </c>
      <c r="D182" s="179" t="s">
        <v>322</v>
      </c>
      <c r="E182" s="181">
        <v>4</v>
      </c>
      <c r="F182" s="181">
        <v>35</v>
      </c>
      <c r="G182" s="204">
        <f>83443.75+1230+270+181+132+1991+2160.5</f>
        <v>89408.25</v>
      </c>
      <c r="H182" s="205">
        <f>11555+209+47+34+22+311+532</f>
        <v>12710</v>
      </c>
      <c r="I182" s="199">
        <f>G182/H182</f>
        <v>7.034480723839496</v>
      </c>
      <c r="J182" s="202"/>
    </row>
    <row r="183" spans="1:10" ht="15">
      <c r="A183" s="118">
        <v>179</v>
      </c>
      <c r="B183" s="198" t="s">
        <v>440</v>
      </c>
      <c r="C183" s="169">
        <v>40249</v>
      </c>
      <c r="D183" s="176" t="s">
        <v>372</v>
      </c>
      <c r="E183" s="170" t="s">
        <v>122</v>
      </c>
      <c r="F183" s="170" t="s">
        <v>469</v>
      </c>
      <c r="G183" s="208">
        <v>88294</v>
      </c>
      <c r="H183" s="209">
        <v>7677</v>
      </c>
      <c r="I183" s="196">
        <f>+G183/H183</f>
        <v>11.501107203334636</v>
      </c>
      <c r="J183" s="202"/>
    </row>
    <row r="184" spans="1:10" ht="15">
      <c r="A184" s="118">
        <v>180</v>
      </c>
      <c r="B184" s="195" t="s">
        <v>176</v>
      </c>
      <c r="C184" s="399">
        <v>40396</v>
      </c>
      <c r="D184" s="400" t="s">
        <v>322</v>
      </c>
      <c r="E184" s="401">
        <v>4</v>
      </c>
      <c r="F184" s="401">
        <v>15</v>
      </c>
      <c r="G184" s="210">
        <v>87810.5</v>
      </c>
      <c r="H184" s="211">
        <v>12179</v>
      </c>
      <c r="I184" s="196">
        <v>7.209992610230726</v>
      </c>
      <c r="J184" s="292"/>
    </row>
    <row r="185" spans="1:10" ht="15">
      <c r="A185" s="118">
        <v>181</v>
      </c>
      <c r="B185" s="195" t="s">
        <v>388</v>
      </c>
      <c r="C185" s="169">
        <v>40438</v>
      </c>
      <c r="D185" s="176" t="s">
        <v>320</v>
      </c>
      <c r="E185" s="170">
        <v>9</v>
      </c>
      <c r="F185" s="170">
        <v>10</v>
      </c>
      <c r="G185" s="208">
        <v>85343</v>
      </c>
      <c r="H185" s="209">
        <v>9507</v>
      </c>
      <c r="I185" s="196">
        <f>+G185/H185</f>
        <v>8.976859156411065</v>
      </c>
      <c r="J185" s="203"/>
    </row>
    <row r="186" spans="1:10" ht="15">
      <c r="A186" s="118">
        <v>182</v>
      </c>
      <c r="B186" s="198" t="s">
        <v>303</v>
      </c>
      <c r="C186" s="180">
        <v>40438</v>
      </c>
      <c r="D186" s="179" t="s">
        <v>321</v>
      </c>
      <c r="E186" s="181">
        <v>27</v>
      </c>
      <c r="F186" s="181">
        <v>7</v>
      </c>
      <c r="G186" s="204">
        <v>74574</v>
      </c>
      <c r="H186" s="205">
        <v>9431</v>
      </c>
      <c r="I186" s="199">
        <f>+G186/H186</f>
        <v>7.907326900646803</v>
      </c>
      <c r="J186" s="202">
        <v>1</v>
      </c>
    </row>
    <row r="187" spans="1:10" ht="15">
      <c r="A187" s="118">
        <v>183</v>
      </c>
      <c r="B187" s="195" t="s">
        <v>177</v>
      </c>
      <c r="C187" s="169">
        <v>40361</v>
      </c>
      <c r="D187" s="168" t="s">
        <v>322</v>
      </c>
      <c r="E187" s="170">
        <v>6</v>
      </c>
      <c r="F187" s="170">
        <v>20</v>
      </c>
      <c r="G187" s="206">
        <f>31734.5+2495+3417.5+2230+4253.5+6248.5+6645.5+2963+2460+1992+953+1041+5017.5+952.5+785</f>
        <v>73188.5</v>
      </c>
      <c r="H187" s="207">
        <f>4397+343+476+344+617+862+852+433+387+315+184+181+719+153+109</f>
        <v>10372</v>
      </c>
      <c r="I187" s="197">
        <f>G187/H187</f>
        <v>7.056353644427304</v>
      </c>
      <c r="J187" s="202"/>
    </row>
    <row r="188" spans="1:10" ht="15">
      <c r="A188" s="118">
        <v>184</v>
      </c>
      <c r="B188" s="198" t="s">
        <v>178</v>
      </c>
      <c r="C188" s="180">
        <v>40312</v>
      </c>
      <c r="D188" s="179" t="s">
        <v>335</v>
      </c>
      <c r="E188" s="181">
        <v>10</v>
      </c>
      <c r="F188" s="181">
        <v>15</v>
      </c>
      <c r="G188" s="204">
        <v>68043</v>
      </c>
      <c r="H188" s="205">
        <v>7658</v>
      </c>
      <c r="I188" s="199">
        <f>+G188/H188</f>
        <v>8.885218072603813</v>
      </c>
      <c r="J188" s="202">
        <v>1</v>
      </c>
    </row>
    <row r="189" spans="1:10" ht="15">
      <c r="A189" s="118">
        <v>185</v>
      </c>
      <c r="B189" s="198" t="s">
        <v>291</v>
      </c>
      <c r="C189" s="180">
        <v>40361</v>
      </c>
      <c r="D189" s="179" t="s">
        <v>292</v>
      </c>
      <c r="E189" s="181">
        <v>15</v>
      </c>
      <c r="F189" s="181">
        <v>12</v>
      </c>
      <c r="G189" s="204">
        <v>63749</v>
      </c>
      <c r="H189" s="205">
        <v>6354</v>
      </c>
      <c r="I189" s="199">
        <f>+G189/H189</f>
        <v>10.032892666037142</v>
      </c>
      <c r="J189" s="202"/>
    </row>
    <row r="190" spans="1:10" ht="15">
      <c r="A190" s="118">
        <v>186</v>
      </c>
      <c r="B190" s="198" t="s">
        <v>179</v>
      </c>
      <c r="C190" s="180">
        <v>40284</v>
      </c>
      <c r="D190" s="179" t="s">
        <v>333</v>
      </c>
      <c r="E190" s="181">
        <v>32</v>
      </c>
      <c r="F190" s="181">
        <v>14</v>
      </c>
      <c r="G190" s="204">
        <f>25031+15339.5+12428.5+2261+270+108+687+1676+451+1016+1919+460+410+98</f>
        <v>62155</v>
      </c>
      <c r="H190" s="205">
        <f>2922+2015+1892+316+45+18+122+301+88+170+320+79+71+17</f>
        <v>8376</v>
      </c>
      <c r="I190" s="199">
        <f>+G190/H190</f>
        <v>7.420606494746896</v>
      </c>
      <c r="J190" s="202">
        <v>1</v>
      </c>
    </row>
    <row r="191" spans="1:10" ht="15">
      <c r="A191" s="118">
        <v>187</v>
      </c>
      <c r="B191" s="198" t="s">
        <v>441</v>
      </c>
      <c r="C191" s="180">
        <v>40249</v>
      </c>
      <c r="D191" s="179" t="s">
        <v>322</v>
      </c>
      <c r="E191" s="181">
        <v>1</v>
      </c>
      <c r="F191" s="181">
        <v>17</v>
      </c>
      <c r="G191" s="204">
        <f>13599.5+20829+12139+2892+1300+2783.5+2376+910+865.5+135.5+307+704+665+619+402+128+13.5+224</f>
        <v>60892.5</v>
      </c>
      <c r="H191" s="205">
        <f>894+1348+783+335+154+243+594+81+119+17+54+80+88+69+48+18+2+32</f>
        <v>4959</v>
      </c>
      <c r="I191" s="199">
        <f>G191/H191</f>
        <v>12.279189352692075</v>
      </c>
      <c r="J191" s="202"/>
    </row>
    <row r="192" spans="1:10" ht="15">
      <c r="A192" s="118">
        <v>188</v>
      </c>
      <c r="B192" s="195" t="s">
        <v>180</v>
      </c>
      <c r="C192" s="192">
        <v>40473</v>
      </c>
      <c r="D192" s="175" t="s">
        <v>333</v>
      </c>
      <c r="E192" s="193">
        <v>36</v>
      </c>
      <c r="F192" s="193">
        <v>5</v>
      </c>
      <c r="G192" s="208">
        <f>34961.5+23009.5+1351+805+533</f>
        <v>60660</v>
      </c>
      <c r="H192" s="209">
        <f>4408+3132+214+122+62</f>
        <v>7938</v>
      </c>
      <c r="I192" s="201">
        <f>IF(G192&lt;&gt;0,G192/H192,"")</f>
        <v>7.64172335600907</v>
      </c>
      <c r="J192" s="203">
        <v>1</v>
      </c>
    </row>
    <row r="193" spans="1:10" ht="15">
      <c r="A193" s="118">
        <v>189</v>
      </c>
      <c r="B193" s="198" t="s">
        <v>225</v>
      </c>
      <c r="C193" s="180">
        <v>40361</v>
      </c>
      <c r="D193" s="179" t="s">
        <v>285</v>
      </c>
      <c r="E193" s="181" t="s">
        <v>373</v>
      </c>
      <c r="F193" s="181" t="s">
        <v>420</v>
      </c>
      <c r="G193" s="204">
        <v>56991</v>
      </c>
      <c r="H193" s="205">
        <v>7439</v>
      </c>
      <c r="I193" s="199">
        <f>+G193/H193</f>
        <v>7.661110364296277</v>
      </c>
      <c r="J193" s="202"/>
    </row>
    <row r="194" spans="1:10" ht="15">
      <c r="A194" s="118">
        <v>190</v>
      </c>
      <c r="B194" s="198" t="s">
        <v>265</v>
      </c>
      <c r="C194" s="180">
        <v>40263</v>
      </c>
      <c r="D194" s="179" t="s">
        <v>324</v>
      </c>
      <c r="E194" s="181">
        <v>10</v>
      </c>
      <c r="F194" s="181">
        <v>9</v>
      </c>
      <c r="G194" s="204">
        <v>56599</v>
      </c>
      <c r="H194" s="205">
        <v>5098</v>
      </c>
      <c r="I194" s="199">
        <f>G194/H194</f>
        <v>11.102196939976462</v>
      </c>
      <c r="J194" s="202"/>
    </row>
    <row r="195" spans="1:10" ht="15">
      <c r="A195" s="118">
        <v>191</v>
      </c>
      <c r="B195" s="198" t="s">
        <v>181</v>
      </c>
      <c r="C195" s="180">
        <v>40424</v>
      </c>
      <c r="D195" s="179" t="s">
        <v>444</v>
      </c>
      <c r="E195" s="181">
        <v>10</v>
      </c>
      <c r="F195" s="181">
        <v>9</v>
      </c>
      <c r="G195" s="214">
        <f>52135.5+872+542+402</f>
        <v>53951.5</v>
      </c>
      <c r="H195" s="217">
        <f>6807+129+91+65</f>
        <v>7092</v>
      </c>
      <c r="I195" s="201">
        <f>IF(G195&lt;&gt;0,G195/H195,"")</f>
        <v>7.607374506486182</v>
      </c>
      <c r="J195" s="203">
        <v>1</v>
      </c>
    </row>
    <row r="196" spans="1:10" ht="15">
      <c r="A196" s="118">
        <v>192</v>
      </c>
      <c r="B196" s="198" t="s">
        <v>366</v>
      </c>
      <c r="C196" s="169">
        <v>40228</v>
      </c>
      <c r="D196" s="176" t="s">
        <v>325</v>
      </c>
      <c r="E196" s="170">
        <v>15</v>
      </c>
      <c r="F196" s="170">
        <v>13</v>
      </c>
      <c r="G196" s="208">
        <v>52635</v>
      </c>
      <c r="H196" s="209">
        <v>5884</v>
      </c>
      <c r="I196" s="196">
        <f>G196/H196</f>
        <v>8.945445275322909</v>
      </c>
      <c r="J196" s="202"/>
    </row>
    <row r="197" spans="1:10" ht="15">
      <c r="A197" s="118">
        <v>193</v>
      </c>
      <c r="B197" s="195" t="s">
        <v>153</v>
      </c>
      <c r="C197" s="169">
        <v>40340</v>
      </c>
      <c r="D197" s="168" t="s">
        <v>322</v>
      </c>
      <c r="E197" s="170">
        <v>4</v>
      </c>
      <c r="F197" s="170">
        <v>19</v>
      </c>
      <c r="G197" s="206">
        <f>44210.5+417.5+781.5+1518+318+953+533+2552.5+180+94+85</f>
        <v>51643</v>
      </c>
      <c r="H197" s="207">
        <f>5336+57+129+237+46+126+97+699+50+18+17</f>
        <v>6812</v>
      </c>
      <c r="I197" s="197">
        <f>G197/H197</f>
        <v>7.581180270111568</v>
      </c>
      <c r="J197" s="202"/>
    </row>
    <row r="198" spans="1:10" ht="15">
      <c r="A198" s="118">
        <v>194</v>
      </c>
      <c r="B198" s="458" t="s">
        <v>314</v>
      </c>
      <c r="C198" s="438">
        <v>40480</v>
      </c>
      <c r="D198" s="437" t="s">
        <v>324</v>
      </c>
      <c r="E198" s="439">
        <v>15</v>
      </c>
      <c r="F198" s="439">
        <v>4</v>
      </c>
      <c r="G198" s="440">
        <v>50095</v>
      </c>
      <c r="H198" s="441">
        <v>4725</v>
      </c>
      <c r="I198" s="459">
        <v>10.602116402116403</v>
      </c>
      <c r="J198" s="203"/>
    </row>
    <row r="199" spans="1:10" ht="15">
      <c r="A199" s="118">
        <v>195</v>
      </c>
      <c r="B199" s="198" t="s">
        <v>430</v>
      </c>
      <c r="C199" s="180">
        <v>40186</v>
      </c>
      <c r="D199" s="179" t="s">
        <v>322</v>
      </c>
      <c r="E199" s="181">
        <v>4</v>
      </c>
      <c r="F199" s="181">
        <v>29</v>
      </c>
      <c r="G199" s="204">
        <f>47709+373+476+303</f>
        <v>48861</v>
      </c>
      <c r="H199" s="205">
        <f>6734+51+90+55</f>
        <v>6930</v>
      </c>
      <c r="I199" s="199">
        <v>7.084793584793585</v>
      </c>
      <c r="J199" s="202"/>
    </row>
    <row r="200" spans="1:10" ht="15">
      <c r="A200" s="118">
        <v>196</v>
      </c>
      <c r="B200" s="200" t="s">
        <v>182</v>
      </c>
      <c r="C200" s="180">
        <v>40284</v>
      </c>
      <c r="D200" s="186" t="s">
        <v>335</v>
      </c>
      <c r="E200" s="187">
        <v>1</v>
      </c>
      <c r="F200" s="187">
        <v>21</v>
      </c>
      <c r="G200" s="212">
        <v>47577</v>
      </c>
      <c r="H200" s="213">
        <v>4083</v>
      </c>
      <c r="I200" s="201">
        <f>+G200/H200</f>
        <v>11.652461425422484</v>
      </c>
      <c r="J200" s="202"/>
    </row>
    <row r="201" spans="1:10" ht="15">
      <c r="A201" s="118">
        <v>197</v>
      </c>
      <c r="B201" s="198" t="s">
        <v>337</v>
      </c>
      <c r="C201" s="180">
        <v>40333</v>
      </c>
      <c r="D201" s="179" t="s">
        <v>322</v>
      </c>
      <c r="E201" s="181">
        <v>5</v>
      </c>
      <c r="F201" s="181">
        <v>16</v>
      </c>
      <c r="G201" s="204">
        <f>36730.5+564+1413+1445+1680+605+2036+437</f>
        <v>44910.5</v>
      </c>
      <c r="H201" s="205">
        <f>3877+97+237+234+280+110+317+78</f>
        <v>5230</v>
      </c>
      <c r="I201" s="199">
        <f>G201/H201</f>
        <v>8.587093690248565</v>
      </c>
      <c r="J201" s="202"/>
    </row>
    <row r="202" spans="1:10" ht="15">
      <c r="A202" s="118">
        <v>198</v>
      </c>
      <c r="B202" s="195" t="s">
        <v>318</v>
      </c>
      <c r="C202" s="169">
        <v>40312</v>
      </c>
      <c r="D202" s="168" t="s">
        <v>322</v>
      </c>
      <c r="E202" s="170">
        <v>8</v>
      </c>
      <c r="F202" s="170">
        <v>17</v>
      </c>
      <c r="G202" s="206">
        <f>41764.5+663+13.5+1901+220.5</f>
        <v>44562.5</v>
      </c>
      <c r="H202" s="207">
        <f>4847+89+1+475+63</f>
        <v>5475</v>
      </c>
      <c r="I202" s="197">
        <f>G202/H202</f>
        <v>8.139269406392694</v>
      </c>
      <c r="J202" s="202"/>
    </row>
    <row r="203" spans="1:10" ht="15">
      <c r="A203" s="118">
        <v>199</v>
      </c>
      <c r="B203" s="198" t="s">
        <v>183</v>
      </c>
      <c r="C203" s="180">
        <v>40312</v>
      </c>
      <c r="D203" s="179" t="s">
        <v>322</v>
      </c>
      <c r="E203" s="181">
        <v>8</v>
      </c>
      <c r="F203" s="181">
        <v>13</v>
      </c>
      <c r="G203" s="204">
        <f>11419+8785+5156+2785+1106+3896+1423+288+1100+1758+52+1782+1901</f>
        <v>41451</v>
      </c>
      <c r="H203" s="205">
        <f>1790+1231+837+402+194+550+230+52+227+418+8+445+475</f>
        <v>6859</v>
      </c>
      <c r="I203" s="199">
        <f>G203/H203</f>
        <v>6.043300772707392</v>
      </c>
      <c r="J203" s="202">
        <v>1</v>
      </c>
    </row>
    <row r="204" spans="1:10" ht="15">
      <c r="A204" s="118">
        <v>200</v>
      </c>
      <c r="B204" s="198" t="s">
        <v>304</v>
      </c>
      <c r="C204" s="180">
        <v>40347</v>
      </c>
      <c r="D204" s="179" t="s">
        <v>444</v>
      </c>
      <c r="E204" s="181">
        <v>10</v>
      </c>
      <c r="F204" s="181">
        <v>17</v>
      </c>
      <c r="G204" s="204">
        <f>39374+759+170</f>
        <v>40303</v>
      </c>
      <c r="H204" s="205">
        <f>5757+152+34</f>
        <v>5943</v>
      </c>
      <c r="I204" s="199">
        <f>IF(G204&lt;&gt;0,G204/H204,"")</f>
        <v>6.781591788658926</v>
      </c>
      <c r="J204" s="202">
        <v>1</v>
      </c>
    </row>
    <row r="205" spans="1:10" ht="15">
      <c r="A205" s="118">
        <v>201</v>
      </c>
      <c r="B205" s="198" t="s">
        <v>500</v>
      </c>
      <c r="C205" s="169">
        <v>40298</v>
      </c>
      <c r="D205" s="176" t="s">
        <v>495</v>
      </c>
      <c r="E205" s="170">
        <v>6</v>
      </c>
      <c r="F205" s="181">
        <v>7</v>
      </c>
      <c r="G205" s="210">
        <v>38823</v>
      </c>
      <c r="H205" s="211">
        <v>3279</v>
      </c>
      <c r="I205" s="218">
        <f>+G205/H205</f>
        <v>11.83989021043001</v>
      </c>
      <c r="J205" s="202"/>
    </row>
    <row r="206" spans="1:10" ht="15">
      <c r="A206" s="118">
        <v>202</v>
      </c>
      <c r="B206" s="198" t="s">
        <v>436</v>
      </c>
      <c r="C206" s="180">
        <v>40186</v>
      </c>
      <c r="D206" s="179" t="s">
        <v>322</v>
      </c>
      <c r="E206" s="181">
        <v>1</v>
      </c>
      <c r="F206" s="181">
        <v>20</v>
      </c>
      <c r="G206" s="204">
        <f>9061+11823.5+5543+523+1044+255+746+557+1780+515+96+66+549+475.5+1082+190+353+2376+207+1521+43</f>
        <v>38806</v>
      </c>
      <c r="H206" s="205">
        <f>906+798+439+43+88+22+127+99+445+134+32+22+94+63+112+25+49+594+31+149+6</f>
        <v>4278</v>
      </c>
      <c r="I206" s="199">
        <f>G206/H206</f>
        <v>9.071061243571762</v>
      </c>
      <c r="J206" s="202"/>
    </row>
    <row r="207" spans="1:10" ht="15">
      <c r="A207" s="118">
        <v>203</v>
      </c>
      <c r="B207" s="195">
        <v>9</v>
      </c>
      <c r="C207" s="169">
        <v>40284</v>
      </c>
      <c r="D207" s="168" t="s">
        <v>322</v>
      </c>
      <c r="E207" s="170">
        <v>1</v>
      </c>
      <c r="F207" s="170">
        <v>12</v>
      </c>
      <c r="G207" s="206">
        <f>19938+4162+2098+2376+845+1608+833.5+361+161+101+2019.5+2019.5+2019.5</f>
        <v>38542</v>
      </c>
      <c r="H207" s="207">
        <f>2614+350+241+594+102+138+113+48+26+20+505+505+505</f>
        <v>5761</v>
      </c>
      <c r="I207" s="197">
        <f>G207/H207</f>
        <v>6.690157958687728</v>
      </c>
      <c r="J207" s="202"/>
    </row>
    <row r="208" spans="1:10" ht="15">
      <c r="A208" s="118">
        <v>204</v>
      </c>
      <c r="B208" s="198" t="s">
        <v>184</v>
      </c>
      <c r="C208" s="192">
        <v>40256</v>
      </c>
      <c r="D208" s="179" t="s">
        <v>335</v>
      </c>
      <c r="E208" s="181">
        <v>20</v>
      </c>
      <c r="F208" s="181">
        <v>15</v>
      </c>
      <c r="G208" s="210">
        <v>34341</v>
      </c>
      <c r="H208" s="211">
        <v>4277</v>
      </c>
      <c r="I208" s="201">
        <f>IF(G208&lt;&gt;0,G208/H208,"")</f>
        <v>8.02922609305588</v>
      </c>
      <c r="J208" s="202">
        <v>1</v>
      </c>
    </row>
    <row r="209" spans="1:10" ht="15">
      <c r="A209" s="118">
        <v>205</v>
      </c>
      <c r="B209" s="198" t="s">
        <v>262</v>
      </c>
      <c r="C209" s="180">
        <v>40263</v>
      </c>
      <c r="D209" s="179" t="s">
        <v>322</v>
      </c>
      <c r="E209" s="181">
        <v>8</v>
      </c>
      <c r="F209" s="181">
        <v>14</v>
      </c>
      <c r="G209" s="204">
        <f>18741.5+4264.5+736+360+159+3593.5+2958.5+457+37+669+299+184+117+1188</f>
        <v>33764</v>
      </c>
      <c r="H209" s="205">
        <f>1439+373+103+44+20+789+274+62+5+105+54+31+20+297</f>
        <v>3616</v>
      </c>
      <c r="I209" s="199">
        <f>G209/H209</f>
        <v>9.337389380530974</v>
      </c>
      <c r="J209" s="202"/>
    </row>
    <row r="210" spans="1:10" ht="15">
      <c r="A210" s="118">
        <v>206</v>
      </c>
      <c r="B210" s="195" t="s">
        <v>255</v>
      </c>
      <c r="C210" s="169">
        <v>40424</v>
      </c>
      <c r="D210" s="168" t="s">
        <v>322</v>
      </c>
      <c r="E210" s="170">
        <v>5</v>
      </c>
      <c r="F210" s="170">
        <v>9</v>
      </c>
      <c r="G210" s="206">
        <f>11822.5+3468.5+3273+3742.5+3152+1092+927+1058+2153.5</f>
        <v>30689</v>
      </c>
      <c r="H210" s="207">
        <f>827+293+410+398+368+137+124+170+462</f>
        <v>3189</v>
      </c>
      <c r="I210" s="197">
        <f>G210/H210</f>
        <v>9.623392913138915</v>
      </c>
      <c r="J210" s="202"/>
    </row>
    <row r="211" spans="1:10" ht="15">
      <c r="A211" s="118">
        <v>207</v>
      </c>
      <c r="B211" s="198" t="s">
        <v>487</v>
      </c>
      <c r="C211" s="180">
        <v>40277</v>
      </c>
      <c r="D211" s="179" t="s">
        <v>322</v>
      </c>
      <c r="E211" s="181">
        <v>9</v>
      </c>
      <c r="F211" s="181">
        <v>16</v>
      </c>
      <c r="G211" s="204">
        <f>6266+1436.5+3621+3651+3608+2288.5+1885+266+1068+566+2662+169+84+447+101+276</f>
        <v>28395</v>
      </c>
      <c r="H211" s="205">
        <f>501+153+379+764+538+320+382+38+205+112+349+28+15+146+14+74</f>
        <v>4018</v>
      </c>
      <c r="I211" s="199">
        <f>G211/H211</f>
        <v>7.066948730711797</v>
      </c>
      <c r="J211" s="202"/>
    </row>
    <row r="212" spans="1:10" ht="15">
      <c r="A212" s="118">
        <v>208</v>
      </c>
      <c r="B212" s="195" t="s">
        <v>185</v>
      </c>
      <c r="C212" s="169">
        <v>40333</v>
      </c>
      <c r="D212" s="168" t="s">
        <v>322</v>
      </c>
      <c r="E212" s="170">
        <v>2</v>
      </c>
      <c r="F212" s="170">
        <v>17</v>
      </c>
      <c r="G212" s="206">
        <f>20966+1047+769+1091.5+1901+1090.5+330+94+107</f>
        <v>27396</v>
      </c>
      <c r="H212" s="207">
        <f>2304+127+92+121+475+146+92+18+21</f>
        <v>3396</v>
      </c>
      <c r="I212" s="197">
        <f>G212/H212</f>
        <v>8.06713780918728</v>
      </c>
      <c r="J212" s="202"/>
    </row>
    <row r="213" spans="1:10" ht="15">
      <c r="A213" s="118">
        <v>209</v>
      </c>
      <c r="B213" s="195" t="s">
        <v>310</v>
      </c>
      <c r="C213" s="169">
        <v>40389</v>
      </c>
      <c r="D213" s="168" t="s">
        <v>322</v>
      </c>
      <c r="E213" s="170">
        <v>3</v>
      </c>
      <c r="F213" s="170">
        <v>16</v>
      </c>
      <c r="G213" s="206">
        <f>6803+1310+2816.5+1204+2027.5+558+3083+1424+376+221+454+660+2019.5+2019.5+2019.5</f>
        <v>26995.5</v>
      </c>
      <c r="H213" s="207">
        <f>678+171+330+139+248+58+625+214+60+80+74+107+505+505+505</f>
        <v>4299</v>
      </c>
      <c r="I213" s="197">
        <f>G213/H213</f>
        <v>6.279483600837404</v>
      </c>
      <c r="J213" s="202"/>
    </row>
    <row r="214" spans="1:10" ht="15">
      <c r="A214" s="118">
        <v>210</v>
      </c>
      <c r="B214" s="195" t="s">
        <v>305</v>
      </c>
      <c r="C214" s="169">
        <v>40277</v>
      </c>
      <c r="D214" s="176" t="s">
        <v>359</v>
      </c>
      <c r="E214" s="170">
        <v>10</v>
      </c>
      <c r="F214" s="170">
        <v>5</v>
      </c>
      <c r="G214" s="208">
        <v>26692</v>
      </c>
      <c r="H214" s="209">
        <v>3511</v>
      </c>
      <c r="I214" s="196">
        <f>+G214/H214</f>
        <v>7.602392480774708</v>
      </c>
      <c r="J214" s="202">
        <v>1</v>
      </c>
    </row>
    <row r="215" spans="1:10" ht="15">
      <c r="A215" s="118">
        <v>211</v>
      </c>
      <c r="B215" s="198" t="s">
        <v>186</v>
      </c>
      <c r="C215" s="180">
        <v>40361</v>
      </c>
      <c r="D215" s="179" t="s">
        <v>322</v>
      </c>
      <c r="E215" s="181">
        <v>3</v>
      </c>
      <c r="F215" s="181">
        <v>16</v>
      </c>
      <c r="G215" s="204">
        <f>15313.5+921+1611.5+584+536+1202+3345.5+450+535+332+334</f>
        <v>25164.5</v>
      </c>
      <c r="H215" s="205">
        <f>1730+119+201+73+74+136+662+59+77+38+37</f>
        <v>3206</v>
      </c>
      <c r="I215" s="199">
        <f>G215/H215</f>
        <v>7.8491890205864</v>
      </c>
      <c r="J215" s="202"/>
    </row>
    <row r="216" spans="1:10" ht="15">
      <c r="A216" s="118">
        <v>212</v>
      </c>
      <c r="B216" s="198" t="s">
        <v>187</v>
      </c>
      <c r="C216" s="180">
        <v>40333</v>
      </c>
      <c r="D216" s="179" t="s">
        <v>322</v>
      </c>
      <c r="E216" s="181">
        <v>4</v>
      </c>
      <c r="F216" s="181">
        <v>11</v>
      </c>
      <c r="G216" s="204">
        <f>24273.7+308+483</f>
        <v>25064.7</v>
      </c>
      <c r="H216" s="205">
        <f>2830+67+68</f>
        <v>2965</v>
      </c>
      <c r="I216" s="199">
        <f>G216/H216</f>
        <v>8.453524451939291</v>
      </c>
      <c r="J216" s="202"/>
    </row>
    <row r="217" spans="1:10" ht="15">
      <c r="A217" s="118">
        <v>213</v>
      </c>
      <c r="B217" s="195" t="s">
        <v>310</v>
      </c>
      <c r="C217" s="169">
        <v>40389</v>
      </c>
      <c r="D217" s="168" t="s">
        <v>322</v>
      </c>
      <c r="E217" s="170">
        <v>3</v>
      </c>
      <c r="F217" s="170">
        <v>15</v>
      </c>
      <c r="G217" s="206">
        <f>6803+1310+2816.5+1204+2027.5+558+3083+1424+376+221+454+660+2019.5+2019.5</f>
        <v>24976</v>
      </c>
      <c r="H217" s="207">
        <f>678+171+330+139+248+58+625+214+60+80+74+107+505+505</f>
        <v>3794</v>
      </c>
      <c r="I217" s="197">
        <f>G217/H217</f>
        <v>6.583025830258302</v>
      </c>
      <c r="J217" s="202"/>
    </row>
    <row r="218" spans="1:10" ht="15">
      <c r="A218" s="118">
        <v>214</v>
      </c>
      <c r="B218" s="198" t="s">
        <v>317</v>
      </c>
      <c r="C218" s="180">
        <v>40312</v>
      </c>
      <c r="D218" s="186" t="s">
        <v>285</v>
      </c>
      <c r="E218" s="422" t="s">
        <v>373</v>
      </c>
      <c r="F218" s="422" t="s">
        <v>469</v>
      </c>
      <c r="G218" s="212">
        <v>24551</v>
      </c>
      <c r="H218" s="213">
        <v>2795</v>
      </c>
      <c r="I218" s="219">
        <f>+G218/H218</f>
        <v>8.783899821109124</v>
      </c>
      <c r="J218" s="202"/>
    </row>
    <row r="219" spans="1:10" ht="15">
      <c r="A219" s="118">
        <v>215</v>
      </c>
      <c r="B219" s="198" t="s">
        <v>283</v>
      </c>
      <c r="C219" s="180">
        <v>40347</v>
      </c>
      <c r="D219" s="179" t="s">
        <v>322</v>
      </c>
      <c r="E219" s="181">
        <v>2</v>
      </c>
      <c r="F219" s="181">
        <v>18</v>
      </c>
      <c r="G219" s="204">
        <f>15693+762+1031+1133+707+492+1323.5+1397+447+357+524</f>
        <v>23866.5</v>
      </c>
      <c r="H219" s="205">
        <f>1559+119+194+179+86+57+150+195+165+58+85</f>
        <v>2847</v>
      </c>
      <c r="I219" s="199">
        <f>G219/H219</f>
        <v>8.383034773445733</v>
      </c>
      <c r="J219" s="202"/>
    </row>
    <row r="220" spans="1:10" ht="15">
      <c r="A220" s="118">
        <v>216</v>
      </c>
      <c r="B220" s="195" t="s">
        <v>306</v>
      </c>
      <c r="C220" s="192">
        <v>40319</v>
      </c>
      <c r="D220" s="175" t="s">
        <v>333</v>
      </c>
      <c r="E220" s="193">
        <v>11</v>
      </c>
      <c r="F220" s="193">
        <v>5</v>
      </c>
      <c r="G220" s="208">
        <f>8285+3406+28+3025+4479.5+3407</f>
        <v>22630.5</v>
      </c>
      <c r="H220" s="209">
        <f>916+411+4+449+692+505</f>
        <v>2977</v>
      </c>
      <c r="I220" s="199">
        <f>+G220/H220</f>
        <v>7.601780315754115</v>
      </c>
      <c r="J220" s="202">
        <v>1</v>
      </c>
    </row>
    <row r="221" spans="1:10" ht="12.75" customHeight="1">
      <c r="A221" s="118">
        <v>217</v>
      </c>
      <c r="B221" s="198" t="s">
        <v>393</v>
      </c>
      <c r="C221" s="180">
        <v>40445</v>
      </c>
      <c r="D221" s="179" t="s">
        <v>408</v>
      </c>
      <c r="E221" s="181">
        <v>3</v>
      </c>
      <c r="F221" s="181">
        <v>7</v>
      </c>
      <c r="G221" s="210">
        <v>22430</v>
      </c>
      <c r="H221" s="211">
        <v>2060</v>
      </c>
      <c r="I221" s="218">
        <f>+G221/H221</f>
        <v>10.888349514563107</v>
      </c>
      <c r="J221" s="202"/>
    </row>
    <row r="222" spans="1:10" ht="15">
      <c r="A222" s="118">
        <v>218</v>
      </c>
      <c r="B222" s="198" t="s">
        <v>307</v>
      </c>
      <c r="C222" s="169">
        <v>40193</v>
      </c>
      <c r="D222" s="176" t="s">
        <v>320</v>
      </c>
      <c r="E222" s="170">
        <v>35</v>
      </c>
      <c r="F222" s="170">
        <v>3</v>
      </c>
      <c r="G222" s="208">
        <v>21393</v>
      </c>
      <c r="H222" s="209">
        <v>2214</v>
      </c>
      <c r="I222" s="196">
        <f>+G222/H222</f>
        <v>9.66260162601626</v>
      </c>
      <c r="J222" s="202">
        <v>1</v>
      </c>
    </row>
    <row r="223" spans="1:10" ht="15">
      <c r="A223" s="118">
        <v>219</v>
      </c>
      <c r="B223" s="198" t="s">
        <v>308</v>
      </c>
      <c r="C223" s="180">
        <v>40256</v>
      </c>
      <c r="D223" s="179" t="s">
        <v>333</v>
      </c>
      <c r="E223" s="181">
        <v>10</v>
      </c>
      <c r="F223" s="181">
        <v>9</v>
      </c>
      <c r="G223" s="204">
        <f>11841.5+3199+707+856.5+521+3603+303+108+126</f>
        <v>21265</v>
      </c>
      <c r="H223" s="205">
        <f>1220+372+104+120+78+721+48+18+21</f>
        <v>2702</v>
      </c>
      <c r="I223" s="199">
        <f>+G223/H223</f>
        <v>7.8700962250185045</v>
      </c>
      <c r="J223" s="202"/>
    </row>
    <row r="224" spans="1:10" ht="15">
      <c r="A224" s="118">
        <v>220</v>
      </c>
      <c r="B224" s="198" t="s">
        <v>389</v>
      </c>
      <c r="C224" s="180">
        <v>40438</v>
      </c>
      <c r="D224" s="179" t="s">
        <v>444</v>
      </c>
      <c r="E224" s="181">
        <v>4</v>
      </c>
      <c r="F224" s="181">
        <v>7</v>
      </c>
      <c r="G224" s="214">
        <f>15725.5+236+266+537</f>
        <v>16764.5</v>
      </c>
      <c r="H224" s="209">
        <f>1363+27+36+84</f>
        <v>1510</v>
      </c>
      <c r="I224" s="201">
        <f>IF(G224&lt;&gt;0,G224/H224,"")</f>
        <v>11.102317880794702</v>
      </c>
      <c r="J224" s="203"/>
    </row>
    <row r="225" spans="1:10" ht="15">
      <c r="A225" s="118">
        <v>221</v>
      </c>
      <c r="B225" s="198" t="s">
        <v>188</v>
      </c>
      <c r="C225" s="180">
        <v>40319</v>
      </c>
      <c r="D225" s="179" t="s">
        <v>322</v>
      </c>
      <c r="E225" s="181">
        <v>2</v>
      </c>
      <c r="F225" s="181">
        <v>15</v>
      </c>
      <c r="G225" s="204">
        <f>4143+1077+726+775+2269+1451+561+189+370+613+538+181+79+246+238</f>
        <v>13456</v>
      </c>
      <c r="H225" s="205">
        <f>330+90+108+118+312+209+62+36+139+104+67+25+11+37+68</f>
        <v>1716</v>
      </c>
      <c r="I225" s="199">
        <f>G225/H225</f>
        <v>7.841491841491841</v>
      </c>
      <c r="J225" s="202"/>
    </row>
    <row r="226" spans="1:10" ht="15">
      <c r="A226" s="118">
        <v>222</v>
      </c>
      <c r="B226" s="198" t="s">
        <v>309</v>
      </c>
      <c r="C226" s="180">
        <v>40319</v>
      </c>
      <c r="D226" s="179" t="s">
        <v>322</v>
      </c>
      <c r="E226" s="181">
        <v>6</v>
      </c>
      <c r="F226" s="181">
        <v>11</v>
      </c>
      <c r="G226" s="204">
        <f>8650.5+1568+2970</f>
        <v>13188.5</v>
      </c>
      <c r="H226" s="205">
        <f>1104+389+743</f>
        <v>2236</v>
      </c>
      <c r="I226" s="199">
        <v>7.835597826086956</v>
      </c>
      <c r="J226" s="202">
        <v>1</v>
      </c>
    </row>
    <row r="227" spans="1:10" ht="15">
      <c r="A227" s="118">
        <v>223</v>
      </c>
      <c r="B227" s="195" t="s">
        <v>28</v>
      </c>
      <c r="C227" s="169">
        <v>40326</v>
      </c>
      <c r="D227" s="168" t="s">
        <v>322</v>
      </c>
      <c r="E227" s="170">
        <v>5</v>
      </c>
      <c r="F227" s="170">
        <v>11</v>
      </c>
      <c r="G227" s="206">
        <f>3131+1807+4733+164+167+162+679.5+104+89+124+2019.5</f>
        <v>13180</v>
      </c>
      <c r="H227" s="207">
        <f>295+188+834+31+27+31+102+18+15+20+505</f>
        <v>2066</v>
      </c>
      <c r="I227" s="197">
        <f>G227/H227</f>
        <v>6.37947725072604</v>
      </c>
      <c r="J227" s="202">
        <v>1</v>
      </c>
    </row>
    <row r="228" spans="1:10" ht="15">
      <c r="A228" s="118">
        <v>224</v>
      </c>
      <c r="B228" s="198" t="s">
        <v>29</v>
      </c>
      <c r="C228" s="180">
        <v>40452</v>
      </c>
      <c r="D228" s="179" t="s">
        <v>322</v>
      </c>
      <c r="E228" s="181">
        <v>3</v>
      </c>
      <c r="F228" s="181">
        <v>4</v>
      </c>
      <c r="G228" s="204">
        <f>8509+2430+1878+289</f>
        <v>13106</v>
      </c>
      <c r="H228" s="205">
        <f>696+238+219+33</f>
        <v>1186</v>
      </c>
      <c r="I228" s="199">
        <f>G228/H228</f>
        <v>11.050590219224283</v>
      </c>
      <c r="J228" s="202"/>
    </row>
    <row r="229" spans="1:10" ht="15">
      <c r="A229" s="118">
        <v>225</v>
      </c>
      <c r="B229" s="200" t="s">
        <v>315</v>
      </c>
      <c r="C229" s="180">
        <v>40480</v>
      </c>
      <c r="D229" s="186" t="s">
        <v>335</v>
      </c>
      <c r="E229" s="187">
        <v>1</v>
      </c>
      <c r="F229" s="187">
        <v>4</v>
      </c>
      <c r="G229" s="212">
        <v>12550</v>
      </c>
      <c r="H229" s="213">
        <v>819</v>
      </c>
      <c r="I229" s="201">
        <f>+G229/H229</f>
        <v>15.323565323565324</v>
      </c>
      <c r="J229" s="203"/>
    </row>
    <row r="230" spans="1:10" ht="15">
      <c r="A230" s="118">
        <v>226</v>
      </c>
      <c r="B230" s="198" t="s">
        <v>402</v>
      </c>
      <c r="C230" s="180">
        <v>40466</v>
      </c>
      <c r="D230" s="179" t="s">
        <v>444</v>
      </c>
      <c r="E230" s="181">
        <v>10</v>
      </c>
      <c r="F230" s="181">
        <v>4</v>
      </c>
      <c r="G230" s="214">
        <f>7088+2486+815+33</f>
        <v>10422</v>
      </c>
      <c r="H230" s="209">
        <f>735+318+126+5</f>
        <v>1184</v>
      </c>
      <c r="I230" s="201">
        <f>IF(G230&lt;&gt;0,G230/H230,"")</f>
        <v>8.802364864864865</v>
      </c>
      <c r="J230" s="203"/>
    </row>
    <row r="231" spans="1:10" ht="15">
      <c r="A231" s="118">
        <v>227</v>
      </c>
      <c r="B231" s="198" t="s">
        <v>63</v>
      </c>
      <c r="C231" s="180">
        <v>40375</v>
      </c>
      <c r="D231" s="179" t="s">
        <v>322</v>
      </c>
      <c r="E231" s="181">
        <v>2</v>
      </c>
      <c r="F231" s="181">
        <v>8</v>
      </c>
      <c r="G231" s="204">
        <f>5961+952+178+912.5+84.5+1901</f>
        <v>9989</v>
      </c>
      <c r="H231" s="205">
        <f>700+123+22+121+11+475</f>
        <v>1452</v>
      </c>
      <c r="I231" s="199">
        <f>G231/H231</f>
        <v>6.879476584022038</v>
      </c>
      <c r="J231" s="202"/>
    </row>
    <row r="232" spans="1:10" ht="15">
      <c r="A232" s="118">
        <v>228</v>
      </c>
      <c r="B232" s="195" t="s">
        <v>30</v>
      </c>
      <c r="C232" s="169">
        <v>40473</v>
      </c>
      <c r="D232" s="168" t="s">
        <v>322</v>
      </c>
      <c r="E232" s="170">
        <v>2</v>
      </c>
      <c r="F232" s="170">
        <v>2</v>
      </c>
      <c r="G232" s="206">
        <f>6832+2665</f>
        <v>9497</v>
      </c>
      <c r="H232" s="207">
        <f>659+312</f>
        <v>971</v>
      </c>
      <c r="I232" s="197">
        <f>G232/H232</f>
        <v>9.780638516992791</v>
      </c>
      <c r="J232" s="202"/>
    </row>
    <row r="233" spans="1:10" ht="15">
      <c r="A233" s="118">
        <v>229</v>
      </c>
      <c r="B233" s="198" t="s">
        <v>31</v>
      </c>
      <c r="C233" s="192">
        <v>40514</v>
      </c>
      <c r="D233" s="179" t="s">
        <v>322</v>
      </c>
      <c r="E233" s="181">
        <v>2</v>
      </c>
      <c r="F233" s="181">
        <v>11</v>
      </c>
      <c r="G233" s="210">
        <v>7636</v>
      </c>
      <c r="H233" s="211">
        <v>1084</v>
      </c>
      <c r="I233" s="218">
        <f>+G233/H233</f>
        <v>7.044280442804428</v>
      </c>
      <c r="J233" s="202"/>
    </row>
    <row r="234" spans="1:10" ht="15.75" thickBot="1">
      <c r="A234" s="118">
        <v>230</v>
      </c>
      <c r="B234" s="220" t="s">
        <v>32</v>
      </c>
      <c r="C234" s="395">
        <v>40333</v>
      </c>
      <c r="D234" s="221" t="s">
        <v>33</v>
      </c>
      <c r="E234" s="222">
        <v>1</v>
      </c>
      <c r="F234" s="222">
        <v>1</v>
      </c>
      <c r="G234" s="396">
        <v>5611</v>
      </c>
      <c r="H234" s="397">
        <v>502</v>
      </c>
      <c r="I234" s="223">
        <f>G234/H234</f>
        <v>11.177290836653386</v>
      </c>
      <c r="J234" s="202"/>
    </row>
    <row r="235" spans="2:9" ht="12.75">
      <c r="B235" s="154"/>
      <c r="C235" s="155"/>
      <c r="D235" s="155"/>
      <c r="E235" s="423"/>
      <c r="F235" s="423"/>
      <c r="G235" s="156"/>
      <c r="H235" s="157"/>
      <c r="I235" s="158"/>
    </row>
  </sheetData>
  <sheetProtection/>
  <mergeCells count="8">
    <mergeCell ref="A1:I1"/>
    <mergeCell ref="B3:B4"/>
    <mergeCell ref="C3:C4"/>
    <mergeCell ref="D3:D4"/>
    <mergeCell ref="F3:F4"/>
    <mergeCell ref="G3:H3"/>
    <mergeCell ref="I3:I4"/>
    <mergeCell ref="E3:E4"/>
  </mergeCells>
  <printOptions/>
  <pageMargins left="0.87" right="0.58" top="0.63" bottom="0.76" header="0.11811023622047245" footer="0.5"/>
  <pageSetup orientation="portrait" paperSize="9" scale="80"/>
  <ignoredErrors>
    <ignoredError sqref="L137:L161 L131:L136 K154:K161" numberStoredAsText="1"/>
    <ignoredError sqref="K77:K87 K45 K41:K44 K13:K29 L13:L45 K46:K54 K64:K76 K57 L5:L12 K5:K12 K59:K63 K56 K55 K58 G5:H54 I5:I26 K88:K96 G58:I87" unlockedFormula="1"/>
    <ignoredError sqref="K137:K153 K131:K136 K120:K130 K115:K119 K105:K114 K97:K104 K30:K37 K38:K40 I27:I54" numberStoredAsText="1" unlockedFormula="1"/>
    <ignoredError sqref="K30:K37 K38:K40 I27:I54" formula="1" unlockedFormula="1"/>
  </ignoredErrors>
</worksheet>
</file>

<file path=xl/worksheets/sheet3.xml><?xml version="1.0" encoding="utf-8"?>
<worksheet xmlns="http://schemas.openxmlformats.org/spreadsheetml/2006/main" xmlns:r="http://schemas.openxmlformats.org/officeDocument/2006/relationships">
  <dimension ref="A1:P833"/>
  <sheetViews>
    <sheetView zoomScale="120" zoomScaleNormal="120" zoomScalePageLayoutView="0" workbookViewId="0" topLeftCell="A1">
      <selection activeCell="B2" sqref="B2:B3"/>
    </sheetView>
  </sheetViews>
  <sheetFormatPr defaultColWidth="8.8515625" defaultRowHeight="12.75"/>
  <cols>
    <col min="1" max="1" width="4.7109375" style="229" bestFit="1" customWidth="1"/>
    <col min="2" max="2" width="44.28125" style="14" bestFit="1" customWidth="1"/>
    <col min="3" max="3" width="7.8515625" style="19" bestFit="1" customWidth="1"/>
    <col min="4" max="4" width="19.140625" style="13" bestFit="1" customWidth="1"/>
    <col min="5" max="5" width="4.7109375" style="37" bestFit="1" customWidth="1"/>
    <col min="6" max="6" width="5.00390625" style="38" bestFit="1" customWidth="1"/>
    <col min="7" max="7" width="5.8515625" style="29" customWidth="1"/>
    <col min="8" max="8" width="12.140625" style="20" bestFit="1" customWidth="1"/>
    <col min="9" max="9" width="7.8515625" style="21" bestFit="1" customWidth="1"/>
    <col min="10" max="10" width="8.00390625" style="22" bestFit="1" customWidth="1"/>
    <col min="11" max="11" width="6.00390625" style="23" bestFit="1" customWidth="1"/>
    <col min="12" max="12" width="13.140625" style="24" bestFit="1" customWidth="1"/>
    <col min="13" max="13" width="9.421875" style="22" bestFit="1" customWidth="1"/>
    <col min="14" max="14" width="5.140625" style="84" bestFit="1" customWidth="1"/>
    <col min="15" max="15" width="2.00390625" style="144" bestFit="1" customWidth="1"/>
    <col min="16" max="16" width="2.140625" style="10" bestFit="1" customWidth="1"/>
    <col min="17" max="18" width="4.00390625" style="0" customWidth="1"/>
    <col min="19" max="19" width="9.7109375" style="0" bestFit="1" customWidth="1"/>
    <col min="20" max="20" width="6.00390625" style="0" bestFit="1" customWidth="1"/>
  </cols>
  <sheetData>
    <row r="1" spans="1:16" s="26" customFormat="1" ht="34.5" thickBot="1">
      <c r="A1" s="543" t="s">
        <v>446</v>
      </c>
      <c r="B1" s="544"/>
      <c r="C1" s="544"/>
      <c r="D1" s="544"/>
      <c r="E1" s="544"/>
      <c r="F1" s="544"/>
      <c r="G1" s="545"/>
      <c r="H1" s="545"/>
      <c r="I1" s="545"/>
      <c r="J1" s="545"/>
      <c r="K1" s="545"/>
      <c r="L1" s="545"/>
      <c r="M1" s="545"/>
      <c r="N1" s="545"/>
      <c r="O1" s="142"/>
      <c r="P1" s="25"/>
    </row>
    <row r="2" spans="1:16" s="133" customFormat="1" ht="12">
      <c r="A2" s="226"/>
      <c r="B2" s="546" t="s">
        <v>269</v>
      </c>
      <c r="C2" s="548" t="s">
        <v>207</v>
      </c>
      <c r="D2" s="550" t="s">
        <v>385</v>
      </c>
      <c r="E2" s="541" t="s">
        <v>208</v>
      </c>
      <c r="F2" s="541" t="s">
        <v>215</v>
      </c>
      <c r="G2" s="541" t="s">
        <v>383</v>
      </c>
      <c r="H2" s="552" t="s">
        <v>209</v>
      </c>
      <c r="I2" s="552"/>
      <c r="J2" s="552"/>
      <c r="K2" s="552"/>
      <c r="L2" s="552" t="s">
        <v>210</v>
      </c>
      <c r="M2" s="552"/>
      <c r="N2" s="553"/>
      <c r="O2" s="143"/>
      <c r="P2" s="132"/>
    </row>
    <row r="3" spans="1:16" s="133" customFormat="1" ht="36.75" thickBot="1">
      <c r="A3" s="227"/>
      <c r="B3" s="547"/>
      <c r="C3" s="549"/>
      <c r="D3" s="542"/>
      <c r="E3" s="542"/>
      <c r="F3" s="542"/>
      <c r="G3" s="551"/>
      <c r="H3" s="150" t="s">
        <v>211</v>
      </c>
      <c r="I3" s="151" t="s">
        <v>212</v>
      </c>
      <c r="J3" s="151" t="s">
        <v>201</v>
      </c>
      <c r="K3" s="152" t="s">
        <v>213</v>
      </c>
      <c r="L3" s="150" t="s">
        <v>211</v>
      </c>
      <c r="M3" s="151" t="s">
        <v>212</v>
      </c>
      <c r="N3" s="153" t="s">
        <v>214</v>
      </c>
      <c r="O3" s="143"/>
      <c r="P3" s="132"/>
    </row>
    <row r="4" spans="1:16" ht="12" customHeight="1">
      <c r="A4" s="228">
        <v>1</v>
      </c>
      <c r="B4" s="233">
        <v>2012</v>
      </c>
      <c r="C4" s="234">
        <v>40130</v>
      </c>
      <c r="D4" s="235" t="s">
        <v>321</v>
      </c>
      <c r="E4" s="236">
        <v>178</v>
      </c>
      <c r="F4" s="236">
        <v>37</v>
      </c>
      <c r="G4" s="236">
        <v>8</v>
      </c>
      <c r="H4" s="237">
        <f>48622+283</f>
        <v>48905</v>
      </c>
      <c r="I4" s="238">
        <f>7403+116</f>
        <v>7519</v>
      </c>
      <c r="J4" s="239">
        <f aca="true" t="shared" si="0" ref="J4:J10">I4/F4</f>
        <v>203.21621621621622</v>
      </c>
      <c r="K4" s="240">
        <f aca="true" t="shared" si="1" ref="K4:K10">H4/I4</f>
        <v>6.504189386886554</v>
      </c>
      <c r="L4" s="241">
        <f>13107603+48622+283</f>
        <v>13156508</v>
      </c>
      <c r="M4" s="242">
        <f>1468855+7403+116</f>
        <v>1476374</v>
      </c>
      <c r="N4" s="243">
        <f aca="true" t="shared" si="2" ref="N4:N14">+L4/M4</f>
        <v>8.91136527736197</v>
      </c>
      <c r="O4" s="244"/>
      <c r="P4" s="132"/>
    </row>
    <row r="5" spans="1:16" ht="12" customHeight="1">
      <c r="A5" s="228">
        <v>2</v>
      </c>
      <c r="B5" s="245">
        <v>2012</v>
      </c>
      <c r="C5" s="246">
        <v>40130</v>
      </c>
      <c r="D5" s="247" t="s">
        <v>321</v>
      </c>
      <c r="E5" s="248">
        <v>178</v>
      </c>
      <c r="F5" s="248">
        <v>25</v>
      </c>
      <c r="G5" s="248">
        <v>9</v>
      </c>
      <c r="H5" s="249">
        <v>29270</v>
      </c>
      <c r="I5" s="250">
        <v>4996</v>
      </c>
      <c r="J5" s="251">
        <f t="shared" si="0"/>
        <v>199.84</v>
      </c>
      <c r="K5" s="252">
        <f t="shared" si="1"/>
        <v>5.858686949559647</v>
      </c>
      <c r="L5" s="253">
        <f>13107603+48622+283+29270</f>
        <v>13185778</v>
      </c>
      <c r="M5" s="254">
        <f>1468855+7403+116+4996</f>
        <v>1481370</v>
      </c>
      <c r="N5" s="255">
        <f t="shared" si="2"/>
        <v>8.901069955514153</v>
      </c>
      <c r="O5" s="256"/>
      <c r="P5" s="132"/>
    </row>
    <row r="6" spans="1:16" ht="12" customHeight="1">
      <c r="A6" s="228">
        <v>3</v>
      </c>
      <c r="B6" s="245">
        <v>2012</v>
      </c>
      <c r="C6" s="246">
        <v>40130</v>
      </c>
      <c r="D6" s="247" t="s">
        <v>321</v>
      </c>
      <c r="E6" s="257">
        <v>178</v>
      </c>
      <c r="F6" s="257">
        <v>18</v>
      </c>
      <c r="G6" s="257">
        <v>10</v>
      </c>
      <c r="H6" s="249">
        <v>25563</v>
      </c>
      <c r="I6" s="258">
        <v>4175</v>
      </c>
      <c r="J6" s="259">
        <f t="shared" si="0"/>
        <v>231.94444444444446</v>
      </c>
      <c r="K6" s="260">
        <f t="shared" si="1"/>
        <v>6.122874251497006</v>
      </c>
      <c r="L6" s="253">
        <f>13107603+48622+283+29270+25563</f>
        <v>13211341</v>
      </c>
      <c r="M6" s="261">
        <f>1468855+7403+116+4996+4175</f>
        <v>1485545</v>
      </c>
      <c r="N6" s="255">
        <f t="shared" si="2"/>
        <v>8.893262068803033</v>
      </c>
      <c r="O6" s="262"/>
      <c r="P6" s="132"/>
    </row>
    <row r="7" spans="1:16" ht="12" customHeight="1">
      <c r="A7" s="228">
        <v>4</v>
      </c>
      <c r="B7" s="245">
        <v>2012</v>
      </c>
      <c r="C7" s="246">
        <v>40130</v>
      </c>
      <c r="D7" s="247" t="s">
        <v>321</v>
      </c>
      <c r="E7" s="257">
        <v>178</v>
      </c>
      <c r="F7" s="257">
        <v>7</v>
      </c>
      <c r="G7" s="257">
        <v>11</v>
      </c>
      <c r="H7" s="263">
        <v>11036</v>
      </c>
      <c r="I7" s="258">
        <v>2539</v>
      </c>
      <c r="J7" s="259">
        <f t="shared" si="0"/>
        <v>362.7142857142857</v>
      </c>
      <c r="K7" s="260">
        <f t="shared" si="1"/>
        <v>4.346593146908232</v>
      </c>
      <c r="L7" s="264">
        <f>13107603+48622+283+29270+25563+11036</f>
        <v>13222377</v>
      </c>
      <c r="M7" s="261">
        <f>1468855+7403+116+4996+4175+2539</f>
        <v>1488084</v>
      </c>
      <c r="N7" s="255">
        <f t="shared" si="2"/>
        <v>8.885504447329586</v>
      </c>
      <c r="O7" s="262"/>
      <c r="P7" s="132"/>
    </row>
    <row r="8" spans="1:16" ht="12" customHeight="1">
      <c r="A8" s="228">
        <v>5</v>
      </c>
      <c r="B8" s="245">
        <v>2012</v>
      </c>
      <c r="C8" s="265">
        <v>40130</v>
      </c>
      <c r="D8" s="247" t="s">
        <v>321</v>
      </c>
      <c r="E8" s="266">
        <v>178</v>
      </c>
      <c r="F8" s="266">
        <v>5</v>
      </c>
      <c r="G8" s="266">
        <v>12</v>
      </c>
      <c r="H8" s="267">
        <v>8708</v>
      </c>
      <c r="I8" s="268">
        <v>1375</v>
      </c>
      <c r="J8" s="269">
        <f t="shared" si="0"/>
        <v>275</v>
      </c>
      <c r="K8" s="270">
        <f t="shared" si="1"/>
        <v>6.333090909090909</v>
      </c>
      <c r="L8" s="271">
        <f>13107603+48622+283+29270+25563+11036+8708</f>
        <v>13231085</v>
      </c>
      <c r="M8" s="269">
        <f>1468855+7403+116+4996+4175+2539+1375</f>
        <v>1489459</v>
      </c>
      <c r="N8" s="272">
        <f t="shared" si="2"/>
        <v>8.883148176619834</v>
      </c>
      <c r="O8" s="273">
        <v>1</v>
      </c>
      <c r="P8" s="132"/>
    </row>
    <row r="9" spans="1:16" ht="12" customHeight="1">
      <c r="A9" s="228">
        <v>6</v>
      </c>
      <c r="B9" s="245">
        <v>2012</v>
      </c>
      <c r="C9" s="265">
        <v>40130</v>
      </c>
      <c r="D9" s="247" t="s">
        <v>321</v>
      </c>
      <c r="E9" s="266">
        <v>178</v>
      </c>
      <c r="F9" s="266">
        <v>2</v>
      </c>
      <c r="G9" s="266">
        <v>24</v>
      </c>
      <c r="H9" s="267">
        <v>5050</v>
      </c>
      <c r="I9" s="268">
        <v>682</v>
      </c>
      <c r="J9" s="269">
        <f t="shared" si="0"/>
        <v>341</v>
      </c>
      <c r="K9" s="270">
        <f t="shared" si="1"/>
        <v>7.404692082111437</v>
      </c>
      <c r="L9" s="271">
        <v>13267416</v>
      </c>
      <c r="M9" s="269">
        <v>1496917</v>
      </c>
      <c r="N9" s="272">
        <f t="shared" si="2"/>
        <v>8.863160749727607</v>
      </c>
      <c r="O9" s="274">
        <v>1</v>
      </c>
      <c r="P9" s="132"/>
    </row>
    <row r="10" spans="1:16" ht="12" customHeight="1">
      <c r="A10" s="228">
        <v>7</v>
      </c>
      <c r="B10" s="245">
        <v>2012</v>
      </c>
      <c r="C10" s="265">
        <v>40130</v>
      </c>
      <c r="D10" s="275" t="s">
        <v>321</v>
      </c>
      <c r="E10" s="266">
        <v>178</v>
      </c>
      <c r="F10" s="266">
        <v>2</v>
      </c>
      <c r="G10" s="266">
        <v>19</v>
      </c>
      <c r="H10" s="263">
        <v>4964</v>
      </c>
      <c r="I10" s="258">
        <v>1428</v>
      </c>
      <c r="J10" s="269">
        <f t="shared" si="0"/>
        <v>714</v>
      </c>
      <c r="K10" s="270">
        <f t="shared" si="1"/>
        <v>3.4761904761904763</v>
      </c>
      <c r="L10" s="271">
        <f>13244780+2380+4964</f>
        <v>13252124</v>
      </c>
      <c r="M10" s="269">
        <f>1492157+476+1428</f>
        <v>1494061</v>
      </c>
      <c r="N10" s="272">
        <f t="shared" si="2"/>
        <v>8.869868097755045</v>
      </c>
      <c r="O10" s="273"/>
      <c r="P10" s="132"/>
    </row>
    <row r="11" spans="1:16" ht="12" customHeight="1">
      <c r="A11" s="228">
        <v>8</v>
      </c>
      <c r="B11" s="245">
        <v>2012</v>
      </c>
      <c r="C11" s="265">
        <v>40130</v>
      </c>
      <c r="D11" s="247" t="s">
        <v>321</v>
      </c>
      <c r="E11" s="266">
        <v>178</v>
      </c>
      <c r="F11" s="266">
        <v>3</v>
      </c>
      <c r="G11" s="266">
        <v>13</v>
      </c>
      <c r="H11" s="267">
        <v>4169</v>
      </c>
      <c r="I11" s="268">
        <v>819</v>
      </c>
      <c r="J11" s="269">
        <f>(I11/F11)</f>
        <v>273</v>
      </c>
      <c r="K11" s="270">
        <f>(J11/G11)</f>
        <v>21</v>
      </c>
      <c r="L11" s="271">
        <f>13231085+4169</f>
        <v>13235254</v>
      </c>
      <c r="M11" s="269">
        <f>1489459+819</f>
        <v>1490278</v>
      </c>
      <c r="N11" s="272">
        <f t="shared" si="2"/>
        <v>8.881063801518911</v>
      </c>
      <c r="O11" s="202"/>
      <c r="P11" s="132"/>
    </row>
    <row r="12" spans="1:16" ht="12" customHeight="1">
      <c r="A12" s="228">
        <v>9</v>
      </c>
      <c r="B12" s="245">
        <v>2012</v>
      </c>
      <c r="C12" s="265">
        <v>40130</v>
      </c>
      <c r="D12" s="247" t="s">
        <v>321</v>
      </c>
      <c r="E12" s="266">
        <v>178</v>
      </c>
      <c r="F12" s="266">
        <v>2</v>
      </c>
      <c r="G12" s="266">
        <v>20</v>
      </c>
      <c r="H12" s="267">
        <v>3547</v>
      </c>
      <c r="I12" s="268">
        <v>687</v>
      </c>
      <c r="J12" s="269">
        <f aca="true" t="shared" si="3" ref="J12:J20">I12/F12</f>
        <v>343.5</v>
      </c>
      <c r="K12" s="270">
        <f aca="true" t="shared" si="4" ref="K12:K22">H12/I12</f>
        <v>5.163027656477438</v>
      </c>
      <c r="L12" s="271">
        <v>13255671</v>
      </c>
      <c r="M12" s="269">
        <v>1494748</v>
      </c>
      <c r="N12" s="272">
        <f t="shared" si="2"/>
        <v>8.868164399617863</v>
      </c>
      <c r="O12" s="202">
        <v>1</v>
      </c>
      <c r="P12" s="132"/>
    </row>
    <row r="13" spans="1:16" ht="12" customHeight="1">
      <c r="A13" s="228">
        <v>10</v>
      </c>
      <c r="B13" s="245">
        <v>2012</v>
      </c>
      <c r="C13" s="265">
        <v>40130</v>
      </c>
      <c r="D13" s="247" t="s">
        <v>321</v>
      </c>
      <c r="E13" s="266">
        <v>178</v>
      </c>
      <c r="F13" s="266">
        <v>3</v>
      </c>
      <c r="G13" s="266">
        <v>14</v>
      </c>
      <c r="H13" s="267">
        <v>2910</v>
      </c>
      <c r="I13" s="268">
        <v>575</v>
      </c>
      <c r="J13" s="269">
        <f t="shared" si="3"/>
        <v>191.66666666666666</v>
      </c>
      <c r="K13" s="270">
        <f t="shared" si="4"/>
        <v>5.060869565217391</v>
      </c>
      <c r="L13" s="271">
        <v>13238163</v>
      </c>
      <c r="M13" s="269">
        <v>1490853</v>
      </c>
      <c r="N13" s="272">
        <f t="shared" si="2"/>
        <v>8.879589738223688</v>
      </c>
      <c r="O13" s="202"/>
      <c r="P13" s="132"/>
    </row>
    <row r="14" spans="1:16" ht="12" customHeight="1">
      <c r="A14" s="228">
        <v>11</v>
      </c>
      <c r="B14" s="245">
        <v>2012</v>
      </c>
      <c r="C14" s="265">
        <v>40130</v>
      </c>
      <c r="D14" s="247" t="s">
        <v>321</v>
      </c>
      <c r="E14" s="266">
        <v>178</v>
      </c>
      <c r="F14" s="266">
        <v>1</v>
      </c>
      <c r="G14" s="266">
        <v>16</v>
      </c>
      <c r="H14" s="267">
        <v>2380</v>
      </c>
      <c r="I14" s="268">
        <v>476</v>
      </c>
      <c r="J14" s="269">
        <f t="shared" si="3"/>
        <v>476</v>
      </c>
      <c r="K14" s="270">
        <f t="shared" si="4"/>
        <v>5</v>
      </c>
      <c r="L14" s="271">
        <f>13240020+2380</f>
        <v>13242400</v>
      </c>
      <c r="M14" s="269">
        <f>1491205+476</f>
        <v>1491681</v>
      </c>
      <c r="N14" s="272">
        <f t="shared" si="2"/>
        <v>8.87750128881443</v>
      </c>
      <c r="O14" s="202"/>
      <c r="P14" s="132"/>
    </row>
    <row r="15" spans="1:16" ht="12" customHeight="1">
      <c r="A15" s="228">
        <v>12</v>
      </c>
      <c r="B15" s="245">
        <v>2012</v>
      </c>
      <c r="C15" s="265">
        <v>40130</v>
      </c>
      <c r="D15" s="247" t="s">
        <v>321</v>
      </c>
      <c r="E15" s="276">
        <v>178</v>
      </c>
      <c r="F15" s="276">
        <v>1</v>
      </c>
      <c r="G15" s="276">
        <v>17</v>
      </c>
      <c r="H15" s="267">
        <v>2380</v>
      </c>
      <c r="I15" s="268">
        <v>476</v>
      </c>
      <c r="J15" s="269">
        <f t="shared" si="3"/>
        <v>476</v>
      </c>
      <c r="K15" s="270">
        <f t="shared" si="4"/>
        <v>5</v>
      </c>
      <c r="L15" s="271">
        <f>13240020+2380+2380</f>
        <v>13244780</v>
      </c>
      <c r="M15" s="269">
        <f>1491205+476+476</f>
        <v>1492157</v>
      </c>
      <c r="N15" s="272">
        <f>IF(L15&lt;&gt;0,L15/M15,"")</f>
        <v>8.876264360921807</v>
      </c>
      <c r="O15" s="202">
        <v>1</v>
      </c>
      <c r="P15" s="132"/>
    </row>
    <row r="16" spans="1:16" ht="12" customHeight="1">
      <c r="A16" s="228">
        <v>13</v>
      </c>
      <c r="B16" s="245">
        <v>2012</v>
      </c>
      <c r="C16" s="265">
        <v>40130</v>
      </c>
      <c r="D16" s="247" t="s">
        <v>321</v>
      </c>
      <c r="E16" s="276">
        <v>178</v>
      </c>
      <c r="F16" s="276">
        <v>1</v>
      </c>
      <c r="G16" s="276">
        <v>18</v>
      </c>
      <c r="H16" s="267">
        <v>2380</v>
      </c>
      <c r="I16" s="268">
        <v>476</v>
      </c>
      <c r="J16" s="269">
        <f t="shared" si="3"/>
        <v>476</v>
      </c>
      <c r="K16" s="270">
        <f t="shared" si="4"/>
        <v>5</v>
      </c>
      <c r="L16" s="271">
        <f>13244780+2380</f>
        <v>13247160</v>
      </c>
      <c r="M16" s="269">
        <f>1492157+476</f>
        <v>1492633</v>
      </c>
      <c r="N16" s="272">
        <f>+L16/M16</f>
        <v>8.875028221940692</v>
      </c>
      <c r="O16" s="202"/>
      <c r="P16" s="132"/>
    </row>
    <row r="17" spans="1:16" ht="12" customHeight="1">
      <c r="A17" s="228">
        <v>14</v>
      </c>
      <c r="B17" s="245">
        <v>2012</v>
      </c>
      <c r="C17" s="265">
        <v>40130</v>
      </c>
      <c r="D17" s="247" t="s">
        <v>321</v>
      </c>
      <c r="E17" s="276">
        <v>178</v>
      </c>
      <c r="F17" s="276">
        <v>2</v>
      </c>
      <c r="G17" s="276">
        <v>15</v>
      </c>
      <c r="H17" s="267">
        <v>1857</v>
      </c>
      <c r="I17" s="268">
        <v>352</v>
      </c>
      <c r="J17" s="269">
        <f t="shared" si="3"/>
        <v>176</v>
      </c>
      <c r="K17" s="270">
        <f t="shared" si="4"/>
        <v>5.275568181818182</v>
      </c>
      <c r="L17" s="271">
        <v>13240020</v>
      </c>
      <c r="M17" s="269">
        <v>1491205</v>
      </c>
      <c r="N17" s="272">
        <f>+L17/M17</f>
        <v>8.87873900637404</v>
      </c>
      <c r="O17" s="277"/>
      <c r="P17" s="132"/>
    </row>
    <row r="18" spans="1:16" ht="12" customHeight="1">
      <c r="A18" s="228">
        <v>15</v>
      </c>
      <c r="B18" s="245">
        <v>2012</v>
      </c>
      <c r="C18" s="246">
        <v>40130</v>
      </c>
      <c r="D18" s="247" t="s">
        <v>321</v>
      </c>
      <c r="E18" s="248">
        <v>178</v>
      </c>
      <c r="F18" s="248">
        <v>1</v>
      </c>
      <c r="G18" s="248">
        <v>22</v>
      </c>
      <c r="H18" s="263">
        <v>1785</v>
      </c>
      <c r="I18" s="258">
        <v>510</v>
      </c>
      <c r="J18" s="259">
        <f t="shared" si="3"/>
        <v>510</v>
      </c>
      <c r="K18" s="260">
        <f t="shared" si="4"/>
        <v>3.5</v>
      </c>
      <c r="L18" s="264">
        <v>13262216</v>
      </c>
      <c r="M18" s="261">
        <v>1496210</v>
      </c>
      <c r="N18" s="255">
        <f>+L18/M18</f>
        <v>8.863873386757206</v>
      </c>
      <c r="O18" s="277"/>
      <c r="P18" s="132"/>
    </row>
    <row r="19" spans="1:16" ht="12" customHeight="1">
      <c r="A19" s="228">
        <v>16</v>
      </c>
      <c r="B19" s="245">
        <v>2012</v>
      </c>
      <c r="C19" s="246">
        <v>40130</v>
      </c>
      <c r="D19" s="247" t="s">
        <v>321</v>
      </c>
      <c r="E19" s="248">
        <v>178</v>
      </c>
      <c r="F19" s="248">
        <v>1</v>
      </c>
      <c r="G19" s="248">
        <v>25</v>
      </c>
      <c r="H19" s="263">
        <v>722</v>
      </c>
      <c r="I19" s="258">
        <v>100</v>
      </c>
      <c r="J19" s="259">
        <f t="shared" si="3"/>
        <v>100</v>
      </c>
      <c r="K19" s="260">
        <f t="shared" si="4"/>
        <v>7.22</v>
      </c>
      <c r="L19" s="264">
        <v>13268138</v>
      </c>
      <c r="M19" s="261">
        <v>1497017</v>
      </c>
      <c r="N19" s="255">
        <f>+L19/M19</f>
        <v>8.863050987396937</v>
      </c>
      <c r="O19" s="277"/>
      <c r="P19" s="132"/>
    </row>
    <row r="20" spans="1:16" ht="12" customHeight="1">
      <c r="A20" s="228">
        <v>17</v>
      </c>
      <c r="B20" s="245">
        <v>2012</v>
      </c>
      <c r="C20" s="265">
        <v>40130</v>
      </c>
      <c r="D20" s="247" t="s">
        <v>321</v>
      </c>
      <c r="E20" s="276">
        <v>178</v>
      </c>
      <c r="F20" s="276">
        <v>1</v>
      </c>
      <c r="G20" s="276">
        <v>23</v>
      </c>
      <c r="H20" s="267">
        <v>150</v>
      </c>
      <c r="I20" s="268">
        <v>25</v>
      </c>
      <c r="J20" s="269">
        <f t="shared" si="3"/>
        <v>25</v>
      </c>
      <c r="K20" s="270">
        <f t="shared" si="4"/>
        <v>6</v>
      </c>
      <c r="L20" s="271">
        <v>13262216</v>
      </c>
      <c r="M20" s="269">
        <v>1496235</v>
      </c>
      <c r="N20" s="272">
        <f>+L20/M20</f>
        <v>8.863725283795661</v>
      </c>
      <c r="O20" s="277">
        <v>1</v>
      </c>
      <c r="P20" s="132"/>
    </row>
    <row r="21" spans="1:16" ht="12" customHeight="1">
      <c r="A21" s="228">
        <v>18</v>
      </c>
      <c r="B21" s="245" t="s">
        <v>345</v>
      </c>
      <c r="C21" s="246">
        <v>40095</v>
      </c>
      <c r="D21" s="247" t="s">
        <v>334</v>
      </c>
      <c r="E21" s="248">
        <v>22</v>
      </c>
      <c r="F21" s="248">
        <v>4</v>
      </c>
      <c r="G21" s="248">
        <v>15</v>
      </c>
      <c r="H21" s="263">
        <v>6600.5</v>
      </c>
      <c r="I21" s="258">
        <v>837</v>
      </c>
      <c r="J21" s="259">
        <f>(I21/F21)</f>
        <v>209.25</v>
      </c>
      <c r="K21" s="260">
        <f t="shared" si="4"/>
        <v>7.885902031063321</v>
      </c>
      <c r="L21" s="264">
        <f>158809.5+140713.25+103696.25+38523+19360+17458+1188+196+2484+3158+1780+2933+1780+2461+6600.5</f>
        <v>501140.5</v>
      </c>
      <c r="M21" s="261">
        <f>14214+13110+10683+4685+3074+2645+297+16+571+596+445+584+445+466+837</f>
        <v>52668</v>
      </c>
      <c r="N21" s="255">
        <f>L21/M21</f>
        <v>9.515085061137693</v>
      </c>
      <c r="O21" s="277"/>
      <c r="P21" s="132"/>
    </row>
    <row r="22" spans="1:16" ht="12" customHeight="1">
      <c r="A22" s="228">
        <v>19</v>
      </c>
      <c r="B22" s="245" t="s">
        <v>345</v>
      </c>
      <c r="C22" s="265">
        <v>40095</v>
      </c>
      <c r="D22" s="247" t="s">
        <v>322</v>
      </c>
      <c r="E22" s="276">
        <v>22</v>
      </c>
      <c r="F22" s="276">
        <v>3</v>
      </c>
      <c r="G22" s="276">
        <v>10</v>
      </c>
      <c r="H22" s="267">
        <v>3158</v>
      </c>
      <c r="I22" s="268">
        <v>596</v>
      </c>
      <c r="J22" s="269">
        <f>(I22/F22)</f>
        <v>198.66666666666666</v>
      </c>
      <c r="K22" s="270">
        <f t="shared" si="4"/>
        <v>5.298657718120805</v>
      </c>
      <c r="L22" s="271">
        <f>158809.5+140713.25+103696.25+38523+19360+17458+1188+196+2484+3158</f>
        <v>485586</v>
      </c>
      <c r="M22" s="269">
        <f>14214+13110+10683+4685+3074+2645+297+16+571+596</f>
        <v>49891</v>
      </c>
      <c r="N22" s="272">
        <f>L22/M22</f>
        <v>9.732937804413622</v>
      </c>
      <c r="O22" s="202"/>
      <c r="P22" s="132"/>
    </row>
    <row r="23" spans="1:16" ht="12" customHeight="1">
      <c r="A23" s="228">
        <v>20</v>
      </c>
      <c r="B23" s="245" t="s">
        <v>345</v>
      </c>
      <c r="C23" s="265">
        <v>40095</v>
      </c>
      <c r="D23" s="275" t="s">
        <v>322</v>
      </c>
      <c r="E23" s="276">
        <v>22</v>
      </c>
      <c r="F23" s="276">
        <v>2</v>
      </c>
      <c r="G23" s="276">
        <v>12</v>
      </c>
      <c r="H23" s="263">
        <v>2933</v>
      </c>
      <c r="I23" s="258">
        <v>584</v>
      </c>
      <c r="J23" s="269">
        <f>I23/F23</f>
        <v>292</v>
      </c>
      <c r="K23" s="270">
        <f>+H23/I23</f>
        <v>5.022260273972603</v>
      </c>
      <c r="L23" s="271">
        <f>158809.5+140713.25+103696.25+38523+19360+17458+1188+196+2484+3158+1780+2933</f>
        <v>490299</v>
      </c>
      <c r="M23" s="269">
        <f>14214+13110+10683+4685+3074+2645+297+16+571+596+445+584</f>
        <v>50920</v>
      </c>
      <c r="N23" s="272">
        <f>L23/M23</f>
        <v>9.628809897879027</v>
      </c>
      <c r="O23" s="202">
        <v>1</v>
      </c>
      <c r="P23" s="132"/>
    </row>
    <row r="24" spans="1:16" ht="12" customHeight="1">
      <c r="A24" s="228">
        <v>21</v>
      </c>
      <c r="B24" s="245" t="s">
        <v>345</v>
      </c>
      <c r="C24" s="265">
        <v>40095</v>
      </c>
      <c r="D24" s="247" t="s">
        <v>334</v>
      </c>
      <c r="E24" s="276">
        <v>22</v>
      </c>
      <c r="F24" s="276">
        <v>1</v>
      </c>
      <c r="G24" s="276">
        <v>16</v>
      </c>
      <c r="H24" s="267">
        <v>2668.5</v>
      </c>
      <c r="I24" s="268">
        <v>295</v>
      </c>
      <c r="J24" s="269">
        <f>I24/F24</f>
        <v>295</v>
      </c>
      <c r="K24" s="270">
        <f>H24/I24</f>
        <v>9.045762711864407</v>
      </c>
      <c r="L24" s="271">
        <f>158809.5+140713.25+103696.25+38523+19360+17458+1188+196+2484+3158+1780+2933+1780+2461+6600.5+2668.5</f>
        <v>503809</v>
      </c>
      <c r="M24" s="269">
        <f>14214+13110+10683+4685+3074+2645+297+16+571+596+445+584+445+466+837+295</f>
        <v>52963</v>
      </c>
      <c r="N24" s="272">
        <f>+L24/M24</f>
        <v>9.51247097030002</v>
      </c>
      <c r="O24" s="202"/>
      <c r="P24" s="132"/>
    </row>
    <row r="25" spans="1:16" ht="12" customHeight="1">
      <c r="A25" s="228">
        <v>22</v>
      </c>
      <c r="B25" s="245" t="s">
        <v>345</v>
      </c>
      <c r="C25" s="246">
        <v>40095</v>
      </c>
      <c r="D25" s="247" t="s">
        <v>322</v>
      </c>
      <c r="E25" s="248">
        <v>22</v>
      </c>
      <c r="F25" s="248">
        <v>2</v>
      </c>
      <c r="G25" s="248">
        <v>9</v>
      </c>
      <c r="H25" s="263">
        <v>2484</v>
      </c>
      <c r="I25" s="258">
        <v>571</v>
      </c>
      <c r="J25" s="259">
        <f>(I25/F25)</f>
        <v>285.5</v>
      </c>
      <c r="K25" s="260">
        <f>H25/I25</f>
        <v>4.350262697022767</v>
      </c>
      <c r="L25" s="264">
        <f>158809.5+140713.25+103696.25+38523+19360+17458+1188+196+2484</f>
        <v>482428</v>
      </c>
      <c r="M25" s="261">
        <f>14214+13110+10683+4685+3074+2645+297+16+571</f>
        <v>49295</v>
      </c>
      <c r="N25" s="255">
        <f>L25/M25</f>
        <v>9.786550360077086</v>
      </c>
      <c r="O25" s="224"/>
      <c r="P25" s="132"/>
    </row>
    <row r="26" spans="1:16" ht="12" customHeight="1">
      <c r="A26" s="228">
        <v>23</v>
      </c>
      <c r="B26" s="245" t="s">
        <v>345</v>
      </c>
      <c r="C26" s="246">
        <v>40095</v>
      </c>
      <c r="D26" s="247" t="s">
        <v>322</v>
      </c>
      <c r="E26" s="248">
        <v>22</v>
      </c>
      <c r="F26" s="248">
        <v>3</v>
      </c>
      <c r="G26" s="248">
        <v>14</v>
      </c>
      <c r="H26" s="263">
        <v>2461</v>
      </c>
      <c r="I26" s="258">
        <v>466</v>
      </c>
      <c r="J26" s="259">
        <f>I26/F26</f>
        <v>155.33333333333334</v>
      </c>
      <c r="K26" s="260">
        <f>H26/I26</f>
        <v>5.281115879828326</v>
      </c>
      <c r="L26" s="264">
        <f>158809.5+140713.25+103696.25+38523+19360+17458+1188+196+2484+3158+1780+2933+1780+2461</f>
        <v>494540</v>
      </c>
      <c r="M26" s="261">
        <f>14214+13110+10683+4685+3074+2645+297+16+571+596+445+584+445+466</f>
        <v>51831</v>
      </c>
      <c r="N26" s="255">
        <f>+L26/M26</f>
        <v>9.541394146360286</v>
      </c>
      <c r="O26" s="277"/>
      <c r="P26" s="132"/>
    </row>
    <row r="27" spans="1:16" ht="12" customHeight="1">
      <c r="A27" s="228">
        <v>24</v>
      </c>
      <c r="B27" s="245" t="s">
        <v>345</v>
      </c>
      <c r="C27" s="246">
        <v>40095</v>
      </c>
      <c r="D27" s="247" t="s">
        <v>322</v>
      </c>
      <c r="E27" s="248">
        <v>22</v>
      </c>
      <c r="F27" s="248">
        <v>1</v>
      </c>
      <c r="G27" s="248">
        <v>11</v>
      </c>
      <c r="H27" s="263">
        <v>1780</v>
      </c>
      <c r="I27" s="258">
        <v>445</v>
      </c>
      <c r="J27" s="259">
        <f>(I27/F27)</f>
        <v>445</v>
      </c>
      <c r="K27" s="260">
        <f>+H27/I27</f>
        <v>4</v>
      </c>
      <c r="L27" s="264">
        <f>158809.5+140713.25+103696.25+38523+19360+17458+1188+196+2484+3158+1780</f>
        <v>487366</v>
      </c>
      <c r="M27" s="261">
        <f>14214+13110+10683+4685+3074+2645+297+16+571+596+445</f>
        <v>50336</v>
      </c>
      <c r="N27" s="255">
        <f>L27/M27</f>
        <v>9.682255244755245</v>
      </c>
      <c r="O27" s="278"/>
      <c r="P27" s="132"/>
    </row>
    <row r="28" spans="1:16" ht="12" customHeight="1">
      <c r="A28" s="228">
        <v>25</v>
      </c>
      <c r="B28" s="245" t="s">
        <v>345</v>
      </c>
      <c r="C28" s="246">
        <v>40095</v>
      </c>
      <c r="D28" s="247" t="s">
        <v>322</v>
      </c>
      <c r="E28" s="248">
        <v>22</v>
      </c>
      <c r="F28" s="248">
        <v>1</v>
      </c>
      <c r="G28" s="248">
        <v>13</v>
      </c>
      <c r="H28" s="263">
        <v>1780</v>
      </c>
      <c r="I28" s="258">
        <v>445</v>
      </c>
      <c r="J28" s="259">
        <f>(I28/F28)</f>
        <v>445</v>
      </c>
      <c r="K28" s="260">
        <f>H28/I28</f>
        <v>4</v>
      </c>
      <c r="L28" s="264">
        <f>158809.5+140713.25+103696.25+38523+19360+17458+1188+196+2484+3158+1780+2933+1780</f>
        <v>492079</v>
      </c>
      <c r="M28" s="261">
        <f>14214+13110+10683+4685+3074+2645+297+16+571+596+445+584+445</f>
        <v>51365</v>
      </c>
      <c r="N28" s="255">
        <f>L28/M28</f>
        <v>9.580044777572278</v>
      </c>
      <c r="O28" s="277">
        <v>1</v>
      </c>
      <c r="P28" s="132"/>
    </row>
    <row r="29" spans="1:16" ht="12" customHeight="1">
      <c r="A29" s="228">
        <v>26</v>
      </c>
      <c r="B29" s="245" t="s">
        <v>345</v>
      </c>
      <c r="C29" s="246">
        <v>40095</v>
      </c>
      <c r="D29" s="247" t="s">
        <v>322</v>
      </c>
      <c r="E29" s="248">
        <v>22</v>
      </c>
      <c r="F29" s="248">
        <v>1</v>
      </c>
      <c r="G29" s="248">
        <v>19</v>
      </c>
      <c r="H29" s="263">
        <v>476</v>
      </c>
      <c r="I29" s="258">
        <v>72</v>
      </c>
      <c r="J29" s="259">
        <f>(I29/F29)</f>
        <v>72</v>
      </c>
      <c r="K29" s="260">
        <f>H29/I29</f>
        <v>6.611111111111111</v>
      </c>
      <c r="L29" s="264">
        <f>158809.5+140713.25+103696.25+38523+19360+17458+1188+196+2484+3158+1780+2933+1780+2461+6600.5+2668.5+440+441+476</f>
        <v>505166</v>
      </c>
      <c r="M29" s="261">
        <f>14214+13110+10683+4685+3074+2645+297+16+571+596+445+584+445+466+837+295+44+65+72</f>
        <v>53144</v>
      </c>
      <c r="N29" s="255">
        <f>L29/M29</f>
        <v>9.505607406292338</v>
      </c>
      <c r="O29" s="277"/>
      <c r="P29" s="132"/>
    </row>
    <row r="30" spans="1:16" ht="12" customHeight="1">
      <c r="A30" s="228">
        <v>27</v>
      </c>
      <c r="B30" s="245" t="s">
        <v>345</v>
      </c>
      <c r="C30" s="246">
        <v>40095</v>
      </c>
      <c r="D30" s="247" t="s">
        <v>322</v>
      </c>
      <c r="E30" s="248">
        <v>22</v>
      </c>
      <c r="F30" s="248">
        <v>1</v>
      </c>
      <c r="G30" s="248">
        <v>18</v>
      </c>
      <c r="H30" s="263">
        <v>441</v>
      </c>
      <c r="I30" s="258">
        <v>65</v>
      </c>
      <c r="J30" s="259">
        <f>(I30/F30)</f>
        <v>65</v>
      </c>
      <c r="K30" s="260">
        <f>H30/I30</f>
        <v>6.7846153846153845</v>
      </c>
      <c r="L30" s="264">
        <f>158809.5+140713.25+103696.25+38523+19360+17458+1188+196+2484+3158+1780+2933+1780+2461+6600.5+2668.5+440+441</f>
        <v>504690</v>
      </c>
      <c r="M30" s="261">
        <f>14214+13110+10683+4685+3074+2645+297+16+571+596+445+584+445+466+837+295+44+65</f>
        <v>53072</v>
      </c>
      <c r="N30" s="255">
        <f>L30/M30</f>
        <v>9.509534217666566</v>
      </c>
      <c r="O30" s="277">
        <v>1</v>
      </c>
      <c r="P30" s="132"/>
    </row>
    <row r="31" spans="1:16" ht="12" customHeight="1">
      <c r="A31" s="228">
        <v>28</v>
      </c>
      <c r="B31" s="245" t="s">
        <v>247</v>
      </c>
      <c r="C31" s="246">
        <v>40081</v>
      </c>
      <c r="D31" s="247" t="s">
        <v>349</v>
      </c>
      <c r="E31" s="248">
        <v>30</v>
      </c>
      <c r="F31" s="248">
        <v>1</v>
      </c>
      <c r="G31" s="248">
        <v>7</v>
      </c>
      <c r="H31" s="263">
        <v>4242</v>
      </c>
      <c r="I31" s="258">
        <v>864</v>
      </c>
      <c r="J31" s="259">
        <f aca="true" t="shared" si="5" ref="J31:J43">I31/F31</f>
        <v>864</v>
      </c>
      <c r="K31" s="260">
        <f>+H31/I31</f>
        <v>4.909722222222222</v>
      </c>
      <c r="L31" s="264">
        <v>109324.35</v>
      </c>
      <c r="M31" s="261">
        <v>13970</v>
      </c>
      <c r="N31" s="255">
        <f>+L31/M31</f>
        <v>7.825651395848246</v>
      </c>
      <c r="O31" s="279"/>
      <c r="P31" s="132"/>
    </row>
    <row r="32" spans="1:16" ht="12" customHeight="1">
      <c r="A32" s="228">
        <v>29</v>
      </c>
      <c r="B32" s="245" t="s">
        <v>247</v>
      </c>
      <c r="C32" s="246">
        <v>40081</v>
      </c>
      <c r="D32" s="247" t="s">
        <v>497</v>
      </c>
      <c r="E32" s="248">
        <v>30</v>
      </c>
      <c r="F32" s="248">
        <v>1</v>
      </c>
      <c r="G32" s="248">
        <v>9</v>
      </c>
      <c r="H32" s="263">
        <v>492.59</v>
      </c>
      <c r="I32" s="258">
        <v>120</v>
      </c>
      <c r="J32" s="259">
        <f t="shared" si="5"/>
        <v>120</v>
      </c>
      <c r="K32" s="260">
        <f aca="true" t="shared" si="6" ref="K32:K38">H32/I32</f>
        <v>4.104916666666666</v>
      </c>
      <c r="L32" s="264">
        <v>110258.59</v>
      </c>
      <c r="M32" s="261">
        <v>14189</v>
      </c>
      <c r="N32" s="255">
        <f>+L32/M32</f>
        <v>7.770708999929522</v>
      </c>
      <c r="O32" s="279"/>
      <c r="P32" s="132"/>
    </row>
    <row r="33" spans="1:16" ht="12" customHeight="1">
      <c r="A33" s="228">
        <v>30</v>
      </c>
      <c r="B33" s="245" t="s">
        <v>247</v>
      </c>
      <c r="C33" s="246">
        <v>40081</v>
      </c>
      <c r="D33" s="247" t="s">
        <v>323</v>
      </c>
      <c r="E33" s="248">
        <v>30</v>
      </c>
      <c r="F33" s="248">
        <v>1</v>
      </c>
      <c r="G33" s="248">
        <v>8</v>
      </c>
      <c r="H33" s="263">
        <v>441.65</v>
      </c>
      <c r="I33" s="258">
        <v>99</v>
      </c>
      <c r="J33" s="259">
        <f t="shared" si="5"/>
        <v>99</v>
      </c>
      <c r="K33" s="260">
        <f t="shared" si="6"/>
        <v>4.461111111111111</v>
      </c>
      <c r="L33" s="264">
        <f>105083+638.35+3603+441.65</f>
        <v>109766</v>
      </c>
      <c r="M33" s="261">
        <f>13106+143+721+99</f>
        <v>14069</v>
      </c>
      <c r="N33" s="255">
        <f>+L33/M33</f>
        <v>7.801975975549079</v>
      </c>
      <c r="O33" s="277">
        <v>1</v>
      </c>
      <c r="P33" s="132"/>
    </row>
    <row r="34" spans="1:16" ht="12" customHeight="1">
      <c r="A34" s="228">
        <v>31</v>
      </c>
      <c r="B34" s="245" t="s">
        <v>248</v>
      </c>
      <c r="C34" s="265">
        <v>39493</v>
      </c>
      <c r="D34" s="275" t="s">
        <v>349</v>
      </c>
      <c r="E34" s="276">
        <v>179</v>
      </c>
      <c r="F34" s="276">
        <v>1</v>
      </c>
      <c r="G34" s="276">
        <v>46</v>
      </c>
      <c r="H34" s="280">
        <v>3844</v>
      </c>
      <c r="I34" s="268">
        <v>769</v>
      </c>
      <c r="J34" s="269">
        <f t="shared" si="5"/>
        <v>769</v>
      </c>
      <c r="K34" s="270">
        <f t="shared" si="6"/>
        <v>4.998699609882965</v>
      </c>
      <c r="L34" s="271">
        <v>5039812.5</v>
      </c>
      <c r="M34" s="269">
        <f>1038442</f>
        <v>1038442</v>
      </c>
      <c r="N34" s="272">
        <f>+L34/M34</f>
        <v>4.853244090666594</v>
      </c>
      <c r="O34" s="277"/>
      <c r="P34" s="132"/>
    </row>
    <row r="35" spans="1:16" ht="12" customHeight="1">
      <c r="A35" s="228">
        <v>32</v>
      </c>
      <c r="B35" s="245" t="s">
        <v>67</v>
      </c>
      <c r="C35" s="265">
        <v>40137</v>
      </c>
      <c r="D35" s="247" t="s">
        <v>359</v>
      </c>
      <c r="E35" s="276">
        <v>149</v>
      </c>
      <c r="F35" s="276">
        <v>2</v>
      </c>
      <c r="G35" s="276">
        <v>20</v>
      </c>
      <c r="H35" s="267">
        <v>2120</v>
      </c>
      <c r="I35" s="268">
        <v>423</v>
      </c>
      <c r="J35" s="269">
        <f t="shared" si="5"/>
        <v>211.5</v>
      </c>
      <c r="K35" s="270">
        <f t="shared" si="6"/>
        <v>5.011820330969267</v>
      </c>
      <c r="L35" s="271">
        <v>3161987.5</v>
      </c>
      <c r="M35" s="269">
        <v>372023</v>
      </c>
      <c r="N35" s="272">
        <f>L35/M35</f>
        <v>8.499440894783387</v>
      </c>
      <c r="O35" s="277"/>
      <c r="P35" s="132"/>
    </row>
    <row r="36" spans="1:16" ht="12" customHeight="1">
      <c r="A36" s="228">
        <v>33</v>
      </c>
      <c r="B36" s="281" t="s">
        <v>249</v>
      </c>
      <c r="C36" s="265">
        <v>40137</v>
      </c>
      <c r="D36" s="266" t="s">
        <v>359</v>
      </c>
      <c r="E36" s="276">
        <v>149</v>
      </c>
      <c r="F36" s="276">
        <v>9</v>
      </c>
      <c r="G36" s="276">
        <v>7</v>
      </c>
      <c r="H36" s="280">
        <v>27101.5</v>
      </c>
      <c r="I36" s="282">
        <v>4448</v>
      </c>
      <c r="J36" s="283">
        <f t="shared" si="5"/>
        <v>494.22222222222223</v>
      </c>
      <c r="K36" s="270">
        <f t="shared" si="6"/>
        <v>6.092963129496403</v>
      </c>
      <c r="L36" s="284">
        <v>3103393</v>
      </c>
      <c r="M36" s="283">
        <v>360904</v>
      </c>
      <c r="N36" s="272">
        <f>L36/M36</f>
        <v>8.598943209274488</v>
      </c>
      <c r="O36" s="277"/>
      <c r="P36" s="132"/>
    </row>
    <row r="37" spans="1:16" ht="12" customHeight="1">
      <c r="A37" s="228">
        <v>34</v>
      </c>
      <c r="B37" s="281" t="s">
        <v>249</v>
      </c>
      <c r="C37" s="265">
        <v>40137</v>
      </c>
      <c r="D37" s="266" t="s">
        <v>359</v>
      </c>
      <c r="E37" s="276">
        <v>149</v>
      </c>
      <c r="F37" s="276">
        <v>10</v>
      </c>
      <c r="G37" s="276">
        <v>9</v>
      </c>
      <c r="H37" s="280">
        <v>17098.5</v>
      </c>
      <c r="I37" s="282">
        <v>3701</v>
      </c>
      <c r="J37" s="283">
        <f t="shared" si="5"/>
        <v>370.1</v>
      </c>
      <c r="K37" s="285">
        <f t="shared" si="6"/>
        <v>4.619967576330722</v>
      </c>
      <c r="L37" s="284">
        <v>3130396</v>
      </c>
      <c r="M37" s="283">
        <v>366723</v>
      </c>
      <c r="N37" s="272">
        <f>L37/M37</f>
        <v>8.536132176056588</v>
      </c>
      <c r="O37" s="277">
        <v>1</v>
      </c>
      <c r="P37" s="132"/>
    </row>
    <row r="38" spans="1:16" ht="12" customHeight="1">
      <c r="A38" s="228">
        <v>35</v>
      </c>
      <c r="B38" s="281" t="s">
        <v>249</v>
      </c>
      <c r="C38" s="265">
        <v>40137</v>
      </c>
      <c r="D38" s="266" t="s">
        <v>359</v>
      </c>
      <c r="E38" s="276">
        <v>149</v>
      </c>
      <c r="F38" s="276">
        <v>9</v>
      </c>
      <c r="G38" s="276">
        <v>8</v>
      </c>
      <c r="H38" s="280">
        <v>9904.5</v>
      </c>
      <c r="I38" s="282">
        <v>2118</v>
      </c>
      <c r="J38" s="283">
        <f t="shared" si="5"/>
        <v>235.33333333333334</v>
      </c>
      <c r="K38" s="285">
        <f t="shared" si="6"/>
        <v>4.676345609065156</v>
      </c>
      <c r="L38" s="284">
        <v>3113297.5</v>
      </c>
      <c r="M38" s="283">
        <v>363022</v>
      </c>
      <c r="N38" s="272">
        <f>L38/M38</f>
        <v>8.57605737393326</v>
      </c>
      <c r="O38" s="202"/>
      <c r="P38" s="132"/>
    </row>
    <row r="39" spans="1:16" ht="12" customHeight="1">
      <c r="A39" s="228">
        <v>36</v>
      </c>
      <c r="B39" s="245" t="s">
        <v>249</v>
      </c>
      <c r="C39" s="265">
        <v>40137</v>
      </c>
      <c r="D39" s="286" t="s">
        <v>359</v>
      </c>
      <c r="E39" s="287">
        <v>149</v>
      </c>
      <c r="F39" s="287">
        <v>3</v>
      </c>
      <c r="G39" s="287">
        <v>17</v>
      </c>
      <c r="H39" s="288">
        <v>8569</v>
      </c>
      <c r="I39" s="289">
        <v>1096</v>
      </c>
      <c r="J39" s="283">
        <f t="shared" si="5"/>
        <v>365.3333333333333</v>
      </c>
      <c r="K39" s="285">
        <f>+H39/I39</f>
        <v>7.818430656934306</v>
      </c>
      <c r="L39" s="284">
        <v>3155497.5</v>
      </c>
      <c r="M39" s="283">
        <v>370740</v>
      </c>
      <c r="N39" s="290">
        <f>+L39/M39</f>
        <v>8.511348923774074</v>
      </c>
      <c r="O39" s="291"/>
      <c r="P39" s="132"/>
    </row>
    <row r="40" spans="1:16" ht="12" customHeight="1">
      <c r="A40" s="228">
        <v>37</v>
      </c>
      <c r="B40" s="281" t="s">
        <v>249</v>
      </c>
      <c r="C40" s="265">
        <v>40137</v>
      </c>
      <c r="D40" s="286" t="s">
        <v>359</v>
      </c>
      <c r="E40" s="276">
        <v>149</v>
      </c>
      <c r="F40" s="276">
        <v>1</v>
      </c>
      <c r="G40" s="276">
        <v>14</v>
      </c>
      <c r="H40" s="280">
        <v>8232.5</v>
      </c>
      <c r="I40" s="282">
        <v>1373</v>
      </c>
      <c r="J40" s="283">
        <f t="shared" si="5"/>
        <v>1373</v>
      </c>
      <c r="K40" s="285">
        <f>H40/I40</f>
        <v>5.995994173343044</v>
      </c>
      <c r="L40" s="284">
        <v>3142997</v>
      </c>
      <c r="M40" s="283">
        <v>368955</v>
      </c>
      <c r="N40" s="272">
        <f>+L40/M40</f>
        <v>8.518645905327208</v>
      </c>
      <c r="O40" s="279"/>
      <c r="P40" s="132"/>
    </row>
    <row r="41" spans="1:16" ht="12" customHeight="1">
      <c r="A41" s="228">
        <v>38</v>
      </c>
      <c r="B41" s="245" t="s">
        <v>249</v>
      </c>
      <c r="C41" s="246">
        <v>40137</v>
      </c>
      <c r="D41" s="286" t="s">
        <v>359</v>
      </c>
      <c r="E41" s="248">
        <v>149</v>
      </c>
      <c r="F41" s="248">
        <v>1</v>
      </c>
      <c r="G41" s="248">
        <v>16</v>
      </c>
      <c r="H41" s="249">
        <v>2013.5</v>
      </c>
      <c r="I41" s="250">
        <v>370</v>
      </c>
      <c r="J41" s="251">
        <f t="shared" si="5"/>
        <v>370</v>
      </c>
      <c r="K41" s="252">
        <f>H41/I41</f>
        <v>5.441891891891892</v>
      </c>
      <c r="L41" s="253">
        <v>3146928.5</v>
      </c>
      <c r="M41" s="254">
        <v>369644</v>
      </c>
      <c r="N41" s="255">
        <f>IF(L41&lt;&gt;0,L41/M41,"")</f>
        <v>8.513403436820292</v>
      </c>
      <c r="O41" s="279"/>
      <c r="P41" s="132"/>
    </row>
    <row r="42" spans="1:16" ht="12" customHeight="1">
      <c r="A42" s="228">
        <v>39</v>
      </c>
      <c r="B42" s="281" t="s">
        <v>249</v>
      </c>
      <c r="C42" s="265">
        <v>40137</v>
      </c>
      <c r="D42" s="286" t="s">
        <v>359</v>
      </c>
      <c r="E42" s="276">
        <v>149</v>
      </c>
      <c r="F42" s="276">
        <v>1</v>
      </c>
      <c r="G42" s="276">
        <v>13</v>
      </c>
      <c r="H42" s="280">
        <v>1987</v>
      </c>
      <c r="I42" s="282">
        <v>399</v>
      </c>
      <c r="J42" s="283">
        <f t="shared" si="5"/>
        <v>399</v>
      </c>
      <c r="K42" s="285">
        <f>H42/I42</f>
        <v>4.979949874686716</v>
      </c>
      <c r="L42" s="284">
        <v>3134764.5</v>
      </c>
      <c r="M42" s="283">
        <v>367582</v>
      </c>
      <c r="N42" s="272">
        <f>L42/M42</f>
        <v>8.52806856701362</v>
      </c>
      <c r="O42" s="292"/>
      <c r="P42" s="132"/>
    </row>
    <row r="43" spans="1:16" ht="12" customHeight="1">
      <c r="A43" s="228">
        <v>40</v>
      </c>
      <c r="B43" s="281" t="s">
        <v>249</v>
      </c>
      <c r="C43" s="265">
        <v>40137</v>
      </c>
      <c r="D43" s="266" t="s">
        <v>359</v>
      </c>
      <c r="E43" s="287">
        <v>149</v>
      </c>
      <c r="F43" s="287">
        <v>1</v>
      </c>
      <c r="G43" s="287">
        <v>15</v>
      </c>
      <c r="H43" s="288">
        <v>1918</v>
      </c>
      <c r="I43" s="289">
        <v>319</v>
      </c>
      <c r="J43" s="283">
        <f t="shared" si="5"/>
        <v>319</v>
      </c>
      <c r="K43" s="285">
        <f>H43/I43</f>
        <v>6.012539184952978</v>
      </c>
      <c r="L43" s="284">
        <v>3144915</v>
      </c>
      <c r="M43" s="283">
        <v>369274</v>
      </c>
      <c r="N43" s="272">
        <f>L43/M43</f>
        <v>8.51648098701777</v>
      </c>
      <c r="O43" s="202"/>
      <c r="P43" s="132"/>
    </row>
    <row r="44" spans="1:16" ht="12" customHeight="1">
      <c r="A44" s="228">
        <v>41</v>
      </c>
      <c r="B44" s="281" t="s">
        <v>249</v>
      </c>
      <c r="C44" s="265">
        <v>40137</v>
      </c>
      <c r="D44" s="286" t="s">
        <v>359</v>
      </c>
      <c r="E44" s="276">
        <v>149</v>
      </c>
      <c r="F44" s="276">
        <v>1</v>
      </c>
      <c r="G44" s="276">
        <v>12</v>
      </c>
      <c r="H44" s="267">
        <v>1725.5</v>
      </c>
      <c r="I44" s="268">
        <v>350</v>
      </c>
      <c r="J44" s="269">
        <f>(I44/F44)</f>
        <v>350</v>
      </c>
      <c r="K44" s="270">
        <f>(J44/G44)</f>
        <v>29.166666666666668</v>
      </c>
      <c r="L44" s="271">
        <v>3132777.5</v>
      </c>
      <c r="M44" s="269">
        <v>367183</v>
      </c>
      <c r="N44" s="272">
        <f>L44/M44</f>
        <v>8.531924135921326</v>
      </c>
      <c r="O44" s="279"/>
      <c r="P44" s="132"/>
    </row>
    <row r="45" spans="1:16" ht="12" customHeight="1">
      <c r="A45" s="228">
        <v>42</v>
      </c>
      <c r="B45" s="245" t="s">
        <v>249</v>
      </c>
      <c r="C45" s="265">
        <v>40137</v>
      </c>
      <c r="D45" s="247" t="s">
        <v>359</v>
      </c>
      <c r="E45" s="276">
        <v>149</v>
      </c>
      <c r="F45" s="276">
        <v>1</v>
      </c>
      <c r="G45" s="276">
        <v>21</v>
      </c>
      <c r="H45" s="267">
        <v>1188</v>
      </c>
      <c r="I45" s="268">
        <v>271</v>
      </c>
      <c r="J45" s="269">
        <f>I45/F45</f>
        <v>271</v>
      </c>
      <c r="K45" s="270">
        <f>H45/I45</f>
        <v>4.3837638376383765</v>
      </c>
      <c r="L45" s="271">
        <v>3163175.5</v>
      </c>
      <c r="M45" s="269">
        <v>372294</v>
      </c>
      <c r="N45" s="272">
        <f>+L45/M45</f>
        <v>8.496445013886875</v>
      </c>
      <c r="O45" s="277">
        <v>1</v>
      </c>
      <c r="P45" s="132"/>
    </row>
    <row r="46" spans="1:16" ht="12" customHeight="1">
      <c r="A46" s="228">
        <v>43</v>
      </c>
      <c r="B46" s="293" t="s">
        <v>249</v>
      </c>
      <c r="C46" s="265">
        <v>40137</v>
      </c>
      <c r="D46" s="275" t="s">
        <v>359</v>
      </c>
      <c r="E46" s="276">
        <v>149</v>
      </c>
      <c r="F46" s="276">
        <v>1</v>
      </c>
      <c r="G46" s="276">
        <v>18</v>
      </c>
      <c r="H46" s="280">
        <v>1188</v>
      </c>
      <c r="I46" s="282">
        <v>238</v>
      </c>
      <c r="J46" s="283">
        <f>I46/F46</f>
        <v>238</v>
      </c>
      <c r="K46" s="270">
        <f>H46/I46</f>
        <v>4.991596638655462</v>
      </c>
      <c r="L46" s="284">
        <v>3156685.5</v>
      </c>
      <c r="M46" s="283">
        <v>370978</v>
      </c>
      <c r="N46" s="272">
        <f>L46/M46</f>
        <v>8.509090835575156</v>
      </c>
      <c r="O46" s="279"/>
      <c r="P46" s="132"/>
    </row>
    <row r="47" spans="1:16" ht="12" customHeight="1">
      <c r="A47" s="228">
        <v>44</v>
      </c>
      <c r="B47" s="281" t="s">
        <v>249</v>
      </c>
      <c r="C47" s="265">
        <v>40137</v>
      </c>
      <c r="D47" s="286" t="s">
        <v>359</v>
      </c>
      <c r="E47" s="276">
        <v>149</v>
      </c>
      <c r="F47" s="276">
        <v>1</v>
      </c>
      <c r="G47" s="276">
        <v>11</v>
      </c>
      <c r="H47" s="267">
        <v>656</v>
      </c>
      <c r="I47" s="268">
        <v>110</v>
      </c>
      <c r="J47" s="269">
        <f>I47/F47</f>
        <v>110</v>
      </c>
      <c r="K47" s="270">
        <f>H47/I47</f>
        <v>5.963636363636364</v>
      </c>
      <c r="L47" s="271">
        <v>3131052</v>
      </c>
      <c r="M47" s="269">
        <v>366833</v>
      </c>
      <c r="N47" s="272">
        <f>L47/M47</f>
        <v>8.535360777247412</v>
      </c>
      <c r="O47" s="202"/>
      <c r="P47" s="132"/>
    </row>
    <row r="48" spans="1:16" ht="12" customHeight="1">
      <c r="A48" s="228">
        <v>45</v>
      </c>
      <c r="B48" s="245" t="s">
        <v>110</v>
      </c>
      <c r="C48" s="246">
        <v>40151</v>
      </c>
      <c r="D48" s="286" t="s">
        <v>418</v>
      </c>
      <c r="E48" s="248">
        <v>140</v>
      </c>
      <c r="F48" s="248">
        <v>19</v>
      </c>
      <c r="G48" s="248">
        <v>7</v>
      </c>
      <c r="H48" s="294">
        <v>16570</v>
      </c>
      <c r="I48" s="295">
        <v>2937</v>
      </c>
      <c r="J48" s="296">
        <f>IF(H48&lt;&gt;0,I48/F48,"")</f>
        <v>154.57894736842104</v>
      </c>
      <c r="K48" s="297">
        <f>IF(H48&lt;&gt;0,H48/I48,"")</f>
        <v>5.64181137214845</v>
      </c>
      <c r="L48" s="298">
        <v>1036414</v>
      </c>
      <c r="M48" s="269">
        <v>132115</v>
      </c>
      <c r="N48" s="299">
        <f>IF(L48&lt;&gt;0,L48/M48,"")</f>
        <v>7.844786738826023</v>
      </c>
      <c r="O48" s="279"/>
      <c r="P48" s="132"/>
    </row>
    <row r="49" spans="1:16" ht="12" customHeight="1">
      <c r="A49" s="228">
        <v>46</v>
      </c>
      <c r="B49" s="245" t="s">
        <v>111</v>
      </c>
      <c r="C49" s="246">
        <v>40151</v>
      </c>
      <c r="D49" s="286" t="s">
        <v>418</v>
      </c>
      <c r="E49" s="248">
        <v>140</v>
      </c>
      <c r="F49" s="248">
        <v>18</v>
      </c>
      <c r="G49" s="248">
        <v>6</v>
      </c>
      <c r="H49" s="294">
        <v>9901</v>
      </c>
      <c r="I49" s="300">
        <v>1541</v>
      </c>
      <c r="J49" s="301">
        <f>IF(H49&lt;&gt;0,I49/F49,"")</f>
        <v>85.61111111111111</v>
      </c>
      <c r="K49" s="302">
        <f>IF(H49&lt;&gt;0,H49/I49,"")</f>
        <v>6.425048669695003</v>
      </c>
      <c r="L49" s="298">
        <v>1019844</v>
      </c>
      <c r="M49" s="283">
        <v>129178</v>
      </c>
      <c r="N49" s="299">
        <f>IF(L49&lt;&gt;0,L49/M49,"")</f>
        <v>7.894873740110545</v>
      </c>
      <c r="O49" s="303"/>
      <c r="P49" s="132"/>
    </row>
    <row r="50" spans="1:16" ht="12" customHeight="1">
      <c r="A50" s="228">
        <v>47</v>
      </c>
      <c r="B50" s="245" t="s">
        <v>111</v>
      </c>
      <c r="C50" s="246">
        <v>40151</v>
      </c>
      <c r="D50" s="257" t="s">
        <v>418</v>
      </c>
      <c r="E50" s="248">
        <v>140</v>
      </c>
      <c r="F50" s="248">
        <v>15</v>
      </c>
      <c r="G50" s="248">
        <v>5</v>
      </c>
      <c r="H50" s="294">
        <v>6903</v>
      </c>
      <c r="I50" s="300">
        <v>1187</v>
      </c>
      <c r="J50" s="301">
        <f>IF(H50&lt;&gt;0,I50/F50,"")</f>
        <v>79.13333333333334</v>
      </c>
      <c r="K50" s="297">
        <f>IF(H50&lt;&gt;0,H50/I50,"")</f>
        <v>5.815501263689975</v>
      </c>
      <c r="L50" s="298">
        <v>1009943</v>
      </c>
      <c r="M50" s="283">
        <v>127637</v>
      </c>
      <c r="N50" s="299">
        <f>IF(L50&lt;&gt;0,L50/M50,"")</f>
        <v>7.9126193815273</v>
      </c>
      <c r="O50" s="202"/>
      <c r="P50" s="132"/>
    </row>
    <row r="51" spans="1:16" ht="12" customHeight="1">
      <c r="A51" s="228">
        <v>48</v>
      </c>
      <c r="B51" s="281" t="s">
        <v>110</v>
      </c>
      <c r="C51" s="265">
        <v>40151</v>
      </c>
      <c r="D51" s="286" t="s">
        <v>418</v>
      </c>
      <c r="E51" s="276">
        <v>140</v>
      </c>
      <c r="F51" s="276">
        <v>1</v>
      </c>
      <c r="G51" s="276">
        <v>11</v>
      </c>
      <c r="H51" s="280">
        <v>1761</v>
      </c>
      <c r="I51" s="282">
        <v>501</v>
      </c>
      <c r="J51" s="283">
        <f>I51/F51</f>
        <v>501</v>
      </c>
      <c r="K51" s="285">
        <f>H51/I51</f>
        <v>3.5149700598802394</v>
      </c>
      <c r="L51" s="284">
        <v>1040676.5</v>
      </c>
      <c r="M51" s="283">
        <v>133177</v>
      </c>
      <c r="N51" s="272">
        <f>+L51/M51</f>
        <v>7.8142359416415745</v>
      </c>
      <c r="O51" s="278"/>
      <c r="P51" s="132"/>
    </row>
    <row r="52" spans="1:16" ht="12" customHeight="1">
      <c r="A52" s="228">
        <v>49</v>
      </c>
      <c r="B52" s="281" t="s">
        <v>111</v>
      </c>
      <c r="C52" s="265">
        <v>40151</v>
      </c>
      <c r="D52" s="286" t="s">
        <v>418</v>
      </c>
      <c r="E52" s="276">
        <v>140</v>
      </c>
      <c r="F52" s="276">
        <v>3</v>
      </c>
      <c r="G52" s="276">
        <v>9</v>
      </c>
      <c r="H52" s="267">
        <v>1435.5</v>
      </c>
      <c r="I52" s="268">
        <v>375</v>
      </c>
      <c r="J52" s="269">
        <f>I52/F52</f>
        <v>125</v>
      </c>
      <c r="K52" s="270">
        <f>H52/I52</f>
        <v>3.828</v>
      </c>
      <c r="L52" s="271">
        <v>1038795.5</v>
      </c>
      <c r="M52" s="269">
        <v>132664</v>
      </c>
      <c r="N52" s="272">
        <f>L52/M52</f>
        <v>7.830274226617621</v>
      </c>
      <c r="O52" s="279"/>
      <c r="P52" s="132"/>
    </row>
    <row r="53" spans="1:16" ht="12" customHeight="1">
      <c r="A53" s="228">
        <v>50</v>
      </c>
      <c r="B53" s="245" t="s">
        <v>111</v>
      </c>
      <c r="C53" s="265">
        <v>40151</v>
      </c>
      <c r="D53" s="247" t="s">
        <v>444</v>
      </c>
      <c r="E53" s="276">
        <v>140</v>
      </c>
      <c r="F53" s="276">
        <v>1</v>
      </c>
      <c r="G53" s="276">
        <v>13</v>
      </c>
      <c r="H53" s="267">
        <v>1188</v>
      </c>
      <c r="I53" s="268">
        <v>238</v>
      </c>
      <c r="J53" s="269">
        <f>IF(H53&lt;&gt;0,I53/F53,"")</f>
        <v>238</v>
      </c>
      <c r="K53" s="270">
        <f>IF(H53&lt;&gt;0,H53/I53,"")</f>
        <v>4.991596638655462</v>
      </c>
      <c r="L53" s="271">
        <f>1040676.5+H53</f>
        <v>1041864.5</v>
      </c>
      <c r="M53" s="269">
        <f>133177+J53</f>
        <v>133415</v>
      </c>
      <c r="N53" s="272">
        <f>+L53/M53</f>
        <v>7.809200614623543</v>
      </c>
      <c r="O53" s="279"/>
      <c r="P53" s="132"/>
    </row>
    <row r="54" spans="1:16" ht="12" customHeight="1">
      <c r="A54" s="228">
        <v>51</v>
      </c>
      <c r="B54" s="281" t="s">
        <v>111</v>
      </c>
      <c r="C54" s="265">
        <v>40151</v>
      </c>
      <c r="D54" s="266" t="s">
        <v>418</v>
      </c>
      <c r="E54" s="276">
        <v>140</v>
      </c>
      <c r="F54" s="276">
        <v>3</v>
      </c>
      <c r="G54" s="276">
        <v>8</v>
      </c>
      <c r="H54" s="263">
        <v>946</v>
      </c>
      <c r="I54" s="258">
        <v>174</v>
      </c>
      <c r="J54" s="259">
        <f>IF(H54&lt;&gt;0,I54/F54,"")</f>
        <v>58</v>
      </c>
      <c r="K54" s="260">
        <f>IF(H54&lt;&gt;0,H54/I54,"")</f>
        <v>5.436781609195402</v>
      </c>
      <c r="L54" s="264">
        <v>1037360</v>
      </c>
      <c r="M54" s="261">
        <v>132289</v>
      </c>
      <c r="N54" s="255">
        <f>IF(L54&lt;&gt;0,L54/M54,"")</f>
        <v>7.841619484613233</v>
      </c>
      <c r="O54" s="202"/>
      <c r="P54" s="132"/>
    </row>
    <row r="55" spans="1:16" ht="12" customHeight="1">
      <c r="A55" s="228">
        <v>52</v>
      </c>
      <c r="B55" s="281" t="s">
        <v>110</v>
      </c>
      <c r="C55" s="265">
        <v>40151</v>
      </c>
      <c r="D55" s="286" t="s">
        <v>418</v>
      </c>
      <c r="E55" s="276">
        <v>140</v>
      </c>
      <c r="F55" s="276">
        <v>1</v>
      </c>
      <c r="G55" s="276">
        <v>10</v>
      </c>
      <c r="H55" s="267">
        <v>120</v>
      </c>
      <c r="I55" s="268">
        <v>12</v>
      </c>
      <c r="J55" s="269">
        <f>IF(H55&lt;&gt;0,I55/F55,"")</f>
        <v>12</v>
      </c>
      <c r="K55" s="270">
        <f>IF(H55&lt;&gt;0,H55/I55,"")</f>
        <v>10</v>
      </c>
      <c r="L55" s="271">
        <v>1038915.5</v>
      </c>
      <c r="M55" s="269">
        <v>132676</v>
      </c>
      <c r="N55" s="272">
        <f>IF(L55&lt;&gt;0,L55/M55,"")</f>
        <v>7.830470469414212</v>
      </c>
      <c r="O55" s="278">
        <v>1</v>
      </c>
      <c r="P55" s="132"/>
    </row>
    <row r="56" spans="1:16" ht="12" customHeight="1">
      <c r="A56" s="228">
        <v>53</v>
      </c>
      <c r="B56" s="245" t="s">
        <v>112</v>
      </c>
      <c r="C56" s="265">
        <v>40088</v>
      </c>
      <c r="D56" s="286" t="s">
        <v>359</v>
      </c>
      <c r="E56" s="287">
        <v>25</v>
      </c>
      <c r="F56" s="287">
        <v>2</v>
      </c>
      <c r="G56" s="287">
        <v>11</v>
      </c>
      <c r="H56" s="288">
        <v>2376</v>
      </c>
      <c r="I56" s="289">
        <v>475</v>
      </c>
      <c r="J56" s="283">
        <f>I56/F56</f>
        <v>237.5</v>
      </c>
      <c r="K56" s="285">
        <f aca="true" t="shared" si="7" ref="K56:K61">H56/I56</f>
        <v>5.002105263157895</v>
      </c>
      <c r="L56" s="284">
        <v>45554.25</v>
      </c>
      <c r="M56" s="283">
        <v>7695</v>
      </c>
      <c r="N56" s="290">
        <f>+L56/M56</f>
        <v>5.919980506822612</v>
      </c>
      <c r="O56" s="279"/>
      <c r="P56" s="132"/>
    </row>
    <row r="57" spans="1:16" ht="12" customHeight="1">
      <c r="A57" s="228">
        <v>54</v>
      </c>
      <c r="B57" s="281" t="s">
        <v>112</v>
      </c>
      <c r="C57" s="265">
        <v>40088</v>
      </c>
      <c r="D57" s="286" t="s">
        <v>359</v>
      </c>
      <c r="E57" s="276">
        <v>25</v>
      </c>
      <c r="F57" s="276">
        <v>1</v>
      </c>
      <c r="G57" s="276">
        <v>9</v>
      </c>
      <c r="H57" s="267">
        <v>1782</v>
      </c>
      <c r="I57" s="268">
        <v>356</v>
      </c>
      <c r="J57" s="269">
        <f>I57/F57</f>
        <v>356</v>
      </c>
      <c r="K57" s="270">
        <f t="shared" si="7"/>
        <v>5.00561797752809</v>
      </c>
      <c r="L57" s="271">
        <v>41396.25</v>
      </c>
      <c r="M57" s="269">
        <v>6864</v>
      </c>
      <c r="N57" s="272">
        <f aca="true" t="shared" si="8" ref="N57:N63">L57/M57</f>
        <v>6.0309222027972025</v>
      </c>
      <c r="O57" s="291"/>
      <c r="P57" s="132"/>
    </row>
    <row r="58" spans="1:16" ht="12" customHeight="1">
      <c r="A58" s="228">
        <v>55</v>
      </c>
      <c r="B58" s="281" t="s">
        <v>113</v>
      </c>
      <c r="C58" s="265">
        <v>40165</v>
      </c>
      <c r="D58" s="275" t="s">
        <v>322</v>
      </c>
      <c r="E58" s="276">
        <v>74</v>
      </c>
      <c r="F58" s="276">
        <v>63</v>
      </c>
      <c r="G58" s="276">
        <v>3</v>
      </c>
      <c r="H58" s="249">
        <v>124291.75</v>
      </c>
      <c r="I58" s="250">
        <v>14864</v>
      </c>
      <c r="J58" s="251">
        <f>(I58/F58)</f>
        <v>235.93650793650792</v>
      </c>
      <c r="K58" s="260">
        <f t="shared" si="7"/>
        <v>8.361931512378902</v>
      </c>
      <c r="L58" s="253">
        <f>507128.25+345268.5+124291.75</f>
        <v>976688.5</v>
      </c>
      <c r="M58" s="254">
        <f>53408+37346+14864</f>
        <v>105618</v>
      </c>
      <c r="N58" s="255">
        <f t="shared" si="8"/>
        <v>9.247367872900453</v>
      </c>
      <c r="O58" s="279"/>
      <c r="P58" s="132"/>
    </row>
    <row r="59" spans="1:16" ht="12" customHeight="1">
      <c r="A59" s="228">
        <v>56</v>
      </c>
      <c r="B59" s="281" t="s">
        <v>113</v>
      </c>
      <c r="C59" s="265">
        <v>40165</v>
      </c>
      <c r="D59" s="275" t="s">
        <v>322</v>
      </c>
      <c r="E59" s="276">
        <v>74</v>
      </c>
      <c r="F59" s="276">
        <v>74</v>
      </c>
      <c r="G59" s="276">
        <v>4</v>
      </c>
      <c r="H59" s="249">
        <v>100787</v>
      </c>
      <c r="I59" s="250">
        <v>15043</v>
      </c>
      <c r="J59" s="251">
        <f>(I59/F59)</f>
        <v>203.28378378378378</v>
      </c>
      <c r="K59" s="252">
        <f t="shared" si="7"/>
        <v>6.699926876287974</v>
      </c>
      <c r="L59" s="253">
        <f>507128.25+345268.5+124291.75+100787</f>
        <v>1077475.5</v>
      </c>
      <c r="M59" s="254">
        <f>53408+37346+14864+15043</f>
        <v>120661</v>
      </c>
      <c r="N59" s="255">
        <f t="shared" si="8"/>
        <v>8.929774326418643</v>
      </c>
      <c r="O59" s="279"/>
      <c r="P59" s="132"/>
    </row>
    <row r="60" spans="1:16" ht="12" customHeight="1">
      <c r="A60" s="228">
        <v>57</v>
      </c>
      <c r="B60" s="304" t="s">
        <v>113</v>
      </c>
      <c r="C60" s="305">
        <v>40165</v>
      </c>
      <c r="D60" s="275" t="s">
        <v>322</v>
      </c>
      <c r="E60" s="306">
        <v>74</v>
      </c>
      <c r="F60" s="306">
        <v>53</v>
      </c>
      <c r="G60" s="306">
        <v>5</v>
      </c>
      <c r="H60" s="249">
        <v>70944</v>
      </c>
      <c r="I60" s="258">
        <v>11010</v>
      </c>
      <c r="J60" s="259">
        <f>(I60/F60)</f>
        <v>207.73584905660377</v>
      </c>
      <c r="K60" s="260">
        <f t="shared" si="7"/>
        <v>6.443596730245232</v>
      </c>
      <c r="L60" s="253">
        <f>507128.25+345268.5+124291.75+100787+70944</f>
        <v>1148419.5</v>
      </c>
      <c r="M60" s="261">
        <f>53408+37346+14864+15043+11010</f>
        <v>131671</v>
      </c>
      <c r="N60" s="255">
        <f t="shared" si="8"/>
        <v>8.72188636829674</v>
      </c>
      <c r="O60" s="279">
        <v>1</v>
      </c>
      <c r="P60" s="132"/>
    </row>
    <row r="61" spans="1:16" ht="12" customHeight="1">
      <c r="A61" s="228">
        <v>58</v>
      </c>
      <c r="B61" s="281" t="s">
        <v>114</v>
      </c>
      <c r="C61" s="265">
        <v>40165</v>
      </c>
      <c r="D61" s="275" t="s">
        <v>322</v>
      </c>
      <c r="E61" s="276">
        <v>74</v>
      </c>
      <c r="F61" s="276">
        <v>21</v>
      </c>
      <c r="G61" s="276">
        <v>6</v>
      </c>
      <c r="H61" s="263">
        <v>12241</v>
      </c>
      <c r="I61" s="258">
        <v>2268</v>
      </c>
      <c r="J61" s="259">
        <f>(I61/F61)</f>
        <v>108</v>
      </c>
      <c r="K61" s="260">
        <f t="shared" si="7"/>
        <v>5.39726631393298</v>
      </c>
      <c r="L61" s="264">
        <f>507128.25+345268.5+124291.75+100787+70944+12241</f>
        <v>1160660.5</v>
      </c>
      <c r="M61" s="261">
        <f>53408+37346+14864+15043+11010+2268</f>
        <v>133939</v>
      </c>
      <c r="N61" s="255">
        <f t="shared" si="8"/>
        <v>8.665590306034836</v>
      </c>
      <c r="O61" s="279">
        <v>1</v>
      </c>
      <c r="P61" s="132"/>
    </row>
    <row r="62" spans="1:16" ht="12" customHeight="1">
      <c r="A62" s="228">
        <v>59</v>
      </c>
      <c r="B62" s="304" t="s">
        <v>113</v>
      </c>
      <c r="C62" s="305">
        <v>40165</v>
      </c>
      <c r="D62" s="275" t="s">
        <v>322</v>
      </c>
      <c r="E62" s="306">
        <v>74</v>
      </c>
      <c r="F62" s="306">
        <v>15</v>
      </c>
      <c r="G62" s="306">
        <v>7</v>
      </c>
      <c r="H62" s="263">
        <v>11639</v>
      </c>
      <c r="I62" s="258">
        <v>2130</v>
      </c>
      <c r="J62" s="259">
        <f>(I62/F62)</f>
        <v>142</v>
      </c>
      <c r="K62" s="270">
        <f>+H62/I62</f>
        <v>5.464319248826291</v>
      </c>
      <c r="L62" s="264">
        <f>507128.25+345268.5+124291.75+100787+70944+12241+11639</f>
        <v>1172299.5</v>
      </c>
      <c r="M62" s="261">
        <f>53408+37346+14864+15043+11010+2268+2130</f>
        <v>136069</v>
      </c>
      <c r="N62" s="255">
        <f t="shared" si="8"/>
        <v>8.615478176513387</v>
      </c>
      <c r="O62" s="279">
        <v>1</v>
      </c>
      <c r="P62" s="132"/>
    </row>
    <row r="63" spans="1:16" ht="12" customHeight="1">
      <c r="A63" s="228">
        <v>60</v>
      </c>
      <c r="B63" s="281" t="s">
        <v>113</v>
      </c>
      <c r="C63" s="265">
        <v>40165</v>
      </c>
      <c r="D63" s="275" t="s">
        <v>322</v>
      </c>
      <c r="E63" s="276">
        <v>74</v>
      </c>
      <c r="F63" s="276">
        <v>14</v>
      </c>
      <c r="G63" s="276">
        <v>8</v>
      </c>
      <c r="H63" s="267">
        <v>8352</v>
      </c>
      <c r="I63" s="268">
        <v>1478</v>
      </c>
      <c r="J63" s="269">
        <f>I63/F63</f>
        <v>105.57142857142857</v>
      </c>
      <c r="K63" s="270">
        <f>+H63/I63</f>
        <v>5.650879566982408</v>
      </c>
      <c r="L63" s="271">
        <f>507128.25+345268.5+124291.75+100787+70944+12241+11639+8352</f>
        <v>1180651.5</v>
      </c>
      <c r="M63" s="269">
        <f>53408+37346+14864+15043+11010+2268+2130+1478</f>
        <v>137547</v>
      </c>
      <c r="N63" s="272">
        <f t="shared" si="8"/>
        <v>8.583622325459661</v>
      </c>
      <c r="O63" s="307">
        <v>1</v>
      </c>
      <c r="P63" s="132"/>
    </row>
    <row r="64" spans="1:16" ht="12" customHeight="1">
      <c r="A64" s="228">
        <v>61</v>
      </c>
      <c r="B64" s="281" t="s">
        <v>113</v>
      </c>
      <c r="C64" s="265">
        <v>40165</v>
      </c>
      <c r="D64" s="275" t="s">
        <v>322</v>
      </c>
      <c r="E64" s="276">
        <v>74</v>
      </c>
      <c r="F64" s="276">
        <v>2</v>
      </c>
      <c r="G64" s="276">
        <v>10</v>
      </c>
      <c r="H64" s="280">
        <v>3277</v>
      </c>
      <c r="I64" s="282">
        <v>598</v>
      </c>
      <c r="J64" s="283">
        <f>I64/F64</f>
        <v>299</v>
      </c>
      <c r="K64" s="285">
        <f aca="true" t="shared" si="9" ref="K64:K71">H64/I64</f>
        <v>5.4799331103678925</v>
      </c>
      <c r="L64" s="284">
        <f>507128.25+345268.5+124291.75+100787+70944+12241+11639+8352+766+3277</f>
        <v>1184694.5</v>
      </c>
      <c r="M64" s="283">
        <f>53408+37346+14864+15043+11010+2268+2130+1478+133+598</f>
        <v>138278</v>
      </c>
      <c r="N64" s="272">
        <f>+L64/M64</f>
        <v>8.567483619954006</v>
      </c>
      <c r="O64" s="202">
        <v>1</v>
      </c>
      <c r="P64" s="132"/>
    </row>
    <row r="65" spans="1:16" ht="12" customHeight="1">
      <c r="A65" s="228">
        <v>62</v>
      </c>
      <c r="B65" s="245" t="s">
        <v>113</v>
      </c>
      <c r="C65" s="265">
        <v>40165</v>
      </c>
      <c r="D65" s="275" t="s">
        <v>322</v>
      </c>
      <c r="E65" s="287">
        <v>74</v>
      </c>
      <c r="F65" s="287">
        <v>1</v>
      </c>
      <c r="G65" s="287">
        <v>13</v>
      </c>
      <c r="H65" s="288">
        <v>2376</v>
      </c>
      <c r="I65" s="289">
        <v>594</v>
      </c>
      <c r="J65" s="283">
        <f>(I65/F65)</f>
        <v>594</v>
      </c>
      <c r="K65" s="285">
        <f t="shared" si="9"/>
        <v>4</v>
      </c>
      <c r="L65" s="284">
        <f>507128.25+345268.5+124291.75+100787+70944+12241+11639+8352+766+3277+69+87+2376</f>
        <v>1187226.5</v>
      </c>
      <c r="M65" s="283">
        <f>53408+37346+14864+15043+11010+2268+2130+1478+133+598+23+29+594</f>
        <v>138924</v>
      </c>
      <c r="N65" s="290">
        <f>L65/M65</f>
        <v>8.545870403961878</v>
      </c>
      <c r="O65" s="202">
        <v>1</v>
      </c>
      <c r="P65" s="132"/>
    </row>
    <row r="66" spans="1:16" ht="12" customHeight="1">
      <c r="A66" s="228">
        <v>63</v>
      </c>
      <c r="B66" s="281" t="s">
        <v>113</v>
      </c>
      <c r="C66" s="265">
        <v>40165</v>
      </c>
      <c r="D66" s="275" t="s">
        <v>322</v>
      </c>
      <c r="E66" s="276">
        <v>74</v>
      </c>
      <c r="F66" s="276">
        <v>1</v>
      </c>
      <c r="G66" s="276">
        <v>9</v>
      </c>
      <c r="H66" s="280">
        <v>766</v>
      </c>
      <c r="I66" s="282">
        <v>133</v>
      </c>
      <c r="J66" s="283">
        <f>(I66/F66)</f>
        <v>133</v>
      </c>
      <c r="K66" s="285">
        <f t="shared" si="9"/>
        <v>5.7593984962406015</v>
      </c>
      <c r="L66" s="284">
        <f>507128.25+345268.5+124291.75+100787+70944+12241+11639+8352+766</f>
        <v>1181417.5</v>
      </c>
      <c r="M66" s="283">
        <f>53408+37346+14864+15043+11010+2268+2130+1478+133</f>
        <v>137680</v>
      </c>
      <c r="N66" s="272">
        <f>L66/M66</f>
        <v>8.580894102266125</v>
      </c>
      <c r="O66" s="202">
        <v>1</v>
      </c>
      <c r="P66" s="132"/>
    </row>
    <row r="67" spans="1:16" ht="12" customHeight="1">
      <c r="A67" s="228">
        <v>64</v>
      </c>
      <c r="B67" s="281" t="s">
        <v>113</v>
      </c>
      <c r="C67" s="308">
        <v>40165</v>
      </c>
      <c r="D67" s="275" t="s">
        <v>322</v>
      </c>
      <c r="E67" s="287">
        <v>74</v>
      </c>
      <c r="F67" s="287">
        <v>1</v>
      </c>
      <c r="G67" s="287">
        <v>12</v>
      </c>
      <c r="H67" s="288">
        <v>87</v>
      </c>
      <c r="I67" s="289">
        <v>29</v>
      </c>
      <c r="J67" s="283">
        <f>(I67/F67)</f>
        <v>29</v>
      </c>
      <c r="K67" s="285">
        <f t="shared" si="9"/>
        <v>3</v>
      </c>
      <c r="L67" s="284">
        <f>507128.25+345268.5+124291.75+100787+70944+12241+11639+8352+766+3277+69+87</f>
        <v>1184850.5</v>
      </c>
      <c r="M67" s="283">
        <f>53408+37346+14864+15043+11010+2268+2130+1478+133+598+23+29</f>
        <v>138330</v>
      </c>
      <c r="N67" s="272">
        <f>+L67/M67</f>
        <v>8.565390732306803</v>
      </c>
      <c r="O67" s="279">
        <v>1</v>
      </c>
      <c r="P67" s="132"/>
    </row>
    <row r="68" spans="1:16" ht="12" customHeight="1">
      <c r="A68" s="228">
        <v>65</v>
      </c>
      <c r="B68" s="281" t="s">
        <v>113</v>
      </c>
      <c r="C68" s="308">
        <v>40165</v>
      </c>
      <c r="D68" s="275" t="s">
        <v>322</v>
      </c>
      <c r="E68" s="287">
        <v>74</v>
      </c>
      <c r="F68" s="287">
        <v>1</v>
      </c>
      <c r="G68" s="287">
        <v>11</v>
      </c>
      <c r="H68" s="288">
        <v>69</v>
      </c>
      <c r="I68" s="289">
        <v>23</v>
      </c>
      <c r="J68" s="283">
        <f>(I68/F68)</f>
        <v>23</v>
      </c>
      <c r="K68" s="285">
        <f t="shared" si="9"/>
        <v>3</v>
      </c>
      <c r="L68" s="284">
        <f>507128.25+345268.5+124291.75+100787+70944+12241+11639+8352+766+3277+69</f>
        <v>1184763.5</v>
      </c>
      <c r="M68" s="283">
        <f>53408+37346+14864+15043+11010+2268+2130+1478+133+598+23</f>
        <v>138301</v>
      </c>
      <c r="N68" s="272">
        <f>L68/M68</f>
        <v>8.566557725540669</v>
      </c>
      <c r="O68" s="203">
        <v>1</v>
      </c>
      <c r="P68" s="132"/>
    </row>
    <row r="69" spans="1:16" ht="12" customHeight="1">
      <c r="A69" s="228">
        <v>66</v>
      </c>
      <c r="B69" s="309" t="s">
        <v>115</v>
      </c>
      <c r="C69" s="246">
        <v>40151</v>
      </c>
      <c r="D69" s="286" t="s">
        <v>323</v>
      </c>
      <c r="E69" s="310">
        <v>128</v>
      </c>
      <c r="F69" s="310">
        <v>14</v>
      </c>
      <c r="G69" s="310">
        <v>5</v>
      </c>
      <c r="H69" s="311">
        <v>10820.5</v>
      </c>
      <c r="I69" s="312">
        <v>2203</v>
      </c>
      <c r="J69" s="313">
        <f aca="true" t="shared" si="10" ref="J69:J76">I69/F69</f>
        <v>157.35714285714286</v>
      </c>
      <c r="K69" s="314">
        <f t="shared" si="9"/>
        <v>4.911711302768952</v>
      </c>
      <c r="L69" s="315">
        <v>1602521</v>
      </c>
      <c r="M69" s="316">
        <v>185512</v>
      </c>
      <c r="N69" s="317">
        <f>+L69/M69</f>
        <v>8.638368407434559</v>
      </c>
      <c r="O69" s="279">
        <v>1</v>
      </c>
      <c r="P69" s="132"/>
    </row>
    <row r="70" spans="1:16" ht="12" customHeight="1">
      <c r="A70" s="228">
        <v>67</v>
      </c>
      <c r="B70" s="309" t="s">
        <v>115</v>
      </c>
      <c r="C70" s="246">
        <v>40151</v>
      </c>
      <c r="D70" s="286" t="s">
        <v>323</v>
      </c>
      <c r="E70" s="310">
        <v>128</v>
      </c>
      <c r="F70" s="310">
        <v>13</v>
      </c>
      <c r="G70" s="310">
        <v>6</v>
      </c>
      <c r="H70" s="311">
        <v>10811</v>
      </c>
      <c r="I70" s="312">
        <v>1908</v>
      </c>
      <c r="J70" s="313">
        <f t="shared" si="10"/>
        <v>146.76923076923077</v>
      </c>
      <c r="K70" s="318">
        <f t="shared" si="9"/>
        <v>5.666142557651992</v>
      </c>
      <c r="L70" s="315">
        <v>1613332</v>
      </c>
      <c r="M70" s="316">
        <v>187420</v>
      </c>
      <c r="N70" s="299">
        <f>IF(L70&lt;&gt;0,L70/M70,"")</f>
        <v>8.608110126987516</v>
      </c>
      <c r="O70" s="202">
        <v>1</v>
      </c>
      <c r="P70" s="132"/>
    </row>
    <row r="71" spans="1:16" ht="12" customHeight="1">
      <c r="A71" s="228">
        <v>68</v>
      </c>
      <c r="B71" s="309" t="s">
        <v>115</v>
      </c>
      <c r="C71" s="246">
        <v>40151</v>
      </c>
      <c r="D71" s="286" t="s">
        <v>323</v>
      </c>
      <c r="E71" s="310">
        <v>128</v>
      </c>
      <c r="F71" s="310">
        <v>7</v>
      </c>
      <c r="G71" s="310">
        <v>7</v>
      </c>
      <c r="H71" s="311">
        <v>8704</v>
      </c>
      <c r="I71" s="319">
        <v>1365</v>
      </c>
      <c r="J71" s="320">
        <f t="shared" si="10"/>
        <v>195</v>
      </c>
      <c r="K71" s="314">
        <f t="shared" si="9"/>
        <v>6.376556776556777</v>
      </c>
      <c r="L71" s="315">
        <v>1622035.5</v>
      </c>
      <c r="M71" s="321">
        <v>188785</v>
      </c>
      <c r="N71" s="299">
        <f>IF(L71&lt;&gt;0,L71/M71,"")</f>
        <v>8.591972349498107</v>
      </c>
      <c r="O71" s="322">
        <v>1</v>
      </c>
      <c r="P71" s="132"/>
    </row>
    <row r="72" spans="1:16" ht="12" customHeight="1">
      <c r="A72" s="228">
        <v>69</v>
      </c>
      <c r="B72" s="281" t="s">
        <v>116</v>
      </c>
      <c r="C72" s="265">
        <v>40151</v>
      </c>
      <c r="D72" s="286" t="s">
        <v>323</v>
      </c>
      <c r="E72" s="276">
        <v>128</v>
      </c>
      <c r="F72" s="276">
        <v>8</v>
      </c>
      <c r="G72" s="276">
        <v>10</v>
      </c>
      <c r="H72" s="267">
        <v>6128</v>
      </c>
      <c r="I72" s="268">
        <v>1096</v>
      </c>
      <c r="J72" s="269">
        <f t="shared" si="10"/>
        <v>137</v>
      </c>
      <c r="K72" s="270">
        <f>+H72/I72</f>
        <v>5.591240875912408</v>
      </c>
      <c r="L72" s="271">
        <v>1635532.5</v>
      </c>
      <c r="M72" s="269">
        <v>191618</v>
      </c>
      <c r="N72" s="272">
        <f>+L72/M72</f>
        <v>8.535380287864397</v>
      </c>
      <c r="O72" s="279">
        <v>1</v>
      </c>
      <c r="P72" s="132"/>
    </row>
    <row r="73" spans="1:16" ht="12" customHeight="1">
      <c r="A73" s="228">
        <v>70</v>
      </c>
      <c r="B73" s="309" t="s">
        <v>115</v>
      </c>
      <c r="C73" s="265">
        <v>40151</v>
      </c>
      <c r="D73" s="286" t="s">
        <v>323</v>
      </c>
      <c r="E73" s="276">
        <v>128</v>
      </c>
      <c r="F73" s="276">
        <v>6</v>
      </c>
      <c r="G73" s="276">
        <v>8</v>
      </c>
      <c r="H73" s="267">
        <v>5193</v>
      </c>
      <c r="I73" s="268">
        <v>1233</v>
      </c>
      <c r="J73" s="259">
        <f t="shared" si="10"/>
        <v>205.5</v>
      </c>
      <c r="K73" s="260">
        <f>H73/I73</f>
        <v>4.211678832116788</v>
      </c>
      <c r="L73" s="271">
        <v>1627228.5</v>
      </c>
      <c r="M73" s="269">
        <v>190018</v>
      </c>
      <c r="N73" s="255">
        <f>+L73/M73</f>
        <v>8.563549242703322</v>
      </c>
      <c r="O73" s="279">
        <v>1</v>
      </c>
      <c r="P73" s="132"/>
    </row>
    <row r="74" spans="1:16" ht="12" customHeight="1">
      <c r="A74" s="228">
        <v>71</v>
      </c>
      <c r="B74" s="309" t="s">
        <v>115</v>
      </c>
      <c r="C74" s="265">
        <v>40151</v>
      </c>
      <c r="D74" s="286" t="s">
        <v>323</v>
      </c>
      <c r="E74" s="276">
        <v>128</v>
      </c>
      <c r="F74" s="276">
        <v>4</v>
      </c>
      <c r="G74" s="276">
        <v>8</v>
      </c>
      <c r="H74" s="267">
        <v>2176</v>
      </c>
      <c r="I74" s="268">
        <v>504</v>
      </c>
      <c r="J74" s="269">
        <f t="shared" si="10"/>
        <v>126</v>
      </c>
      <c r="K74" s="270">
        <f>H74/I74</f>
        <v>4.317460317460317</v>
      </c>
      <c r="L74" s="271">
        <v>1629405.5</v>
      </c>
      <c r="M74" s="269">
        <v>190522</v>
      </c>
      <c r="N74" s="272">
        <f>L74/M74</f>
        <v>8.552322041549008</v>
      </c>
      <c r="O74" s="279">
        <v>1</v>
      </c>
      <c r="P74" s="132"/>
    </row>
    <row r="75" spans="1:16" ht="12" customHeight="1">
      <c r="A75" s="228">
        <v>72</v>
      </c>
      <c r="B75" s="281" t="s">
        <v>116</v>
      </c>
      <c r="C75" s="265">
        <v>40151</v>
      </c>
      <c r="D75" s="286" t="s">
        <v>323</v>
      </c>
      <c r="E75" s="276">
        <v>128</v>
      </c>
      <c r="F75" s="276">
        <v>2</v>
      </c>
      <c r="G75" s="276">
        <v>11</v>
      </c>
      <c r="H75" s="280">
        <v>307</v>
      </c>
      <c r="I75" s="282">
        <v>54</v>
      </c>
      <c r="J75" s="283">
        <f t="shared" si="10"/>
        <v>27</v>
      </c>
      <c r="K75" s="285">
        <f>H75/I75</f>
        <v>5.685185185185185</v>
      </c>
      <c r="L75" s="284">
        <v>1635839.5</v>
      </c>
      <c r="M75" s="283">
        <v>191672</v>
      </c>
      <c r="N75" s="272">
        <f>+L75/M75</f>
        <v>8.534577298718645</v>
      </c>
      <c r="O75" s="203">
        <v>1</v>
      </c>
      <c r="P75" s="132"/>
    </row>
    <row r="76" spans="1:16" ht="12" customHeight="1">
      <c r="A76" s="228">
        <v>73</v>
      </c>
      <c r="B76" s="245" t="s">
        <v>117</v>
      </c>
      <c r="C76" s="265">
        <v>35552</v>
      </c>
      <c r="D76" s="275" t="s">
        <v>332</v>
      </c>
      <c r="E76" s="276">
        <v>1</v>
      </c>
      <c r="F76" s="276">
        <v>1</v>
      </c>
      <c r="G76" s="276">
        <v>20</v>
      </c>
      <c r="H76" s="263">
        <v>1240</v>
      </c>
      <c r="I76" s="258">
        <v>310</v>
      </c>
      <c r="J76" s="269">
        <f t="shared" si="10"/>
        <v>310</v>
      </c>
      <c r="K76" s="270">
        <f>H76/I76</f>
        <v>4</v>
      </c>
      <c r="L76" s="271">
        <v>1240</v>
      </c>
      <c r="M76" s="269">
        <v>11617</v>
      </c>
      <c r="N76" s="272">
        <f>+L76/M76</f>
        <v>0.1067401222346561</v>
      </c>
      <c r="O76" s="202">
        <v>1</v>
      </c>
      <c r="P76" s="132"/>
    </row>
    <row r="77" spans="1:16" ht="12" customHeight="1">
      <c r="A77" s="228">
        <v>74</v>
      </c>
      <c r="B77" s="304" t="s">
        <v>343</v>
      </c>
      <c r="C77" s="305">
        <v>40067</v>
      </c>
      <c r="D77" s="275" t="s">
        <v>322</v>
      </c>
      <c r="E77" s="306">
        <v>51</v>
      </c>
      <c r="F77" s="306">
        <v>2</v>
      </c>
      <c r="G77" s="306">
        <v>20</v>
      </c>
      <c r="H77" s="263">
        <v>4061</v>
      </c>
      <c r="I77" s="258">
        <v>931</v>
      </c>
      <c r="J77" s="259">
        <f>(I77/F77)</f>
        <v>465.5</v>
      </c>
      <c r="K77" s="270">
        <f>+H77/I77</f>
        <v>4.361976369495166</v>
      </c>
      <c r="L77" s="264">
        <f>182949+180053+29827+20114+26140.5+10395.5+4671+3342+2340+5520+249.5+165+3602+91+952+1264+44+1663+1188+4061</f>
        <v>478631.5</v>
      </c>
      <c r="M77" s="261">
        <f>18625+17802+3355+2859+3903+1800+782+594+465+1366+90+60+905+15+238+316+11+244+297+931</f>
        <v>54658</v>
      </c>
      <c r="N77" s="255">
        <f>L77/M77</f>
        <v>8.756842548208862</v>
      </c>
      <c r="O77" s="291">
        <v>1</v>
      </c>
      <c r="P77" s="132"/>
    </row>
    <row r="78" spans="1:16" ht="12" customHeight="1">
      <c r="A78" s="228">
        <v>75</v>
      </c>
      <c r="B78" s="281" t="s">
        <v>343</v>
      </c>
      <c r="C78" s="265">
        <v>40067</v>
      </c>
      <c r="D78" s="247" t="s">
        <v>322</v>
      </c>
      <c r="E78" s="276">
        <v>51</v>
      </c>
      <c r="F78" s="276">
        <v>2</v>
      </c>
      <c r="G78" s="276">
        <v>25</v>
      </c>
      <c r="H78" s="280">
        <v>2504</v>
      </c>
      <c r="I78" s="282">
        <v>379</v>
      </c>
      <c r="J78" s="283">
        <v>189.5</v>
      </c>
      <c r="K78" s="285">
        <v>6.6068601583113455</v>
      </c>
      <c r="L78" s="284">
        <v>487539.5</v>
      </c>
      <c r="M78" s="283">
        <v>56583</v>
      </c>
      <c r="N78" s="272">
        <v>8.616360037467084</v>
      </c>
      <c r="O78" s="203">
        <v>1</v>
      </c>
      <c r="P78" s="132"/>
    </row>
    <row r="79" spans="1:16" ht="12" customHeight="1">
      <c r="A79" s="228">
        <v>76</v>
      </c>
      <c r="B79" s="281" t="s">
        <v>343</v>
      </c>
      <c r="C79" s="265">
        <v>40067</v>
      </c>
      <c r="D79" s="275" t="s">
        <v>322</v>
      </c>
      <c r="E79" s="276">
        <v>51</v>
      </c>
      <c r="F79" s="276">
        <v>2</v>
      </c>
      <c r="G79" s="276">
        <v>21</v>
      </c>
      <c r="H79" s="267">
        <v>2382</v>
      </c>
      <c r="I79" s="268">
        <v>573</v>
      </c>
      <c r="J79" s="269">
        <f>I79/F79</f>
        <v>286.5</v>
      </c>
      <c r="K79" s="270">
        <f>+H79/I79</f>
        <v>4.157068062827225</v>
      </c>
      <c r="L79" s="271">
        <f>182949+180053+29827+20114+26140.5+10395.5+4671+3342+2340+5520+249.5+165+3602+91+952+1264+44+1663+1188+4061+2382</f>
        <v>481013.5</v>
      </c>
      <c r="M79" s="269">
        <f>18625+17802+3355+2859+3903+1800+782+594+465+1366+90+60+905+15+238+316+11+244+297+931+573</f>
        <v>55231</v>
      </c>
      <c r="N79" s="272">
        <f>L79/M79</f>
        <v>8.709121688906592</v>
      </c>
      <c r="O79" s="279">
        <v>1</v>
      </c>
      <c r="P79" s="132"/>
    </row>
    <row r="80" spans="1:16" ht="12" customHeight="1">
      <c r="A80" s="228">
        <v>77</v>
      </c>
      <c r="B80" s="281" t="s">
        <v>343</v>
      </c>
      <c r="C80" s="265">
        <v>40067</v>
      </c>
      <c r="D80" s="275" t="s">
        <v>322</v>
      </c>
      <c r="E80" s="276">
        <v>51</v>
      </c>
      <c r="F80" s="276">
        <v>1</v>
      </c>
      <c r="G80" s="276">
        <v>22</v>
      </c>
      <c r="H80" s="280">
        <v>2020</v>
      </c>
      <c r="I80" s="282">
        <v>505</v>
      </c>
      <c r="J80" s="283">
        <f>(I80/F80)</f>
        <v>505</v>
      </c>
      <c r="K80" s="285">
        <f>H80/I80</f>
        <v>4</v>
      </c>
      <c r="L80" s="284">
        <f>182949+180053+29827+20114+26140.5+10395.5+4671+3342+2340+5520+249.5+165+3602+91+952+1264+44+1663+1188+4061+2382+2020</f>
        <v>483033.5</v>
      </c>
      <c r="M80" s="283">
        <f>18625+17802+3355+2859+3903+1800+782+594+465+1366+90+60+905+15+238+316+11+244+297+931+573+505</f>
        <v>55736</v>
      </c>
      <c r="N80" s="272">
        <f>L80/M80</f>
        <v>8.666454356250897</v>
      </c>
      <c r="O80" s="279">
        <v>1</v>
      </c>
      <c r="P80" s="132"/>
    </row>
    <row r="81" spans="1:16" ht="12" customHeight="1">
      <c r="A81" s="228">
        <v>78</v>
      </c>
      <c r="B81" s="245" t="s">
        <v>343</v>
      </c>
      <c r="C81" s="265">
        <v>40067</v>
      </c>
      <c r="D81" s="275" t="s">
        <v>322</v>
      </c>
      <c r="E81" s="287">
        <v>51</v>
      </c>
      <c r="F81" s="287">
        <v>1</v>
      </c>
      <c r="G81" s="287">
        <v>23</v>
      </c>
      <c r="H81" s="288">
        <v>1780</v>
      </c>
      <c r="I81" s="289">
        <v>445</v>
      </c>
      <c r="J81" s="283">
        <f>I81/F81</f>
        <v>445</v>
      </c>
      <c r="K81" s="285">
        <f>+H81/I81</f>
        <v>4</v>
      </c>
      <c r="L81" s="284">
        <f>182949+180053+29827+20114+26140.5+10395.5+4671+3342+2340+5520+249.5+165+3602+91+952+1264+44+1663+1188+4061+2382+2020+1780</f>
        <v>484813.5</v>
      </c>
      <c r="M81" s="283">
        <f>18625+17802+3355+2859+3903+1800+782+594+465+1366+90+60+905+15+238+316+11+244+297+931+573+505+445</f>
        <v>56181</v>
      </c>
      <c r="N81" s="290">
        <f>+L81/M81</f>
        <v>8.62949217707054</v>
      </c>
      <c r="O81" s="279">
        <v>1</v>
      </c>
      <c r="P81" s="132"/>
    </row>
    <row r="82" spans="1:16" ht="12" customHeight="1">
      <c r="A82" s="228">
        <v>79</v>
      </c>
      <c r="B82" s="281" t="s">
        <v>343</v>
      </c>
      <c r="C82" s="265">
        <v>40067</v>
      </c>
      <c r="D82" s="275" t="s">
        <v>322</v>
      </c>
      <c r="E82" s="276">
        <v>51</v>
      </c>
      <c r="F82" s="276">
        <v>1</v>
      </c>
      <c r="G82" s="276">
        <v>18</v>
      </c>
      <c r="H82" s="249">
        <v>1663</v>
      </c>
      <c r="I82" s="258">
        <v>244</v>
      </c>
      <c r="J82" s="259">
        <f>(I82/F82)</f>
        <v>244</v>
      </c>
      <c r="K82" s="260">
        <f aca="true" t="shared" si="11" ref="K82:K88">H82/I82</f>
        <v>6.815573770491803</v>
      </c>
      <c r="L82" s="253">
        <f>182949+180053+29827+20114+26140.5+10395.5+4671+3342+2340+5520+249.5+165+3602+91+952+1264+44+1663</f>
        <v>473382.5</v>
      </c>
      <c r="M82" s="261">
        <f>18625+17802+3355+2859+3903+1800+782+594+465+1366+90+60+905+15+238+316+11+244</f>
        <v>53430</v>
      </c>
      <c r="N82" s="255">
        <f>L82/M82</f>
        <v>8.859863372637095</v>
      </c>
      <c r="O82" s="279">
        <v>1</v>
      </c>
      <c r="P82" s="132"/>
    </row>
    <row r="83" spans="1:16" ht="12" customHeight="1">
      <c r="A83" s="228">
        <v>80</v>
      </c>
      <c r="B83" s="281" t="s">
        <v>343</v>
      </c>
      <c r="C83" s="265">
        <v>40067</v>
      </c>
      <c r="D83" s="275" t="s">
        <v>322</v>
      </c>
      <c r="E83" s="276">
        <v>51</v>
      </c>
      <c r="F83" s="276">
        <v>2</v>
      </c>
      <c r="G83" s="276">
        <v>16</v>
      </c>
      <c r="H83" s="249">
        <v>1264</v>
      </c>
      <c r="I83" s="250">
        <v>316</v>
      </c>
      <c r="J83" s="251">
        <f>(I83/F83)</f>
        <v>158</v>
      </c>
      <c r="K83" s="260">
        <f t="shared" si="11"/>
        <v>4</v>
      </c>
      <c r="L83" s="253">
        <f>182949+180053+29827+20114+26140.5+10395.5+4671+3342+2340+5520+249.5+165+3602+91+952+1264</f>
        <v>471675.5</v>
      </c>
      <c r="M83" s="254">
        <f>18625+17802+3355+2859+3903+1800+782+594+465+1366+90+60+905+15+238+316</f>
        <v>53175</v>
      </c>
      <c r="N83" s="255">
        <f>L83/M83</f>
        <v>8.870249177244945</v>
      </c>
      <c r="O83" s="202">
        <v>1</v>
      </c>
      <c r="P83" s="132"/>
    </row>
    <row r="84" spans="1:16" ht="12" customHeight="1">
      <c r="A84" s="228">
        <v>81</v>
      </c>
      <c r="B84" s="281" t="s">
        <v>343</v>
      </c>
      <c r="C84" s="265">
        <v>40067</v>
      </c>
      <c r="D84" s="275" t="s">
        <v>322</v>
      </c>
      <c r="E84" s="276">
        <v>51</v>
      </c>
      <c r="F84" s="276">
        <v>1</v>
      </c>
      <c r="G84" s="276">
        <v>19</v>
      </c>
      <c r="H84" s="263">
        <v>1188</v>
      </c>
      <c r="I84" s="258">
        <v>297</v>
      </c>
      <c r="J84" s="259">
        <f>(I84/F84)</f>
        <v>297</v>
      </c>
      <c r="K84" s="260">
        <f t="shared" si="11"/>
        <v>4</v>
      </c>
      <c r="L84" s="264">
        <f>182949+180053+29827+20114+26140.5+10395.5+4671+3342+2340+5520+249.5+165+3602+91+952+1264+44+1663+1188</f>
        <v>474570.5</v>
      </c>
      <c r="M84" s="261">
        <f>18625+17802+3355+2859+3903+1800+782+594+465+1366+90+60+905+15+238+316+11+244+297</f>
        <v>53727</v>
      </c>
      <c r="N84" s="255">
        <f>L84/M84</f>
        <v>8.832998306251978</v>
      </c>
      <c r="O84" s="202">
        <v>1</v>
      </c>
      <c r="P84" s="132"/>
    </row>
    <row r="85" spans="1:16" ht="12" customHeight="1">
      <c r="A85" s="228">
        <v>82</v>
      </c>
      <c r="B85" s="245" t="s">
        <v>343</v>
      </c>
      <c r="C85" s="246">
        <v>40067</v>
      </c>
      <c r="D85" s="247" t="s">
        <v>334</v>
      </c>
      <c r="E85" s="248">
        <v>51</v>
      </c>
      <c r="F85" s="248">
        <v>1</v>
      </c>
      <c r="G85" s="248">
        <v>23</v>
      </c>
      <c r="H85" s="249">
        <v>222</v>
      </c>
      <c r="I85" s="250">
        <v>23</v>
      </c>
      <c r="J85" s="251">
        <f>I85/F85</f>
        <v>23</v>
      </c>
      <c r="K85" s="260">
        <f t="shared" si="11"/>
        <v>9.652173913043478</v>
      </c>
      <c r="L85" s="253">
        <f>182949+180053+29827+20114+26140.5+10395.5+4671+3342+2340+5520+249.5+165+3602+91+952+1264+44+1663+1188+4061+2382+2020+1780+222</f>
        <v>485035.5</v>
      </c>
      <c r="M85" s="254">
        <f>18625+17802+3355+2859+3903+1800+782+594+465+1366+90+60+905+15+238+316+11+244+297+931+573+505+445+23</f>
        <v>56204</v>
      </c>
      <c r="N85" s="255">
        <f>+L85/M85</f>
        <v>8.6299106825137</v>
      </c>
      <c r="O85" s="279">
        <v>1</v>
      </c>
      <c r="P85" s="132"/>
    </row>
    <row r="86" spans="1:16" ht="12" customHeight="1">
      <c r="A86" s="228">
        <v>83</v>
      </c>
      <c r="B86" s="281" t="s">
        <v>343</v>
      </c>
      <c r="C86" s="265">
        <v>40067</v>
      </c>
      <c r="D86" s="275" t="s">
        <v>322</v>
      </c>
      <c r="E86" s="276">
        <v>51</v>
      </c>
      <c r="F86" s="276">
        <v>1</v>
      </c>
      <c r="G86" s="276">
        <v>17</v>
      </c>
      <c r="H86" s="249">
        <v>44</v>
      </c>
      <c r="I86" s="250">
        <v>11</v>
      </c>
      <c r="J86" s="251">
        <f>(I86/F86)</f>
        <v>11</v>
      </c>
      <c r="K86" s="252">
        <f t="shared" si="11"/>
        <v>4</v>
      </c>
      <c r="L86" s="253">
        <f>182949+180053+29827+20114+26140.5+10395.5+4671+3342+2340+5520+249.5+165+3602+91+952+1264+44</f>
        <v>471719.5</v>
      </c>
      <c r="M86" s="254">
        <f>18625+17802+3355+2859+3903+1800+782+594+465+1366+90+60+905+15+238+316+11</f>
        <v>53186</v>
      </c>
      <c r="N86" s="255">
        <f aca="true" t="shared" si="12" ref="N86:N91">L86/M86</f>
        <v>8.869241905764675</v>
      </c>
      <c r="O86" s="279">
        <v>1</v>
      </c>
      <c r="P86" s="132"/>
    </row>
    <row r="87" spans="1:16" ht="12" customHeight="1">
      <c r="A87" s="228">
        <v>84</v>
      </c>
      <c r="B87" s="281" t="s">
        <v>363</v>
      </c>
      <c r="C87" s="265">
        <v>40172</v>
      </c>
      <c r="D87" s="275" t="s">
        <v>322</v>
      </c>
      <c r="E87" s="276">
        <v>60</v>
      </c>
      <c r="F87" s="276">
        <v>60</v>
      </c>
      <c r="G87" s="276">
        <v>2</v>
      </c>
      <c r="H87" s="249">
        <v>397159.5</v>
      </c>
      <c r="I87" s="250">
        <v>40733</v>
      </c>
      <c r="J87" s="251">
        <f>(I87/F87)</f>
        <v>678.8833333333333</v>
      </c>
      <c r="K87" s="260">
        <f t="shared" si="11"/>
        <v>9.750313014018118</v>
      </c>
      <c r="L87" s="253">
        <f>421775.5+397159.5</f>
        <v>818935</v>
      </c>
      <c r="M87" s="254">
        <f>43739+40733</f>
        <v>84472</v>
      </c>
      <c r="N87" s="255">
        <f t="shared" si="12"/>
        <v>9.694750923382896</v>
      </c>
      <c r="O87" s="291">
        <v>1</v>
      </c>
      <c r="P87" s="132"/>
    </row>
    <row r="88" spans="1:16" ht="12" customHeight="1">
      <c r="A88" s="228">
        <v>85</v>
      </c>
      <c r="B88" s="281" t="s">
        <v>363</v>
      </c>
      <c r="C88" s="265">
        <v>40172</v>
      </c>
      <c r="D88" s="275" t="s">
        <v>322</v>
      </c>
      <c r="E88" s="276">
        <v>60</v>
      </c>
      <c r="F88" s="276">
        <v>60</v>
      </c>
      <c r="G88" s="276">
        <v>3</v>
      </c>
      <c r="H88" s="249">
        <v>287050</v>
      </c>
      <c r="I88" s="250">
        <v>31780</v>
      </c>
      <c r="J88" s="251">
        <f>(I88/F88)</f>
        <v>529.6666666666666</v>
      </c>
      <c r="K88" s="252">
        <f t="shared" si="11"/>
        <v>9.032410320956576</v>
      </c>
      <c r="L88" s="253">
        <f>421775.5+397095.5+287050</f>
        <v>1105921</v>
      </c>
      <c r="M88" s="254">
        <f>43739+40732+31780</f>
        <v>116251</v>
      </c>
      <c r="N88" s="255">
        <f t="shared" si="12"/>
        <v>9.513217090605671</v>
      </c>
      <c r="O88" s="279">
        <v>1</v>
      </c>
      <c r="P88" s="132"/>
    </row>
    <row r="89" spans="1:16" ht="12" customHeight="1">
      <c r="A89" s="228">
        <v>86</v>
      </c>
      <c r="B89" s="281" t="s">
        <v>363</v>
      </c>
      <c r="C89" s="305">
        <v>40172</v>
      </c>
      <c r="D89" s="275" t="s">
        <v>322</v>
      </c>
      <c r="E89" s="306">
        <v>60</v>
      </c>
      <c r="F89" s="306">
        <v>60</v>
      </c>
      <c r="G89" s="306">
        <v>6</v>
      </c>
      <c r="H89" s="263">
        <v>180729.5</v>
      </c>
      <c r="I89" s="258">
        <v>24895</v>
      </c>
      <c r="J89" s="259">
        <f>(I89/F89)</f>
        <v>414.9166666666667</v>
      </c>
      <c r="K89" s="270">
        <f>+H89/I89</f>
        <v>7.259670616589677</v>
      </c>
      <c r="L89" s="264">
        <f>421775.5+397095.5+287050+215248.5+189819.5+180729.5</f>
        <v>1691718.5</v>
      </c>
      <c r="M89" s="261">
        <f>43739+40732+31780+27356+25902+24895</f>
        <v>194404</v>
      </c>
      <c r="N89" s="255">
        <f t="shared" si="12"/>
        <v>8.702076603362071</v>
      </c>
      <c r="O89" s="279">
        <v>1</v>
      </c>
      <c r="P89" s="132"/>
    </row>
    <row r="90" spans="1:16" ht="12" customHeight="1">
      <c r="A90" s="228">
        <v>87</v>
      </c>
      <c r="B90" s="281" t="s">
        <v>363</v>
      </c>
      <c r="C90" s="265">
        <v>40172</v>
      </c>
      <c r="D90" s="275" t="s">
        <v>322</v>
      </c>
      <c r="E90" s="276">
        <v>60</v>
      </c>
      <c r="F90" s="276">
        <v>60</v>
      </c>
      <c r="G90" s="276">
        <v>7</v>
      </c>
      <c r="H90" s="267">
        <v>86816.5</v>
      </c>
      <c r="I90" s="268">
        <v>12153</v>
      </c>
      <c r="J90" s="269">
        <f>I90/F90</f>
        <v>202.55</v>
      </c>
      <c r="K90" s="270">
        <f>+H90/I90</f>
        <v>7.14362708796182</v>
      </c>
      <c r="L90" s="271">
        <f>421775.5+397095.5+287050+215248.5+189819.5+180729.5+86816.5</f>
        <v>1778535</v>
      </c>
      <c r="M90" s="269">
        <f>43739+40732+31780+27356+25902+24895+12153</f>
        <v>206557</v>
      </c>
      <c r="N90" s="272">
        <f t="shared" si="12"/>
        <v>8.610383574509699</v>
      </c>
      <c r="O90" s="279">
        <v>1</v>
      </c>
      <c r="P90" s="132"/>
    </row>
    <row r="91" spans="1:16" ht="12" customHeight="1">
      <c r="A91" s="228">
        <v>88</v>
      </c>
      <c r="B91" s="281" t="s">
        <v>363</v>
      </c>
      <c r="C91" s="265">
        <v>40172</v>
      </c>
      <c r="D91" s="275" t="s">
        <v>322</v>
      </c>
      <c r="E91" s="276">
        <v>60</v>
      </c>
      <c r="F91" s="276">
        <v>36</v>
      </c>
      <c r="G91" s="276">
        <v>8</v>
      </c>
      <c r="H91" s="280">
        <v>23840</v>
      </c>
      <c r="I91" s="282">
        <v>4496</v>
      </c>
      <c r="J91" s="283">
        <f>(I91/F91)</f>
        <v>124.88888888888889</v>
      </c>
      <c r="K91" s="285">
        <f>H91/I91</f>
        <v>5.302491103202847</v>
      </c>
      <c r="L91" s="284">
        <f>421775.5+397095.5+287050+215248.5+189819.5+180729.5+86816.5+23840</f>
        <v>1802375</v>
      </c>
      <c r="M91" s="283">
        <f>43739+40732+31780+27356+25902+24895+12153+4496</f>
        <v>211053</v>
      </c>
      <c r="N91" s="272">
        <f t="shared" si="12"/>
        <v>8.539916513861447</v>
      </c>
      <c r="O91" s="202">
        <v>1</v>
      </c>
      <c r="P91" s="132"/>
    </row>
    <row r="92" spans="1:16" ht="12" customHeight="1">
      <c r="A92" s="228">
        <v>89</v>
      </c>
      <c r="B92" s="281" t="s">
        <v>363</v>
      </c>
      <c r="C92" s="265">
        <v>40172</v>
      </c>
      <c r="D92" s="275" t="s">
        <v>322</v>
      </c>
      <c r="E92" s="276">
        <v>60</v>
      </c>
      <c r="F92" s="276">
        <v>29</v>
      </c>
      <c r="G92" s="276">
        <v>9</v>
      </c>
      <c r="H92" s="280">
        <v>19148</v>
      </c>
      <c r="I92" s="282">
        <v>3179</v>
      </c>
      <c r="J92" s="283">
        <f>I92/F92</f>
        <v>109.62068965517241</v>
      </c>
      <c r="K92" s="285">
        <f>H92/I92</f>
        <v>6.023277760301982</v>
      </c>
      <c r="L92" s="284">
        <f>421775.5+397095.5+287050+215248.5+189819.5+180729.5+86816.5+23840+19148</f>
        <v>1821523</v>
      </c>
      <c r="M92" s="283">
        <f>43739+40732+31780+27356+25902+24895+12153+4496+3179</f>
        <v>214232</v>
      </c>
      <c r="N92" s="272">
        <f>+L92/M92</f>
        <v>8.502571978042496</v>
      </c>
      <c r="O92" s="279">
        <v>1</v>
      </c>
      <c r="P92" s="132"/>
    </row>
    <row r="93" spans="1:16" ht="12" customHeight="1">
      <c r="A93" s="228">
        <v>90</v>
      </c>
      <c r="B93" s="281" t="s">
        <v>363</v>
      </c>
      <c r="C93" s="265">
        <v>40172</v>
      </c>
      <c r="D93" s="275" t="s">
        <v>322</v>
      </c>
      <c r="E93" s="276">
        <v>60</v>
      </c>
      <c r="F93" s="276">
        <v>21</v>
      </c>
      <c r="G93" s="276">
        <v>10</v>
      </c>
      <c r="H93" s="288">
        <v>14942.5</v>
      </c>
      <c r="I93" s="289">
        <v>3069</v>
      </c>
      <c r="J93" s="283">
        <f>I93/F93</f>
        <v>146.14285714285714</v>
      </c>
      <c r="K93" s="285">
        <f>H93/I93</f>
        <v>4.868849788204627</v>
      </c>
      <c r="L93" s="284">
        <f>421775.5+397095.5+287050+215248.5+189819.5+180729.5+86816.5+23840+19148+14942.5</f>
        <v>1836465.5</v>
      </c>
      <c r="M93" s="283">
        <f>43739+40732+31780+27356+25902+24895+12153+4496+3179+3069</f>
        <v>217301</v>
      </c>
      <c r="N93" s="272">
        <f>+L93/M93</f>
        <v>8.451251950060055</v>
      </c>
      <c r="O93" s="224"/>
      <c r="P93" s="132"/>
    </row>
    <row r="94" spans="1:16" ht="12" customHeight="1">
      <c r="A94" s="228">
        <v>91</v>
      </c>
      <c r="B94" s="281" t="s">
        <v>363</v>
      </c>
      <c r="C94" s="308">
        <v>40172</v>
      </c>
      <c r="D94" s="275" t="s">
        <v>322</v>
      </c>
      <c r="E94" s="287">
        <v>60</v>
      </c>
      <c r="F94" s="287">
        <v>17</v>
      </c>
      <c r="G94" s="287">
        <v>11</v>
      </c>
      <c r="H94" s="288">
        <v>8798.5</v>
      </c>
      <c r="I94" s="289">
        <v>1650</v>
      </c>
      <c r="J94" s="283">
        <f>(I94/F94)</f>
        <v>97.05882352941177</v>
      </c>
      <c r="K94" s="285">
        <f>H94/I94</f>
        <v>5.332424242424242</v>
      </c>
      <c r="L94" s="284">
        <f>421775.5+397095.5+287050+215248.5+189819.5+180729.5+86816.5+23840+19148+14942.5+8798.5</f>
        <v>1845264</v>
      </c>
      <c r="M94" s="283">
        <f>43739+40732+31780+27356+25902+24895+12153+4496+3179+3069+1650</f>
        <v>218951</v>
      </c>
      <c r="N94" s="272">
        <f>+L94/M94</f>
        <v>8.427748674360931</v>
      </c>
      <c r="O94" s="323">
        <v>1</v>
      </c>
      <c r="P94" s="132"/>
    </row>
    <row r="95" spans="1:16" ht="12" customHeight="1">
      <c r="A95" s="228">
        <v>92</v>
      </c>
      <c r="B95" s="324" t="s">
        <v>363</v>
      </c>
      <c r="C95" s="265">
        <v>40172</v>
      </c>
      <c r="D95" s="275" t="s">
        <v>322</v>
      </c>
      <c r="E95" s="287">
        <v>60</v>
      </c>
      <c r="F95" s="287">
        <v>9</v>
      </c>
      <c r="G95" s="287">
        <v>17</v>
      </c>
      <c r="H95" s="288">
        <v>8547</v>
      </c>
      <c r="I95" s="289">
        <v>1945</v>
      </c>
      <c r="J95" s="283">
        <f>I95/F95</f>
        <v>216.11111111111111</v>
      </c>
      <c r="K95" s="285">
        <f>H95/I95</f>
        <v>4.394344473007712</v>
      </c>
      <c r="L95" s="284">
        <f>421775.5+397095.5+287050+215248.5+189819.5+180729.5+86816.5+23840+19148+14942.5+8798.5+9599+13618.5+4298+4028+3310+8547</f>
        <v>1888664.5</v>
      </c>
      <c r="M95" s="283">
        <f>43739+40732+31780+27356+25902+24895+12153+4496+3179+3069+1650+2236+3335+954+829+540+1945</f>
        <v>228790</v>
      </c>
      <c r="N95" s="290">
        <f>+L95/M95</f>
        <v>8.25501333100223</v>
      </c>
      <c r="O95" s="202">
        <v>1</v>
      </c>
      <c r="P95" s="132"/>
    </row>
    <row r="96" spans="1:16" ht="12" customHeight="1">
      <c r="A96" s="228">
        <v>93</v>
      </c>
      <c r="B96" s="245" t="s">
        <v>363</v>
      </c>
      <c r="C96" s="265">
        <v>40172</v>
      </c>
      <c r="D96" s="275" t="s">
        <v>322</v>
      </c>
      <c r="E96" s="287">
        <v>60</v>
      </c>
      <c r="F96" s="287">
        <v>14</v>
      </c>
      <c r="G96" s="287">
        <v>18</v>
      </c>
      <c r="H96" s="288">
        <v>6712.5</v>
      </c>
      <c r="I96" s="289">
        <v>1297</v>
      </c>
      <c r="J96" s="283">
        <f>I96/F96</f>
        <v>92.64285714285714</v>
      </c>
      <c r="K96" s="285">
        <f>+H96/I96</f>
        <v>5.175404780262143</v>
      </c>
      <c r="L96" s="284">
        <f>421775.5+397095.5+287050+215248.5+189819.5+180729.5+86816.5+23840+19148+14942.5+8798.5+9599+13618.5+4298+4028+3310+8547+6712.5</f>
        <v>1895377</v>
      </c>
      <c r="M96" s="283">
        <f>43739+40732+31780+27356+25902+24895+12153+4496+3179+3069+1650+2236+3335+954+829+540+1945+1297</f>
        <v>230087</v>
      </c>
      <c r="N96" s="290">
        <f>+L96/M96</f>
        <v>8.237653583209829</v>
      </c>
      <c r="O96" s="203">
        <v>1</v>
      </c>
      <c r="P96" s="132"/>
    </row>
    <row r="97" spans="1:16" ht="12" customHeight="1">
      <c r="A97" s="228">
        <v>94</v>
      </c>
      <c r="B97" s="324" t="s">
        <v>363</v>
      </c>
      <c r="C97" s="308">
        <v>40172</v>
      </c>
      <c r="D97" s="275" t="s">
        <v>322</v>
      </c>
      <c r="E97" s="287">
        <v>60</v>
      </c>
      <c r="F97" s="287">
        <v>12</v>
      </c>
      <c r="G97" s="287">
        <v>14</v>
      </c>
      <c r="H97" s="288">
        <v>4298</v>
      </c>
      <c r="I97" s="289">
        <v>954</v>
      </c>
      <c r="J97" s="283">
        <f aca="true" t="shared" si="13" ref="J97:J105">(I97/F97)</f>
        <v>79.5</v>
      </c>
      <c r="K97" s="285">
        <f aca="true" t="shared" si="14" ref="K97:K119">H97/I97</f>
        <v>4.50524109014675</v>
      </c>
      <c r="L97" s="284">
        <f>421775.5+397095.5+287050+215248.5+189819.5+180729.5+86816.5+23840+19148+14942.5+8798.5+9599+13618.5+4298</f>
        <v>1872779.5</v>
      </c>
      <c r="M97" s="283">
        <f>43739+40732+31780+27356+25902+24895+12153+4496+3179+3069+1650+2236+3335+954</f>
        <v>225476</v>
      </c>
      <c r="N97" s="272">
        <f>L97/M97</f>
        <v>8.30589286664656</v>
      </c>
      <c r="O97" s="279">
        <v>1</v>
      </c>
      <c r="P97" s="132"/>
    </row>
    <row r="98" spans="1:16" ht="12" customHeight="1">
      <c r="A98" s="228">
        <v>95</v>
      </c>
      <c r="B98" s="324" t="s">
        <v>363</v>
      </c>
      <c r="C98" s="308">
        <v>40172</v>
      </c>
      <c r="D98" s="275" t="s">
        <v>322</v>
      </c>
      <c r="E98" s="287">
        <v>60</v>
      </c>
      <c r="F98" s="287">
        <v>9</v>
      </c>
      <c r="G98" s="287">
        <v>15</v>
      </c>
      <c r="H98" s="288">
        <v>4028</v>
      </c>
      <c r="I98" s="289">
        <v>829</v>
      </c>
      <c r="J98" s="283">
        <f t="shared" si="13"/>
        <v>92.11111111111111</v>
      </c>
      <c r="K98" s="285">
        <f t="shared" si="14"/>
        <v>4.858866103739445</v>
      </c>
      <c r="L98" s="284">
        <f>421775.5+397095.5+287050+215248.5+189819.5+180729.5+86816.5+23840+19148+14942.5+8798.5+9599+13618.5+4298+4028</f>
        <v>1876807.5</v>
      </c>
      <c r="M98" s="283">
        <f>43739+40732+31780+27356+25902+24895+12153+4496+3179+3069+1650+2236+3335+954+829</f>
        <v>226305</v>
      </c>
      <c r="N98" s="272">
        <f>IF(L98&lt;&gt;0,L98/M98,"")</f>
        <v>8.293265725459005</v>
      </c>
      <c r="O98" s="279">
        <v>1</v>
      </c>
      <c r="P98" s="132"/>
    </row>
    <row r="99" spans="1:16" ht="12" customHeight="1">
      <c r="A99" s="228">
        <v>96</v>
      </c>
      <c r="B99" s="324" t="s">
        <v>363</v>
      </c>
      <c r="C99" s="265">
        <v>40172</v>
      </c>
      <c r="D99" s="275" t="s">
        <v>322</v>
      </c>
      <c r="E99" s="287">
        <v>60</v>
      </c>
      <c r="F99" s="287">
        <v>8</v>
      </c>
      <c r="G99" s="287">
        <v>16</v>
      </c>
      <c r="H99" s="288">
        <v>3310</v>
      </c>
      <c r="I99" s="289">
        <v>540</v>
      </c>
      <c r="J99" s="283">
        <f t="shared" si="13"/>
        <v>67.5</v>
      </c>
      <c r="K99" s="285">
        <f t="shared" si="14"/>
        <v>6.12962962962963</v>
      </c>
      <c r="L99" s="284">
        <f>421775.5+397095.5+287050+215248.5+189819.5+180729.5+86816.5+23840+19148+14942.5+8798.5+9599+13618.5+4298+4028+3310</f>
        <v>1880117.5</v>
      </c>
      <c r="M99" s="283">
        <f>43739+40732+31780+27356+25902+24895+12153+4496+3179+3069+1650+2236+3335+954+829+540</f>
        <v>226845</v>
      </c>
      <c r="N99" s="290">
        <f aca="true" t="shared" si="15" ref="N99:N105">L99/M99</f>
        <v>8.288115232868257</v>
      </c>
      <c r="O99" s="279">
        <v>1</v>
      </c>
      <c r="P99" s="132"/>
    </row>
    <row r="100" spans="1:16" ht="12" customHeight="1">
      <c r="A100" s="228">
        <v>97</v>
      </c>
      <c r="B100" s="325" t="s">
        <v>363</v>
      </c>
      <c r="C100" s="265">
        <v>40172</v>
      </c>
      <c r="D100" s="275" t="s">
        <v>322</v>
      </c>
      <c r="E100" s="276">
        <v>60</v>
      </c>
      <c r="F100" s="276">
        <v>8</v>
      </c>
      <c r="G100" s="276">
        <v>22</v>
      </c>
      <c r="H100" s="263">
        <v>2291</v>
      </c>
      <c r="I100" s="258">
        <v>594</v>
      </c>
      <c r="J100" s="269">
        <f t="shared" si="13"/>
        <v>74.25</v>
      </c>
      <c r="K100" s="270">
        <f t="shared" si="14"/>
        <v>3.856902356902357</v>
      </c>
      <c r="L100" s="271">
        <f>421775.5+397095.5+287050+215248.5+189819.5+180729.5+86816.5+23840+19148+14942.5+8798.5+9599+13618.5+4298+4028+3310+8547+6712.5+1803+1172+973+2291</f>
        <v>1901616</v>
      </c>
      <c r="M100" s="269">
        <f>43739+40732+31780+27356+25902+24895+12153+4496+3179+3069+1650+2236+3335+954+829+540+1945+1297+429+261+173+594</f>
        <v>231544</v>
      </c>
      <c r="N100" s="272">
        <f t="shared" si="15"/>
        <v>8.212763016964379</v>
      </c>
      <c r="O100" s="279">
        <v>1</v>
      </c>
      <c r="P100" s="132"/>
    </row>
    <row r="101" spans="1:16" ht="12" customHeight="1">
      <c r="A101" s="228">
        <v>98</v>
      </c>
      <c r="B101" s="281" t="s">
        <v>363</v>
      </c>
      <c r="C101" s="265">
        <v>40172</v>
      </c>
      <c r="D101" s="275" t="s">
        <v>322</v>
      </c>
      <c r="E101" s="276">
        <v>60</v>
      </c>
      <c r="F101" s="276">
        <v>3</v>
      </c>
      <c r="G101" s="276">
        <v>27</v>
      </c>
      <c r="H101" s="249">
        <v>2061.5</v>
      </c>
      <c r="I101" s="250">
        <v>480</v>
      </c>
      <c r="J101" s="251">
        <f t="shared" si="13"/>
        <v>160</v>
      </c>
      <c r="K101" s="260">
        <f t="shared" si="14"/>
        <v>4.294791666666667</v>
      </c>
      <c r="L101" s="253">
        <f>421775.5+397095.5+287050+215248.5+189819.5+180729.5+86816.5+23840+19148+14942.5+8798.5+9599+13618.5+4298+4028+3310+8547+6712.5+1803+1172+973+2291+380.5+3015+1103.5+65+2061.5</f>
        <v>1908241.5</v>
      </c>
      <c r="M101" s="254">
        <f>43739+40732+31780+27356+25902+24895+12153+4496+3179+3069+1650+2236+3335+954+829+540+1945+1297+429+261+173+594+53+613+200+10+480</f>
        <v>232900</v>
      </c>
      <c r="N101" s="255">
        <f t="shared" si="15"/>
        <v>8.193394160583942</v>
      </c>
      <c r="O101" s="202">
        <v>1</v>
      </c>
      <c r="P101" s="132"/>
    </row>
    <row r="102" spans="1:16" ht="12" customHeight="1">
      <c r="A102" s="228">
        <v>99</v>
      </c>
      <c r="B102" s="281" t="s">
        <v>363</v>
      </c>
      <c r="C102" s="265">
        <v>40172</v>
      </c>
      <c r="D102" s="275" t="s">
        <v>322</v>
      </c>
      <c r="E102" s="276">
        <v>60</v>
      </c>
      <c r="F102" s="276">
        <v>8</v>
      </c>
      <c r="G102" s="276">
        <v>19</v>
      </c>
      <c r="H102" s="249">
        <v>1803</v>
      </c>
      <c r="I102" s="250">
        <v>429</v>
      </c>
      <c r="J102" s="251">
        <f t="shared" si="13"/>
        <v>53.625</v>
      </c>
      <c r="K102" s="260">
        <f t="shared" si="14"/>
        <v>4.2027972027972025</v>
      </c>
      <c r="L102" s="253">
        <f>421775.5+397095.5+287050+215248.5+189819.5+180729.5+86816.5+23840+19148+14942.5+8798.5+9599+13618.5+4298+4028+3310+8547+6712.5+1803</f>
        <v>1897180</v>
      </c>
      <c r="M102" s="254">
        <f>43739+40732+31780+27356+25902+24895+12153+4496+3179+3069+1650+2236+3335+954+829+540+1945+1297+429</f>
        <v>230516</v>
      </c>
      <c r="N102" s="255">
        <f t="shared" si="15"/>
        <v>8.230144545281021</v>
      </c>
      <c r="O102" s="279">
        <v>1</v>
      </c>
      <c r="P102" s="132"/>
    </row>
    <row r="103" spans="1:16" ht="12" customHeight="1">
      <c r="A103" s="228">
        <v>100</v>
      </c>
      <c r="B103" s="245" t="s">
        <v>363</v>
      </c>
      <c r="C103" s="265">
        <v>40172</v>
      </c>
      <c r="D103" s="275" t="s">
        <v>322</v>
      </c>
      <c r="E103" s="287">
        <v>60</v>
      </c>
      <c r="F103" s="287">
        <v>6</v>
      </c>
      <c r="G103" s="287">
        <v>20</v>
      </c>
      <c r="H103" s="288">
        <v>1172</v>
      </c>
      <c r="I103" s="326">
        <v>261</v>
      </c>
      <c r="J103" s="269">
        <f t="shared" si="13"/>
        <v>43.5</v>
      </c>
      <c r="K103" s="270">
        <f t="shared" si="14"/>
        <v>4.490421455938697</v>
      </c>
      <c r="L103" s="271">
        <f>421775.5+397095.5+287050+215248.5+189819.5+180729.5+86816.5+23840+19148+14942.5+8798.5+9599+13618.5+4298+4028+3310+8547+6712.5+1803+1172</f>
        <v>1898352</v>
      </c>
      <c r="M103" s="269">
        <f>43739+40732+31780+27356+25902+24895+12153+4496+3179+3069+1650+2236+3335+954+829+540+1945+1297+429+261</f>
        <v>230777</v>
      </c>
      <c r="N103" s="272">
        <f t="shared" si="15"/>
        <v>8.225915060859618</v>
      </c>
      <c r="O103" s="291"/>
      <c r="P103" s="132"/>
    </row>
    <row r="104" spans="1:16" ht="12" customHeight="1">
      <c r="A104" s="228">
        <v>101</v>
      </c>
      <c r="B104" s="245" t="s">
        <v>363</v>
      </c>
      <c r="C104" s="265">
        <v>40172</v>
      </c>
      <c r="D104" s="275" t="s">
        <v>334</v>
      </c>
      <c r="E104" s="276">
        <v>60</v>
      </c>
      <c r="F104" s="276">
        <v>8</v>
      </c>
      <c r="G104" s="276">
        <v>25</v>
      </c>
      <c r="H104" s="263">
        <v>1103.5</v>
      </c>
      <c r="I104" s="258">
        <v>200</v>
      </c>
      <c r="J104" s="259">
        <f t="shared" si="13"/>
        <v>25</v>
      </c>
      <c r="K104" s="260">
        <f t="shared" si="14"/>
        <v>5.5175</v>
      </c>
      <c r="L104" s="264">
        <f>421775.5+397095.5+287050+215248.5+189819.5+180729.5+86816.5+23840+19148+14942.5+8798.5+9599+13618.5+4298+4028+3310+8547+6712.5+1803+1172+973+2291+380.5+3015+1103.5</f>
        <v>1906115</v>
      </c>
      <c r="M104" s="261">
        <f>43739+40732+31780+27356+25902+24895+12153+4496+3179+3069+1650+2236+3335+954+829+540+1945+1297+429+261+173+594+53+613+200</f>
        <v>232410</v>
      </c>
      <c r="N104" s="255">
        <f t="shared" si="15"/>
        <v>8.20151886751861</v>
      </c>
      <c r="O104" s="279"/>
      <c r="P104" s="132"/>
    </row>
    <row r="105" spans="1:16" ht="12" customHeight="1">
      <c r="A105" s="228">
        <v>102</v>
      </c>
      <c r="B105" s="281" t="s">
        <v>363</v>
      </c>
      <c r="C105" s="265">
        <v>40172</v>
      </c>
      <c r="D105" s="275" t="s">
        <v>322</v>
      </c>
      <c r="E105" s="276">
        <v>60</v>
      </c>
      <c r="F105" s="276">
        <v>5</v>
      </c>
      <c r="G105" s="276">
        <v>21</v>
      </c>
      <c r="H105" s="263">
        <v>923</v>
      </c>
      <c r="I105" s="258">
        <v>163</v>
      </c>
      <c r="J105" s="259">
        <f t="shared" si="13"/>
        <v>32.6</v>
      </c>
      <c r="K105" s="260">
        <f t="shared" si="14"/>
        <v>5.662576687116564</v>
      </c>
      <c r="L105" s="264">
        <f>421775.5+397095.5+287050+215248.5+189819.5+180729.5+86816.5+23840+19148+14942.5+8798.5+9599+13618.5+4298+4028+3310+8547+6712.5+1803+1172+923</f>
        <v>1899275</v>
      </c>
      <c r="M105" s="261">
        <f>43739+40732+31780+27356+25902+24895+12153+4496+3179+3069+1650+2236+3335+954+829+540+1945+1297+429+261+163</f>
        <v>230940</v>
      </c>
      <c r="N105" s="255">
        <f t="shared" si="15"/>
        <v>8.224105828353684</v>
      </c>
      <c r="O105" s="202"/>
      <c r="P105" s="132"/>
    </row>
    <row r="106" spans="1:16" ht="12" customHeight="1">
      <c r="A106" s="228">
        <v>103</v>
      </c>
      <c r="B106" s="245" t="s">
        <v>363</v>
      </c>
      <c r="C106" s="265">
        <v>39877</v>
      </c>
      <c r="D106" s="275" t="s">
        <v>330</v>
      </c>
      <c r="E106" s="276">
        <v>75</v>
      </c>
      <c r="F106" s="276">
        <v>1</v>
      </c>
      <c r="G106" s="276">
        <v>14</v>
      </c>
      <c r="H106" s="263">
        <v>609</v>
      </c>
      <c r="I106" s="258">
        <v>280</v>
      </c>
      <c r="J106" s="269">
        <f>I106/F106</f>
        <v>280</v>
      </c>
      <c r="K106" s="270">
        <f t="shared" si="14"/>
        <v>2.175</v>
      </c>
      <c r="L106" s="271">
        <v>3748613</v>
      </c>
      <c r="M106" s="269">
        <v>334112</v>
      </c>
      <c r="N106" s="272">
        <f>+L106/M106</f>
        <v>11.219629944449766</v>
      </c>
      <c r="O106" s="279"/>
      <c r="P106" s="132"/>
    </row>
    <row r="107" spans="1:16" ht="12" customHeight="1">
      <c r="A107" s="228">
        <v>104</v>
      </c>
      <c r="B107" s="245" t="s">
        <v>363</v>
      </c>
      <c r="C107" s="246">
        <v>40172</v>
      </c>
      <c r="D107" s="247" t="s">
        <v>322</v>
      </c>
      <c r="E107" s="248">
        <v>60</v>
      </c>
      <c r="F107" s="248">
        <v>8</v>
      </c>
      <c r="G107" s="248">
        <v>23</v>
      </c>
      <c r="H107" s="249">
        <v>380.5</v>
      </c>
      <c r="I107" s="250">
        <v>53</v>
      </c>
      <c r="J107" s="251">
        <f>(I107/F107)</f>
        <v>6.625</v>
      </c>
      <c r="K107" s="252">
        <f t="shared" si="14"/>
        <v>7.179245283018868</v>
      </c>
      <c r="L107" s="253">
        <f>421775.5+397095.5+287050+215248.5+189819.5+180729.5+86816.5+23840+19148+14942.5+8798.5+9599+13618.5+4298+4028+3310+8547+6712.5+1803+1172+973+2291+380.5</f>
        <v>1901996.5</v>
      </c>
      <c r="M107" s="254">
        <f>43739+40732+31780+27356+25902+24895+12153+4496+3179+3069+1650+2236+3335+954+829+540+1945+1297+429+261+173+594+53</f>
        <v>231597</v>
      </c>
      <c r="N107" s="255">
        <f>L107/M107</f>
        <v>8.212526500775054</v>
      </c>
      <c r="O107" s="279"/>
      <c r="P107" s="132"/>
    </row>
    <row r="108" spans="1:16" ht="12" customHeight="1">
      <c r="A108" s="228">
        <v>105</v>
      </c>
      <c r="B108" s="245" t="s">
        <v>363</v>
      </c>
      <c r="C108" s="246">
        <v>40172</v>
      </c>
      <c r="D108" s="247" t="s">
        <v>334</v>
      </c>
      <c r="E108" s="248">
        <v>60</v>
      </c>
      <c r="F108" s="248">
        <v>1</v>
      </c>
      <c r="G108" s="248">
        <v>26</v>
      </c>
      <c r="H108" s="249">
        <v>65</v>
      </c>
      <c r="I108" s="250">
        <v>10</v>
      </c>
      <c r="J108" s="251">
        <f>I108/F108</f>
        <v>10</v>
      </c>
      <c r="K108" s="260">
        <f t="shared" si="14"/>
        <v>6.5</v>
      </c>
      <c r="L108" s="253">
        <f>421775.5+397095.5+287050+215248.5+189819.5+180729.5+86816.5+23840+19148+14942.5+8798.5+9599+13618.5+4298+4028+3310+8547+6712.5+1803+1172+973+2291+380.5+3015+1103.5+65</f>
        <v>1906180</v>
      </c>
      <c r="M108" s="254">
        <f>43739+40732+31780+27356+25902+24895+12153+4496+3179+3069+1650+2236+3335+954+829+540+1945+1297+429+261+173+594+53+613+200+10</f>
        <v>232420</v>
      </c>
      <c r="N108" s="255">
        <f>+L108/M108</f>
        <v>8.20144565872128</v>
      </c>
      <c r="O108" s="202"/>
      <c r="P108" s="132"/>
    </row>
    <row r="109" spans="1:16" ht="12" customHeight="1">
      <c r="A109" s="228">
        <v>106</v>
      </c>
      <c r="B109" s="245" t="s">
        <v>70</v>
      </c>
      <c r="C109" s="265">
        <v>40172</v>
      </c>
      <c r="D109" s="247" t="s">
        <v>322</v>
      </c>
      <c r="E109" s="276">
        <v>60</v>
      </c>
      <c r="F109" s="276">
        <v>1</v>
      </c>
      <c r="G109" s="276">
        <v>31</v>
      </c>
      <c r="H109" s="267">
        <v>2970</v>
      </c>
      <c r="I109" s="268">
        <v>743</v>
      </c>
      <c r="J109" s="269">
        <f>(I109/F109)</f>
        <v>743</v>
      </c>
      <c r="K109" s="270">
        <f t="shared" si="14"/>
        <v>3.9973082099596233</v>
      </c>
      <c r="L109" s="271">
        <f>421775.5+397095.5+287050+215248.5+189819.5+180729.5+86816.5+23840+19148+14942.5+8798.5+9599+13618.5+4298+4028+3310+8547+6712.5+1803+1172+973+2291+380.5+3015+1103.5+65+2061.5+1262+1020+2232+2970</f>
        <v>1915725.5</v>
      </c>
      <c r="M109" s="269">
        <f>43739+40732+31780+27356+25902+24895+12153+4496+3179+3069+1650+2236+3335+954+829+540+1945+1297+429+261+173+594+53+613+200+10+480+240+102+533+743</f>
        <v>234518</v>
      </c>
      <c r="N109" s="272">
        <f>L109/M109</f>
        <v>8.16877808952831</v>
      </c>
      <c r="O109" s="278"/>
      <c r="P109" s="132"/>
    </row>
    <row r="110" spans="1:16" ht="12" customHeight="1">
      <c r="A110" s="228">
        <v>107</v>
      </c>
      <c r="B110" s="245" t="s">
        <v>70</v>
      </c>
      <c r="C110" s="265">
        <v>40172</v>
      </c>
      <c r="D110" s="247" t="s">
        <v>322</v>
      </c>
      <c r="E110" s="276">
        <v>60</v>
      </c>
      <c r="F110" s="276">
        <v>1</v>
      </c>
      <c r="G110" s="276">
        <v>30</v>
      </c>
      <c r="H110" s="267">
        <v>2232</v>
      </c>
      <c r="I110" s="268">
        <v>533</v>
      </c>
      <c r="J110" s="269">
        <f>(I110/F110)</f>
        <v>533</v>
      </c>
      <c r="K110" s="270">
        <f t="shared" si="14"/>
        <v>4.1876172607879925</v>
      </c>
      <c r="L110" s="271">
        <f>421775.5+397095.5+287050+215248.5+189819.5+180729.5+86816.5+23840+19148+14942.5+8798.5+9599+13618.5+4298+4028+3310+8547+6712.5+1803+1172+973+2291+380.5+3015+1103.5+65+2061.5+1262+1020+2232</f>
        <v>1912755.5</v>
      </c>
      <c r="M110" s="269">
        <f>43739+40732+31780+27356+25902+24895+12153+4496+3179+3069+1650+2236+3335+954+829+540+1945+1297+429+261+173+594+53+613+200+10+480+240+102+533</f>
        <v>233775</v>
      </c>
      <c r="N110" s="272">
        <f>L110/M110</f>
        <v>8.182036145866752</v>
      </c>
      <c r="O110" s="279"/>
      <c r="P110" s="132"/>
    </row>
    <row r="111" spans="1:16" ht="12" customHeight="1">
      <c r="A111" s="228">
        <v>108</v>
      </c>
      <c r="B111" s="245" t="s">
        <v>70</v>
      </c>
      <c r="C111" s="265">
        <v>40172</v>
      </c>
      <c r="D111" s="247" t="s">
        <v>334</v>
      </c>
      <c r="E111" s="276">
        <v>60</v>
      </c>
      <c r="F111" s="276">
        <v>1</v>
      </c>
      <c r="G111" s="276">
        <v>29</v>
      </c>
      <c r="H111" s="267">
        <v>1020</v>
      </c>
      <c r="I111" s="268">
        <v>102</v>
      </c>
      <c r="J111" s="269">
        <f>(I111/F111)</f>
        <v>102</v>
      </c>
      <c r="K111" s="270">
        <f t="shared" si="14"/>
        <v>10</v>
      </c>
      <c r="L111" s="271">
        <f>421775.5+397095.5+287050+215248.5+189819.5+180729.5+86816.5+23840+19148+14942.5+8798.5+9599+13618.5+4298+4028+3310+8547+6712.5+1803+1172+973+2291+380.5+3015+1103.5+65+2061.5+1262+1020</f>
        <v>1910523.5</v>
      </c>
      <c r="M111" s="269">
        <f>43739+40732+31780+27356+25902+24895+12153+4496+3179+3069+1650+2236+3335+954+829+540+1945+1297+429+261+173+594+53+613+200+10+480+240+102</f>
        <v>233242</v>
      </c>
      <c r="N111" s="272">
        <f>L111/M111</f>
        <v>8.19116411280987</v>
      </c>
      <c r="O111" s="202"/>
      <c r="P111" s="132"/>
    </row>
    <row r="112" spans="1:16" ht="12" customHeight="1">
      <c r="A112" s="228">
        <v>109</v>
      </c>
      <c r="B112" s="245" t="s">
        <v>118</v>
      </c>
      <c r="C112" s="265">
        <v>32509</v>
      </c>
      <c r="D112" s="275" t="s">
        <v>332</v>
      </c>
      <c r="E112" s="276">
        <v>1</v>
      </c>
      <c r="F112" s="276">
        <v>1</v>
      </c>
      <c r="G112" s="276">
        <v>20</v>
      </c>
      <c r="H112" s="263">
        <v>1420</v>
      </c>
      <c r="I112" s="258">
        <v>355</v>
      </c>
      <c r="J112" s="269">
        <f>I112/F112</f>
        <v>355</v>
      </c>
      <c r="K112" s="270">
        <f t="shared" si="14"/>
        <v>4</v>
      </c>
      <c r="L112" s="271">
        <v>1420</v>
      </c>
      <c r="M112" s="269">
        <v>355</v>
      </c>
      <c r="N112" s="272">
        <f>+L112/M112</f>
        <v>4</v>
      </c>
      <c r="O112" s="279"/>
      <c r="P112" s="132"/>
    </row>
    <row r="113" spans="1:16" ht="12" customHeight="1">
      <c r="A113" s="228">
        <v>110</v>
      </c>
      <c r="B113" s="245" t="s">
        <v>119</v>
      </c>
      <c r="C113" s="265">
        <v>40123</v>
      </c>
      <c r="D113" s="247" t="s">
        <v>322</v>
      </c>
      <c r="E113" s="276">
        <v>144</v>
      </c>
      <c r="F113" s="276">
        <v>1</v>
      </c>
      <c r="G113" s="276">
        <v>22</v>
      </c>
      <c r="H113" s="267">
        <v>5940</v>
      </c>
      <c r="I113" s="268">
        <v>1485</v>
      </c>
      <c r="J113" s="269">
        <f aca="true" t="shared" si="16" ref="J113:J121">(I113/F113)</f>
        <v>1485</v>
      </c>
      <c r="K113" s="270">
        <f t="shared" si="14"/>
        <v>4</v>
      </c>
      <c r="L113" s="271">
        <f>909778+593215.5+203934.5+91391+32233.5+29451.5+14597.5+12123.5+12906+13616+5350+7885.5+2130+3662+3564+2376+1780+1424+2848+1620+109+5940</f>
        <v>1951935.5</v>
      </c>
      <c r="M113" s="269">
        <f>103944+67300+25860+13426+5611+5689+2739+1975+2803+2381+1177+1755+350+881+891+594+445+356+712+393+20+1485</f>
        <v>240787</v>
      </c>
      <c r="N113" s="272">
        <f aca="true" t="shared" si="17" ref="N113:N121">L113/M113</f>
        <v>8.106482077520797</v>
      </c>
      <c r="O113" s="278">
        <v>1</v>
      </c>
      <c r="P113" s="132"/>
    </row>
    <row r="114" spans="1:16" ht="12" customHeight="1">
      <c r="A114" s="228">
        <v>111</v>
      </c>
      <c r="B114" s="245" t="s">
        <v>293</v>
      </c>
      <c r="C114" s="246">
        <v>40123</v>
      </c>
      <c r="D114" s="247" t="s">
        <v>322</v>
      </c>
      <c r="E114" s="248">
        <v>144</v>
      </c>
      <c r="F114" s="248">
        <v>2</v>
      </c>
      <c r="G114" s="248">
        <v>19</v>
      </c>
      <c r="H114" s="263">
        <v>2848</v>
      </c>
      <c r="I114" s="258">
        <v>712</v>
      </c>
      <c r="J114" s="259">
        <f t="shared" si="16"/>
        <v>356</v>
      </c>
      <c r="K114" s="260">
        <f t="shared" si="14"/>
        <v>4</v>
      </c>
      <c r="L114" s="264">
        <f>909778+593215.5+203934.5+91391+32233.5+29451.5+14597.5+12123.5+12906+13616+5350+7885.5+2130+3662+3564+2376+1780+1424+2848</f>
        <v>1944266.5</v>
      </c>
      <c r="M114" s="261">
        <f>103944+67300+25860+13426+5611+5689+2739+1975+2803+2381+1177+1755+350+881+891+594+445+356+712</f>
        <v>238889</v>
      </c>
      <c r="N114" s="255">
        <f t="shared" si="17"/>
        <v>8.13878621451804</v>
      </c>
      <c r="O114" s="202"/>
      <c r="P114" s="132"/>
    </row>
    <row r="115" spans="1:16" ht="12" customHeight="1">
      <c r="A115" s="228">
        <v>112</v>
      </c>
      <c r="B115" s="245" t="s">
        <v>120</v>
      </c>
      <c r="C115" s="265">
        <v>40123</v>
      </c>
      <c r="D115" s="247" t="s">
        <v>322</v>
      </c>
      <c r="E115" s="276">
        <v>144</v>
      </c>
      <c r="F115" s="276">
        <v>2</v>
      </c>
      <c r="G115" s="276">
        <v>20</v>
      </c>
      <c r="H115" s="267">
        <v>1620</v>
      </c>
      <c r="I115" s="268">
        <v>393</v>
      </c>
      <c r="J115" s="269">
        <f t="shared" si="16"/>
        <v>196.5</v>
      </c>
      <c r="K115" s="270">
        <f t="shared" si="14"/>
        <v>4.122137404580153</v>
      </c>
      <c r="L115" s="271">
        <f>909778+593215.5+203934.5+91391+32233.5+29451.5+14597.5+12123.5+12906+13616+5350+7885.5+2130+3662+3564+2376+1780+1424+2848+1620</f>
        <v>1945886.5</v>
      </c>
      <c r="M115" s="269">
        <f>103944+67300+25860+13426+5611+5689+2739+1975+2803+2381+1177+1755+350+881+891+594+445+356+712+393</f>
        <v>239282</v>
      </c>
      <c r="N115" s="272">
        <f t="shared" si="17"/>
        <v>8.132189216071414</v>
      </c>
      <c r="O115" s="202"/>
      <c r="P115" s="132"/>
    </row>
    <row r="116" spans="1:16" ht="12" customHeight="1">
      <c r="A116" s="228">
        <v>113</v>
      </c>
      <c r="B116" s="281" t="s">
        <v>102</v>
      </c>
      <c r="C116" s="265">
        <v>40123</v>
      </c>
      <c r="D116" s="275" t="s">
        <v>322</v>
      </c>
      <c r="E116" s="276">
        <v>144</v>
      </c>
      <c r="F116" s="276">
        <v>8</v>
      </c>
      <c r="G116" s="276">
        <v>10</v>
      </c>
      <c r="H116" s="249">
        <v>13616</v>
      </c>
      <c r="I116" s="250">
        <v>2381</v>
      </c>
      <c r="J116" s="251">
        <f t="shared" si="16"/>
        <v>297.625</v>
      </c>
      <c r="K116" s="252">
        <f t="shared" si="14"/>
        <v>5.718605627887443</v>
      </c>
      <c r="L116" s="253">
        <f>909778+593215.5+203934.5+91391+32233.5+29451.5+14597.5+12123.5+12906+13616</f>
        <v>1913247</v>
      </c>
      <c r="M116" s="254">
        <f>103944+67300+25860+13426+5611+5689+2739+1975+2803+2381</f>
        <v>231728</v>
      </c>
      <c r="N116" s="255">
        <f t="shared" si="17"/>
        <v>8.256434267762204</v>
      </c>
      <c r="O116" s="291"/>
      <c r="P116" s="132"/>
    </row>
    <row r="117" spans="1:16" ht="12" customHeight="1">
      <c r="A117" s="228">
        <v>114</v>
      </c>
      <c r="B117" s="281" t="s">
        <v>102</v>
      </c>
      <c r="C117" s="265">
        <v>40123</v>
      </c>
      <c r="D117" s="275" t="s">
        <v>322</v>
      </c>
      <c r="E117" s="276">
        <v>144</v>
      </c>
      <c r="F117" s="276">
        <v>12</v>
      </c>
      <c r="G117" s="276">
        <v>9</v>
      </c>
      <c r="H117" s="249">
        <v>12906</v>
      </c>
      <c r="I117" s="250">
        <v>2803</v>
      </c>
      <c r="J117" s="251">
        <f t="shared" si="16"/>
        <v>233.58333333333334</v>
      </c>
      <c r="K117" s="260">
        <f t="shared" si="14"/>
        <v>4.6043524794862645</v>
      </c>
      <c r="L117" s="253">
        <f>909778+593215.5+203934.5+91391+32233.5+29451.5+14597.5+12123.5+12906</f>
        <v>1899631</v>
      </c>
      <c r="M117" s="254">
        <f>103944+67300+25860+13426+5611+5689+2739+1975+2803</f>
        <v>229347</v>
      </c>
      <c r="N117" s="255">
        <f t="shared" si="17"/>
        <v>8.282781113334815</v>
      </c>
      <c r="O117" s="279"/>
      <c r="P117" s="132"/>
    </row>
    <row r="118" spans="1:16" ht="12" customHeight="1">
      <c r="A118" s="228">
        <v>115</v>
      </c>
      <c r="B118" s="281" t="s">
        <v>102</v>
      </c>
      <c r="C118" s="265">
        <v>40123</v>
      </c>
      <c r="D118" s="275" t="s">
        <v>322</v>
      </c>
      <c r="E118" s="276">
        <v>144</v>
      </c>
      <c r="F118" s="276">
        <v>7</v>
      </c>
      <c r="G118" s="276">
        <v>12</v>
      </c>
      <c r="H118" s="263">
        <v>7885.5</v>
      </c>
      <c r="I118" s="258">
        <v>1755</v>
      </c>
      <c r="J118" s="259">
        <f t="shared" si="16"/>
        <v>250.71428571428572</v>
      </c>
      <c r="K118" s="260">
        <f t="shared" si="14"/>
        <v>4.493162393162393</v>
      </c>
      <c r="L118" s="264">
        <f>909778+593215.5+203934.5+91391+32233.5+29451.5+14597.5+12123.5+12906+13616+5350+7885.5</f>
        <v>1926482.5</v>
      </c>
      <c r="M118" s="261">
        <f>103944+67300+25860+13426+5611+5689+2739+1975+2803+2381+1177+1755</f>
        <v>234660</v>
      </c>
      <c r="N118" s="255">
        <f t="shared" si="17"/>
        <v>8.209675701014234</v>
      </c>
      <c r="O118" s="244"/>
      <c r="P118" s="132"/>
    </row>
    <row r="119" spans="1:16" ht="12" customHeight="1">
      <c r="A119" s="228">
        <v>116</v>
      </c>
      <c r="B119" s="304" t="s">
        <v>102</v>
      </c>
      <c r="C119" s="305">
        <v>40123</v>
      </c>
      <c r="D119" s="275" t="s">
        <v>322</v>
      </c>
      <c r="E119" s="306">
        <v>144</v>
      </c>
      <c r="F119" s="306">
        <v>2</v>
      </c>
      <c r="G119" s="306">
        <v>11</v>
      </c>
      <c r="H119" s="249">
        <v>5350</v>
      </c>
      <c r="I119" s="258">
        <v>1177</v>
      </c>
      <c r="J119" s="259">
        <f t="shared" si="16"/>
        <v>588.5</v>
      </c>
      <c r="K119" s="260">
        <f t="shared" si="14"/>
        <v>4.545454545454546</v>
      </c>
      <c r="L119" s="253">
        <f>909778+593215.5+203934.5+91391+32233.5+29451.5+14597.5+12123.5+12906+13616+5350</f>
        <v>1918597</v>
      </c>
      <c r="M119" s="261">
        <f>103944+67300+25860+13426+5611+5689+2739+1975+2803+2381+1177</f>
        <v>232905</v>
      </c>
      <c r="N119" s="255">
        <f t="shared" si="17"/>
        <v>8.237680599386016</v>
      </c>
      <c r="O119" s="262"/>
      <c r="P119" s="132"/>
    </row>
    <row r="120" spans="1:16" ht="12" customHeight="1">
      <c r="A120" s="228">
        <v>117</v>
      </c>
      <c r="B120" s="281" t="s">
        <v>102</v>
      </c>
      <c r="C120" s="265">
        <v>40123</v>
      </c>
      <c r="D120" s="275" t="s">
        <v>322</v>
      </c>
      <c r="E120" s="276">
        <v>144</v>
      </c>
      <c r="F120" s="276">
        <v>3</v>
      </c>
      <c r="G120" s="276">
        <v>14</v>
      </c>
      <c r="H120" s="267">
        <v>3662</v>
      </c>
      <c r="I120" s="268">
        <v>881</v>
      </c>
      <c r="J120" s="269">
        <f t="shared" si="16"/>
        <v>293.6666666666667</v>
      </c>
      <c r="K120" s="270">
        <f>(J120/G120)</f>
        <v>20.976190476190478</v>
      </c>
      <c r="L120" s="271">
        <f>909778+593215.5+203934.5+91391+32233.5+29451.5+14597.5+12123.5+12906+13616+5350+7885.5+2130+3662</f>
        <v>1932274.5</v>
      </c>
      <c r="M120" s="269">
        <f>103944+67300+25860+13426+5611+5689+2739+1975+2803+2381+1177+1755+350+881</f>
        <v>235891</v>
      </c>
      <c r="N120" s="272">
        <f t="shared" si="17"/>
        <v>8.191387123713918</v>
      </c>
      <c r="O120" s="262"/>
      <c r="P120" s="132"/>
    </row>
    <row r="121" spans="1:16" ht="12" customHeight="1">
      <c r="A121" s="228">
        <v>118</v>
      </c>
      <c r="B121" s="281" t="s">
        <v>102</v>
      </c>
      <c r="C121" s="265">
        <v>40123</v>
      </c>
      <c r="D121" s="275" t="s">
        <v>322</v>
      </c>
      <c r="E121" s="276">
        <v>144</v>
      </c>
      <c r="F121" s="276">
        <v>2</v>
      </c>
      <c r="G121" s="276">
        <v>15</v>
      </c>
      <c r="H121" s="280">
        <v>3564</v>
      </c>
      <c r="I121" s="282">
        <v>891</v>
      </c>
      <c r="J121" s="283">
        <f t="shared" si="16"/>
        <v>445.5</v>
      </c>
      <c r="K121" s="285">
        <f>H121/I121</f>
        <v>4</v>
      </c>
      <c r="L121" s="284">
        <f>909778+593215.5+203934.5+91391+32233.5+29451.5+14597.5+12123.5+12906+13616+5350+7885.5+2130+3662+3564</f>
        <v>1935838.5</v>
      </c>
      <c r="M121" s="283">
        <f>103944+67300+25860+13426+5611+5689+2739+1975+2803+2381+1177+1755+350+881+891</f>
        <v>236782</v>
      </c>
      <c r="N121" s="272">
        <f t="shared" si="17"/>
        <v>8.175615122771157</v>
      </c>
      <c r="O121" s="262"/>
      <c r="P121" s="132"/>
    </row>
    <row r="122" spans="1:16" ht="12" customHeight="1">
      <c r="A122" s="228">
        <v>119</v>
      </c>
      <c r="B122" s="324" t="s">
        <v>102</v>
      </c>
      <c r="C122" s="308">
        <v>40123</v>
      </c>
      <c r="D122" s="275" t="s">
        <v>322</v>
      </c>
      <c r="E122" s="287">
        <v>144</v>
      </c>
      <c r="F122" s="287">
        <v>1</v>
      </c>
      <c r="G122" s="287">
        <v>16</v>
      </c>
      <c r="H122" s="288">
        <v>2376</v>
      </c>
      <c r="I122" s="289">
        <v>594</v>
      </c>
      <c r="J122" s="283">
        <f>I122/F122</f>
        <v>594</v>
      </c>
      <c r="K122" s="285">
        <f>H122/I122</f>
        <v>4</v>
      </c>
      <c r="L122" s="284">
        <f>909778+593215.5+203934.5+91391+32233.5+29451.5+14597.5+12123.5+12906+13616+5350+7885.5+2130+3662+3564+2376</f>
        <v>1938214.5</v>
      </c>
      <c r="M122" s="283">
        <f>103944+67300+25860+13426+5611+5689+2739+1975+2803+2381+1177+1755+350+881+891+594</f>
        <v>237376</v>
      </c>
      <c r="N122" s="272">
        <f>+L122/M122</f>
        <v>8.165166234160152</v>
      </c>
      <c r="O122" s="327"/>
      <c r="P122" s="132"/>
    </row>
    <row r="123" spans="1:16" ht="12" customHeight="1">
      <c r="A123" s="228">
        <v>120</v>
      </c>
      <c r="B123" s="304" t="s">
        <v>102</v>
      </c>
      <c r="C123" s="305">
        <v>40123</v>
      </c>
      <c r="D123" s="275" t="s">
        <v>322</v>
      </c>
      <c r="E123" s="306">
        <v>144</v>
      </c>
      <c r="F123" s="306">
        <v>3</v>
      </c>
      <c r="G123" s="306">
        <v>13</v>
      </c>
      <c r="H123" s="263">
        <v>2130</v>
      </c>
      <c r="I123" s="258">
        <v>350</v>
      </c>
      <c r="J123" s="259">
        <f>(I123/F123)</f>
        <v>116.66666666666667</v>
      </c>
      <c r="K123" s="270">
        <f>+H123/I123</f>
        <v>6.085714285714285</v>
      </c>
      <c r="L123" s="264">
        <f>909778+593215.5+203934.5+91391+32233.5+29451.5+14597.5+12123.5+12906+13616+5350+7885.5+2130</f>
        <v>1928612.5</v>
      </c>
      <c r="M123" s="261">
        <f>103944+67300+25860+13426+5611+5689+2739+1975+2803+2381+1177+1755+350</f>
        <v>235010</v>
      </c>
      <c r="N123" s="255">
        <f>L123/M123</f>
        <v>8.206512488830263</v>
      </c>
      <c r="O123" s="279"/>
      <c r="P123" s="132"/>
    </row>
    <row r="124" spans="1:16" ht="12" customHeight="1">
      <c r="A124" s="228">
        <v>121</v>
      </c>
      <c r="B124" s="293" t="s">
        <v>102</v>
      </c>
      <c r="C124" s="265">
        <v>40123</v>
      </c>
      <c r="D124" s="275" t="s">
        <v>322</v>
      </c>
      <c r="E124" s="276">
        <v>144</v>
      </c>
      <c r="F124" s="276">
        <v>1</v>
      </c>
      <c r="G124" s="276">
        <v>17</v>
      </c>
      <c r="H124" s="249">
        <v>1780</v>
      </c>
      <c r="I124" s="250">
        <v>445</v>
      </c>
      <c r="J124" s="251">
        <f>(I124/F124)</f>
        <v>445</v>
      </c>
      <c r="K124" s="260">
        <f>H124/I124</f>
        <v>4</v>
      </c>
      <c r="L124" s="253">
        <f>909778+593215.5+203934.5+91391+32233.5+29451.5+14597.5+12123.5+12906+13616+5350+7885.5+2130+3662+3564+2376+1780</f>
        <v>1939994.5</v>
      </c>
      <c r="M124" s="254">
        <f>103944+67300+25860+13426+5611+5689+2739+1975+2803+2381+1177+1755+350+881+891+594+445</f>
        <v>237821</v>
      </c>
      <c r="N124" s="255">
        <f>L124/M124</f>
        <v>8.157372561716585</v>
      </c>
      <c r="O124" s="279"/>
      <c r="P124" s="132"/>
    </row>
    <row r="125" spans="1:16" ht="12" customHeight="1">
      <c r="A125" s="228">
        <v>122</v>
      </c>
      <c r="B125" s="245" t="s">
        <v>103</v>
      </c>
      <c r="C125" s="265">
        <v>40123</v>
      </c>
      <c r="D125" s="247" t="s">
        <v>322</v>
      </c>
      <c r="E125" s="276">
        <v>144</v>
      </c>
      <c r="F125" s="276">
        <v>1</v>
      </c>
      <c r="G125" s="276">
        <v>21</v>
      </c>
      <c r="H125" s="267">
        <v>109</v>
      </c>
      <c r="I125" s="268">
        <v>20</v>
      </c>
      <c r="J125" s="269">
        <f>(I125/F125)</f>
        <v>20</v>
      </c>
      <c r="K125" s="270">
        <f>H125/I125</f>
        <v>5.45</v>
      </c>
      <c r="L125" s="271">
        <f>909778+593215.5+203934.5+91391+32233.5+29451.5+14597.5+12123.5+12906+13616+5350+7885.5+2130+3662+3564+2376+1780+1424+2848+1620+109</f>
        <v>1945995.5</v>
      </c>
      <c r="M125" s="269">
        <f>103944+67300+25860+13426+5611+5689+2739+1975+2803+2381+1177+1755+350+881+891+594+445+356+712+393+20</f>
        <v>239302</v>
      </c>
      <c r="N125" s="272">
        <f>L125/M125</f>
        <v>8.131965048348949</v>
      </c>
      <c r="O125" s="278">
        <v>1</v>
      </c>
      <c r="P125" s="132"/>
    </row>
    <row r="126" spans="1:16" ht="12" customHeight="1">
      <c r="A126" s="228">
        <v>123</v>
      </c>
      <c r="B126" s="281" t="s">
        <v>221</v>
      </c>
      <c r="C126" s="265">
        <v>39808</v>
      </c>
      <c r="D126" s="247" t="s">
        <v>322</v>
      </c>
      <c r="E126" s="276">
        <v>75</v>
      </c>
      <c r="F126" s="276">
        <v>1</v>
      </c>
      <c r="G126" s="276">
        <v>26</v>
      </c>
      <c r="H126" s="280">
        <v>372</v>
      </c>
      <c r="I126" s="282">
        <v>31</v>
      </c>
      <c r="J126" s="283">
        <v>31</v>
      </c>
      <c r="K126" s="285">
        <v>12</v>
      </c>
      <c r="L126" s="284">
        <v>1791896.5</v>
      </c>
      <c r="M126" s="283">
        <v>182081</v>
      </c>
      <c r="N126" s="272">
        <v>9.841205287756548</v>
      </c>
      <c r="O126" s="279"/>
      <c r="P126" s="132"/>
    </row>
    <row r="127" spans="1:16" ht="12" customHeight="1">
      <c r="A127" s="228">
        <v>124</v>
      </c>
      <c r="B127" s="281" t="s">
        <v>360</v>
      </c>
      <c r="C127" s="265">
        <v>40165</v>
      </c>
      <c r="D127" s="275" t="s">
        <v>322</v>
      </c>
      <c r="E127" s="276">
        <v>125</v>
      </c>
      <c r="F127" s="276">
        <v>156</v>
      </c>
      <c r="G127" s="276">
        <v>3</v>
      </c>
      <c r="H127" s="249">
        <v>3469556.5</v>
      </c>
      <c r="I127" s="250">
        <v>309119</v>
      </c>
      <c r="J127" s="251">
        <f aca="true" t="shared" si="18" ref="J127:J133">(I127/F127)</f>
        <v>1981.5320512820513</v>
      </c>
      <c r="K127" s="260">
        <f>H127/I127</f>
        <v>11.224015670340549</v>
      </c>
      <c r="L127" s="253">
        <f>4033069.5+3582182.5+3469556.5</f>
        <v>11084808.5</v>
      </c>
      <c r="M127" s="254">
        <f>383242+338340+309119</f>
        <v>1030701</v>
      </c>
      <c r="N127" s="255">
        <f aca="true" t="shared" si="19" ref="N127:N133">L127/M127</f>
        <v>10.754630586367918</v>
      </c>
      <c r="O127" s="279"/>
      <c r="P127" s="132"/>
    </row>
    <row r="128" spans="1:16" ht="12" customHeight="1">
      <c r="A128" s="228">
        <v>125</v>
      </c>
      <c r="B128" s="304" t="s">
        <v>360</v>
      </c>
      <c r="C128" s="305">
        <v>40165</v>
      </c>
      <c r="D128" s="275" t="s">
        <v>322</v>
      </c>
      <c r="E128" s="306">
        <v>125</v>
      </c>
      <c r="F128" s="306">
        <v>156</v>
      </c>
      <c r="G128" s="306">
        <v>5</v>
      </c>
      <c r="H128" s="249">
        <v>3107541.5</v>
      </c>
      <c r="I128" s="258">
        <v>290779</v>
      </c>
      <c r="J128" s="259">
        <f t="shared" si="18"/>
        <v>1863.9679487179487</v>
      </c>
      <c r="K128" s="260">
        <f>H128/I128</f>
        <v>10.686952978034865</v>
      </c>
      <c r="L128" s="253">
        <f>4033069.5+3582182.5+3469556.5+3099545+3107541.5</f>
        <v>17291895</v>
      </c>
      <c r="M128" s="261">
        <f>383242+338340+309119+280170+290779</f>
        <v>1601650</v>
      </c>
      <c r="N128" s="255">
        <f t="shared" si="19"/>
        <v>10.796300689913526</v>
      </c>
      <c r="O128" s="278"/>
      <c r="P128" s="132"/>
    </row>
    <row r="129" spans="1:16" ht="12" customHeight="1">
      <c r="A129" s="228">
        <v>126</v>
      </c>
      <c r="B129" s="281" t="s">
        <v>360</v>
      </c>
      <c r="C129" s="265">
        <v>40165</v>
      </c>
      <c r="D129" s="275" t="s">
        <v>322</v>
      </c>
      <c r="E129" s="276">
        <v>125</v>
      </c>
      <c r="F129" s="276">
        <v>158</v>
      </c>
      <c r="G129" s="276">
        <v>4</v>
      </c>
      <c r="H129" s="249">
        <v>3099545</v>
      </c>
      <c r="I129" s="250">
        <v>280170</v>
      </c>
      <c r="J129" s="251">
        <f t="shared" si="18"/>
        <v>1773.2278481012659</v>
      </c>
      <c r="K129" s="252">
        <f>H129/I129</f>
        <v>11.063086697362316</v>
      </c>
      <c r="L129" s="253">
        <f>4033069.5+3582182.5+3469556.5+3099545</f>
        <v>14184353.5</v>
      </c>
      <c r="M129" s="254">
        <f>383242+338340+309119+280170</f>
        <v>1310871</v>
      </c>
      <c r="N129" s="255">
        <f t="shared" si="19"/>
        <v>10.820556332392737</v>
      </c>
      <c r="O129" s="277"/>
      <c r="P129" s="132"/>
    </row>
    <row r="130" spans="1:16" ht="12" customHeight="1">
      <c r="A130" s="228">
        <v>127</v>
      </c>
      <c r="B130" s="281" t="s">
        <v>360</v>
      </c>
      <c r="C130" s="265">
        <v>40165</v>
      </c>
      <c r="D130" s="275" t="s">
        <v>322</v>
      </c>
      <c r="E130" s="276">
        <v>125</v>
      </c>
      <c r="F130" s="276">
        <v>146</v>
      </c>
      <c r="G130" s="276">
        <v>6</v>
      </c>
      <c r="H130" s="263">
        <v>2751160</v>
      </c>
      <c r="I130" s="258">
        <v>261753</v>
      </c>
      <c r="J130" s="259">
        <f t="shared" si="18"/>
        <v>1792.8287671232877</v>
      </c>
      <c r="K130" s="260">
        <f>H130/I130</f>
        <v>10.510519459184804</v>
      </c>
      <c r="L130" s="264">
        <f>4033069.5+3582182.5+3469556.5+3099545+3107521.5+2751160</f>
        <v>20043035</v>
      </c>
      <c r="M130" s="261">
        <f>383242+338340+309119+280170+290777+261753</f>
        <v>1863401</v>
      </c>
      <c r="N130" s="255">
        <f t="shared" si="19"/>
        <v>10.756157692305628</v>
      </c>
      <c r="O130" s="303"/>
      <c r="P130" s="132"/>
    </row>
    <row r="131" spans="1:16" ht="12" customHeight="1">
      <c r="A131" s="228">
        <v>128</v>
      </c>
      <c r="B131" s="304" t="s">
        <v>360</v>
      </c>
      <c r="C131" s="305">
        <v>40165</v>
      </c>
      <c r="D131" s="275" t="s">
        <v>322</v>
      </c>
      <c r="E131" s="306">
        <v>125</v>
      </c>
      <c r="F131" s="306">
        <v>147</v>
      </c>
      <c r="G131" s="306">
        <v>7</v>
      </c>
      <c r="H131" s="263">
        <v>2297673.5</v>
      </c>
      <c r="I131" s="258">
        <v>222617</v>
      </c>
      <c r="J131" s="259">
        <f t="shared" si="18"/>
        <v>1514.4013605442176</v>
      </c>
      <c r="K131" s="270">
        <f>+H131/I131</f>
        <v>10.32119514682167</v>
      </c>
      <c r="L131" s="264">
        <f>4033069.5+3582182.5+3469556.5+3099545+3107521.5+2751160+2297673.5</f>
        <v>22340708.5</v>
      </c>
      <c r="M131" s="261">
        <f>383242+338340+309119+280170+290777+261753+222617</f>
        <v>2086018</v>
      </c>
      <c r="N131" s="255">
        <f t="shared" si="19"/>
        <v>10.709739081829591</v>
      </c>
      <c r="O131" s="307"/>
      <c r="P131" s="132"/>
    </row>
    <row r="132" spans="1:16" ht="12" customHeight="1">
      <c r="A132" s="228">
        <v>129</v>
      </c>
      <c r="B132" s="281" t="s">
        <v>360</v>
      </c>
      <c r="C132" s="265">
        <v>40165</v>
      </c>
      <c r="D132" s="275" t="s">
        <v>322</v>
      </c>
      <c r="E132" s="276">
        <v>125</v>
      </c>
      <c r="F132" s="276">
        <v>147</v>
      </c>
      <c r="G132" s="276">
        <v>8</v>
      </c>
      <c r="H132" s="267">
        <v>1520298</v>
      </c>
      <c r="I132" s="268">
        <v>140396</v>
      </c>
      <c r="J132" s="269">
        <f t="shared" si="18"/>
        <v>955.0748299319728</v>
      </c>
      <c r="K132" s="270">
        <f>(J132/G132)</f>
        <v>119.3843537414966</v>
      </c>
      <c r="L132" s="271">
        <f>4033069.5+3582182.5+3469556.5+3099545+3107521.5+2751160+2297673.5+1520298</f>
        <v>23861006.5</v>
      </c>
      <c r="M132" s="269">
        <f>383242+338340+309119+280170+290777+261753+222617+140396</f>
        <v>2226414</v>
      </c>
      <c r="N132" s="272">
        <f t="shared" si="19"/>
        <v>10.717237000845305</v>
      </c>
      <c r="O132" s="279"/>
      <c r="P132" s="132"/>
    </row>
    <row r="133" spans="1:16" ht="12" customHeight="1">
      <c r="A133" s="228">
        <v>130</v>
      </c>
      <c r="B133" s="281" t="s">
        <v>360</v>
      </c>
      <c r="C133" s="265">
        <v>40165</v>
      </c>
      <c r="D133" s="275" t="s">
        <v>322</v>
      </c>
      <c r="E133" s="276">
        <v>125</v>
      </c>
      <c r="F133" s="276">
        <v>122</v>
      </c>
      <c r="G133" s="276">
        <v>9</v>
      </c>
      <c r="H133" s="280">
        <v>778693.5</v>
      </c>
      <c r="I133" s="282">
        <v>74659</v>
      </c>
      <c r="J133" s="283">
        <f t="shared" si="18"/>
        <v>611.9590163934427</v>
      </c>
      <c r="K133" s="285">
        <f>(J133/G133)</f>
        <v>67.99544626593807</v>
      </c>
      <c r="L133" s="284">
        <f>4033069.5+3582182.5+3469556.5+3099545+3107521.5+2751160+2297667.5+1520298+788693.5</f>
        <v>24649694</v>
      </c>
      <c r="M133" s="283">
        <f>383242+338340+309119+280170+290777+261753+222617+140396+74659</f>
        <v>2301073</v>
      </c>
      <c r="N133" s="272">
        <f t="shared" si="19"/>
        <v>10.712260758350562</v>
      </c>
      <c r="O133" s="279"/>
      <c r="P133" s="132"/>
    </row>
    <row r="134" spans="1:16" ht="12" customHeight="1">
      <c r="A134" s="228">
        <v>131</v>
      </c>
      <c r="B134" s="281" t="s">
        <v>360</v>
      </c>
      <c r="C134" s="265">
        <v>40165</v>
      </c>
      <c r="D134" s="275" t="s">
        <v>322</v>
      </c>
      <c r="E134" s="276">
        <v>125</v>
      </c>
      <c r="F134" s="276">
        <v>106</v>
      </c>
      <c r="G134" s="276">
        <v>10</v>
      </c>
      <c r="H134" s="280">
        <v>562184.5</v>
      </c>
      <c r="I134" s="282">
        <v>50484</v>
      </c>
      <c r="J134" s="283">
        <f>I134/F134</f>
        <v>476.2641509433962</v>
      </c>
      <c r="K134" s="285">
        <f>H134/I134</f>
        <v>11.135894540844625</v>
      </c>
      <c r="L134" s="284">
        <f>4033069.5+3582182.5+3469556.5+3099545+3107521.5+2751160+2297667.5+1520298+788693.5+562184.5</f>
        <v>25211878.5</v>
      </c>
      <c r="M134" s="283">
        <f>383242+338340+309119+280170+290777+261753+222617+140396+74659+50484</f>
        <v>2351557</v>
      </c>
      <c r="N134" s="272">
        <f>+L134/M134</f>
        <v>10.721355467887872</v>
      </c>
      <c r="O134" s="279"/>
      <c r="P134" s="132"/>
    </row>
    <row r="135" spans="1:16" ht="12" customHeight="1">
      <c r="A135" s="228">
        <v>132</v>
      </c>
      <c r="B135" s="281" t="s">
        <v>360</v>
      </c>
      <c r="C135" s="308">
        <v>40165</v>
      </c>
      <c r="D135" s="275" t="s">
        <v>322</v>
      </c>
      <c r="E135" s="287">
        <v>125</v>
      </c>
      <c r="F135" s="287">
        <v>64</v>
      </c>
      <c r="G135" s="287">
        <v>11</v>
      </c>
      <c r="H135" s="288">
        <v>348660.5</v>
      </c>
      <c r="I135" s="289">
        <v>29496</v>
      </c>
      <c r="J135" s="283">
        <f>(I135/F135)</f>
        <v>460.875</v>
      </c>
      <c r="K135" s="285">
        <f>H135/I135</f>
        <v>11.820602793599132</v>
      </c>
      <c r="L135" s="284">
        <f>4033069.5+3582182.5+3469556.5+3099545+3107521.5+2751160+2297667.5+1520298+788693.5+562184.5+348660.5</f>
        <v>25560539</v>
      </c>
      <c r="M135" s="283">
        <f>383242+338340+309119+280170+290777+261753+222617+140396+74659+50484+29496</f>
        <v>2381053</v>
      </c>
      <c r="N135" s="272">
        <f>L135/M135</f>
        <v>10.73497272005285</v>
      </c>
      <c r="O135" s="279">
        <v>1</v>
      </c>
      <c r="P135" s="132"/>
    </row>
    <row r="136" spans="1:16" ht="12" customHeight="1">
      <c r="A136" s="228">
        <v>133</v>
      </c>
      <c r="B136" s="281" t="s">
        <v>360</v>
      </c>
      <c r="C136" s="308">
        <v>40165</v>
      </c>
      <c r="D136" s="275" t="s">
        <v>322</v>
      </c>
      <c r="E136" s="287">
        <v>125</v>
      </c>
      <c r="F136" s="287">
        <v>53</v>
      </c>
      <c r="G136" s="287">
        <v>12</v>
      </c>
      <c r="H136" s="288">
        <v>276467.5</v>
      </c>
      <c r="I136" s="289">
        <v>23353</v>
      </c>
      <c r="J136" s="283">
        <f>(I136/F136)</f>
        <v>440.62264150943395</v>
      </c>
      <c r="K136" s="285">
        <f>H136/I136</f>
        <v>11.838628869952469</v>
      </c>
      <c r="L136" s="284">
        <f>4033069.5+3582182.5+3469556.5+3099545+3107521.5+2751160+2297667.5+1520298+788693.5+562184.5+348660.5+276467.5</f>
        <v>25837006.5</v>
      </c>
      <c r="M136" s="283">
        <f>383242+338340+309119+280170+290777+261753+222617+140396+74659+50484+29496+23353</f>
        <v>2404406</v>
      </c>
      <c r="N136" s="272">
        <f>+L136/M136</f>
        <v>10.74569207529843</v>
      </c>
      <c r="O136" s="202">
        <v>1</v>
      </c>
      <c r="P136" s="132"/>
    </row>
    <row r="137" spans="1:16" ht="12" customHeight="1">
      <c r="A137" s="228">
        <v>134</v>
      </c>
      <c r="B137" s="324" t="s">
        <v>360</v>
      </c>
      <c r="C137" s="308">
        <v>40165</v>
      </c>
      <c r="D137" s="275" t="s">
        <v>322</v>
      </c>
      <c r="E137" s="287">
        <v>125</v>
      </c>
      <c r="F137" s="287">
        <v>40</v>
      </c>
      <c r="G137" s="287">
        <v>13</v>
      </c>
      <c r="H137" s="288">
        <v>182912.5</v>
      </c>
      <c r="I137" s="289">
        <v>15006</v>
      </c>
      <c r="J137" s="283">
        <f>I137/F137</f>
        <v>375.15</v>
      </c>
      <c r="K137" s="285">
        <f>H137/I137</f>
        <v>12.189290950286551</v>
      </c>
      <c r="L137" s="284">
        <f>4033069.5+3582182.5+3469556.5+3099545+3107521.5+2751160+2297667.5+1520298+788693.5+562184.5+348660.5+276467.5+182912.5</f>
        <v>26019919</v>
      </c>
      <c r="M137" s="283">
        <f>383242+338340+309119+280170+290777+261753+222617+140396+74659+50484+29496+23353+15006</f>
        <v>2419412</v>
      </c>
      <c r="N137" s="272">
        <f>+L137/M137</f>
        <v>10.754645756902917</v>
      </c>
      <c r="O137" s="224"/>
      <c r="P137" s="132"/>
    </row>
    <row r="138" spans="1:16" ht="12" customHeight="1">
      <c r="A138" s="228">
        <v>135</v>
      </c>
      <c r="B138" s="245" t="s">
        <v>360</v>
      </c>
      <c r="C138" s="265">
        <v>40165</v>
      </c>
      <c r="D138" s="247" t="s">
        <v>322</v>
      </c>
      <c r="E138" s="276">
        <v>150</v>
      </c>
      <c r="F138" s="276">
        <v>68</v>
      </c>
      <c r="G138" s="276">
        <v>38</v>
      </c>
      <c r="H138" s="267">
        <v>135084.5</v>
      </c>
      <c r="I138" s="268">
        <v>11058</v>
      </c>
      <c r="J138" s="269">
        <v>28</v>
      </c>
      <c r="K138" s="270">
        <v>8</v>
      </c>
      <c r="L138" s="271">
        <f>26351050.5+1782+1045+250+135084.5</f>
        <v>26489212</v>
      </c>
      <c r="M138" s="269">
        <f>2457871+446+113+30+11058</f>
        <v>2469518</v>
      </c>
      <c r="N138" s="272">
        <v>10.72108768116797</v>
      </c>
      <c r="O138" s="202"/>
      <c r="P138" s="132"/>
    </row>
    <row r="139" spans="1:16" ht="12" customHeight="1">
      <c r="A139" s="228">
        <v>136</v>
      </c>
      <c r="B139" s="324" t="s">
        <v>360</v>
      </c>
      <c r="C139" s="308">
        <v>40165</v>
      </c>
      <c r="D139" s="275" t="s">
        <v>322</v>
      </c>
      <c r="E139" s="287">
        <v>125</v>
      </c>
      <c r="F139" s="287">
        <v>7</v>
      </c>
      <c r="G139" s="287">
        <v>14</v>
      </c>
      <c r="H139" s="288">
        <v>83992.5</v>
      </c>
      <c r="I139" s="289">
        <v>11893</v>
      </c>
      <c r="J139" s="283">
        <f>I139/F139</f>
        <v>1699</v>
      </c>
      <c r="K139" s="285">
        <f aca="true" t="shared" si="20" ref="K139:K149">H139/I139</f>
        <v>7.062347599428235</v>
      </c>
      <c r="L139" s="284">
        <f>4033069.5+3582182.5+3469556.5+3099545+3107521.5+2751160+2297667.5+1520298+788693.5+562184.5+348660.5+276467.5+182912.5+83992.5</f>
        <v>26103911.5</v>
      </c>
      <c r="M139" s="283">
        <f>383242+338340+309119+280170+290777+261753+222617+140396+74659+50484+29496+23353+15006+11893</f>
        <v>2431305</v>
      </c>
      <c r="N139" s="272">
        <f>+L139/M139</f>
        <v>10.736584468012035</v>
      </c>
      <c r="O139" s="224"/>
      <c r="P139" s="132"/>
    </row>
    <row r="140" spans="1:16" ht="12" customHeight="1">
      <c r="A140" s="228">
        <v>137</v>
      </c>
      <c r="B140" s="245" t="s">
        <v>360</v>
      </c>
      <c r="C140" s="246">
        <v>40165</v>
      </c>
      <c r="D140" s="247" t="s">
        <v>322</v>
      </c>
      <c r="E140" s="248">
        <v>150</v>
      </c>
      <c r="F140" s="248">
        <v>57</v>
      </c>
      <c r="G140" s="248">
        <v>39</v>
      </c>
      <c r="H140" s="263">
        <v>75530.5</v>
      </c>
      <c r="I140" s="258">
        <v>6318</v>
      </c>
      <c r="J140" s="259">
        <f>(I140/F140)</f>
        <v>110.84210526315789</v>
      </c>
      <c r="K140" s="260">
        <f t="shared" si="20"/>
        <v>11.954811649256094</v>
      </c>
      <c r="L140" s="264">
        <f>26351050.5+1782+1045+250+135084.5+75530.5</f>
        <v>26564742.5</v>
      </c>
      <c r="M140" s="261">
        <f>2457871+446+113+30+11058+6318</f>
        <v>2475836</v>
      </c>
      <c r="N140" s="255">
        <v>10.72108768116797</v>
      </c>
      <c r="O140" s="277"/>
      <c r="P140" s="132"/>
    </row>
    <row r="141" spans="1:16" ht="12" customHeight="1">
      <c r="A141" s="228">
        <v>138</v>
      </c>
      <c r="B141" s="245" t="s">
        <v>360</v>
      </c>
      <c r="C141" s="246">
        <v>40165</v>
      </c>
      <c r="D141" s="275" t="s">
        <v>322</v>
      </c>
      <c r="E141" s="248">
        <v>125</v>
      </c>
      <c r="F141" s="248">
        <v>5</v>
      </c>
      <c r="G141" s="248">
        <v>15</v>
      </c>
      <c r="H141" s="249">
        <v>49671.5</v>
      </c>
      <c r="I141" s="258">
        <v>4985</v>
      </c>
      <c r="J141" s="259">
        <f>(I141/F141)</f>
        <v>997</v>
      </c>
      <c r="K141" s="260">
        <f t="shared" si="20"/>
        <v>9.964192577733199</v>
      </c>
      <c r="L141" s="253">
        <f>4033069.5+3582182.5+3469556.5+3099545+3107521.5+2751160+2297667.5+1520298+788693.5+562184.5+348660.5+276467.5+182912.5+83992.5+49671.5</f>
        <v>26153583</v>
      </c>
      <c r="M141" s="261">
        <f>383242+338340+309119+280170+290777+261753+222617+140396+74659+50484+29496+23353+15006+11893+4985</f>
        <v>2436290</v>
      </c>
      <c r="N141" s="255">
        <f>L141/M141</f>
        <v>10.735004043032644</v>
      </c>
      <c r="O141" s="224"/>
      <c r="P141" s="132"/>
    </row>
    <row r="142" spans="1:16" ht="12" customHeight="1">
      <c r="A142" s="228">
        <v>139</v>
      </c>
      <c r="B142" s="324" t="s">
        <v>360</v>
      </c>
      <c r="C142" s="265">
        <v>40165</v>
      </c>
      <c r="D142" s="275" t="s">
        <v>322</v>
      </c>
      <c r="E142" s="287">
        <v>125</v>
      </c>
      <c r="F142" s="287">
        <v>7</v>
      </c>
      <c r="G142" s="287">
        <v>17</v>
      </c>
      <c r="H142" s="288">
        <v>44685</v>
      </c>
      <c r="I142" s="289">
        <v>4321</v>
      </c>
      <c r="J142" s="283">
        <f>(I142/F142)</f>
        <v>617.2857142857143</v>
      </c>
      <c r="K142" s="285">
        <f t="shared" si="20"/>
        <v>10.341356167553807</v>
      </c>
      <c r="L142" s="284">
        <f>4033069.5+3582182.5+3469556.5+3099545+3107521.5+2751160+2297667.5+1520298+788693.5+562184.5+348660.5+276467.5+182912.5+83992.5+49671.5+34864+44685</f>
        <v>26233132</v>
      </c>
      <c r="M142" s="283">
        <f>383242+338340+309119+280170+290777+261753+222617+140396+74659+50484+29496+23353+15006+11893+4985+3244+4321</f>
        <v>2443855</v>
      </c>
      <c r="N142" s="290">
        <f>L142/M142</f>
        <v>10.734324254098546</v>
      </c>
      <c r="O142" s="224"/>
      <c r="P142" s="132"/>
    </row>
    <row r="143" spans="1:16" ht="12" customHeight="1">
      <c r="A143" s="228">
        <v>140</v>
      </c>
      <c r="B143" s="324" t="s">
        <v>360</v>
      </c>
      <c r="C143" s="265">
        <v>40165</v>
      </c>
      <c r="D143" s="275" t="s">
        <v>322</v>
      </c>
      <c r="E143" s="287">
        <v>150</v>
      </c>
      <c r="F143" s="287">
        <v>25</v>
      </c>
      <c r="G143" s="287">
        <v>40</v>
      </c>
      <c r="H143" s="288">
        <v>42949.5</v>
      </c>
      <c r="I143" s="289">
        <v>3444</v>
      </c>
      <c r="J143" s="283">
        <f>(I143/F143)</f>
        <v>137.76</v>
      </c>
      <c r="K143" s="285">
        <f t="shared" si="20"/>
        <v>12.470818815331011</v>
      </c>
      <c r="L143" s="284">
        <v>26607692</v>
      </c>
      <c r="M143" s="283">
        <v>2479280</v>
      </c>
      <c r="N143" s="290">
        <f>L143/M143</f>
        <v>10.73202381336517</v>
      </c>
      <c r="O143" s="224"/>
      <c r="P143" s="132"/>
    </row>
    <row r="144" spans="1:16" ht="12" customHeight="1">
      <c r="A144" s="228">
        <v>141</v>
      </c>
      <c r="B144" s="245" t="s">
        <v>360</v>
      </c>
      <c r="C144" s="246">
        <v>40165</v>
      </c>
      <c r="D144" s="275" t="s">
        <v>322</v>
      </c>
      <c r="E144" s="248">
        <v>125</v>
      </c>
      <c r="F144" s="248">
        <v>6</v>
      </c>
      <c r="G144" s="248">
        <v>16</v>
      </c>
      <c r="H144" s="249">
        <v>34864</v>
      </c>
      <c r="I144" s="258">
        <v>3244</v>
      </c>
      <c r="J144" s="259">
        <f>(I144/F144)</f>
        <v>540.6666666666666</v>
      </c>
      <c r="K144" s="260">
        <f t="shared" si="20"/>
        <v>10.747225647348952</v>
      </c>
      <c r="L144" s="253">
        <f>4033069.5+3582182.5+3469556.5+3099545+3107521.5+2751160+2297667.5+1520298+788693.5+562184.5+348660.5+276467.5+182912.5+83992.5+49671.5+34864</f>
        <v>26188447</v>
      </c>
      <c r="M144" s="261">
        <f>383242+338340+309119+280170+290777+261753+222617+140396+74659+50484+29496+23353+15006+11893+4985+3244</f>
        <v>2439534</v>
      </c>
      <c r="N144" s="255">
        <f>IF(L144&lt;&gt;0,L144/M144,"")</f>
        <v>10.735020294859591</v>
      </c>
      <c r="O144" s="202">
        <v>1</v>
      </c>
      <c r="P144" s="132"/>
    </row>
    <row r="145" spans="1:16" ht="12" customHeight="1">
      <c r="A145" s="228">
        <v>142</v>
      </c>
      <c r="B145" s="324" t="s">
        <v>360</v>
      </c>
      <c r="C145" s="265">
        <v>40165</v>
      </c>
      <c r="D145" s="275" t="s">
        <v>322</v>
      </c>
      <c r="E145" s="287">
        <v>125</v>
      </c>
      <c r="F145" s="287">
        <v>5</v>
      </c>
      <c r="G145" s="287">
        <v>18</v>
      </c>
      <c r="H145" s="288">
        <v>34334</v>
      </c>
      <c r="I145" s="289">
        <v>2421</v>
      </c>
      <c r="J145" s="283">
        <f>I145/F145</f>
        <v>484.2</v>
      </c>
      <c r="K145" s="285">
        <f t="shared" si="20"/>
        <v>14.181743081371334</v>
      </c>
      <c r="L145" s="284">
        <f>4033069.5+3582182.5+3469556.5+3099545+3107521.5+2751160+2297667.5+1520298+788693.5+562184.5+348660.5+276467.5+182912.5+83992.5+49671.5+36300+44685+34334</f>
        <v>26268902</v>
      </c>
      <c r="M145" s="283">
        <f>383242+338340+309119+280170+290777+261753+222617+140396+74659+50484+29496+23353+15006+11893+4985+3385+4321+2421</f>
        <v>2446417</v>
      </c>
      <c r="N145" s="290">
        <f>+L145/M145</f>
        <v>10.73770416081968</v>
      </c>
      <c r="O145" s="279">
        <v>1</v>
      </c>
      <c r="P145" s="132"/>
    </row>
    <row r="146" spans="1:16" ht="12" customHeight="1">
      <c r="A146" s="228">
        <v>143</v>
      </c>
      <c r="B146" s="293" t="s">
        <v>360</v>
      </c>
      <c r="C146" s="265">
        <v>40165</v>
      </c>
      <c r="D146" s="275" t="s">
        <v>322</v>
      </c>
      <c r="E146" s="276">
        <v>125</v>
      </c>
      <c r="F146" s="276">
        <v>2</v>
      </c>
      <c r="G146" s="276">
        <v>28</v>
      </c>
      <c r="H146" s="249">
        <v>14538</v>
      </c>
      <c r="I146" s="250">
        <v>926</v>
      </c>
      <c r="J146" s="251">
        <f>(I146/F146)</f>
        <v>463</v>
      </c>
      <c r="K146" s="260">
        <f t="shared" si="20"/>
        <v>15.699784017278617</v>
      </c>
      <c r="L146" s="253">
        <f>4033069.5+3582182.5+3469556.5+3099545+3107521.5+2751160+2297667.5+1520298+788693.5+562184.5+348660.5+276467.5+182912.5+83992.5+49671.5+34864+44685+34334+3879.5+2808.5+2736+5711.5+5766+2541+1542+835+676+14538</f>
        <v>26308499.5</v>
      </c>
      <c r="M146" s="254">
        <f>383242+338340+309119+280170+290777+261753+222617+140396+74659+50484+29496+23353+15006+11893+4985+3244+4321+2421+508+237+230+636+1071+618+170+166+146+926</f>
        <v>2450984</v>
      </c>
      <c r="N146" s="255">
        <f>L146/M146</f>
        <v>10.733851995769863</v>
      </c>
      <c r="O146" s="279">
        <v>1</v>
      </c>
      <c r="P146" s="132"/>
    </row>
    <row r="147" spans="1:16" ht="12" customHeight="1">
      <c r="A147" s="228">
        <v>144</v>
      </c>
      <c r="B147" s="245" t="s">
        <v>360</v>
      </c>
      <c r="C147" s="246">
        <v>40165</v>
      </c>
      <c r="D147" s="247" t="s">
        <v>322</v>
      </c>
      <c r="E147" s="248">
        <v>125</v>
      </c>
      <c r="F147" s="248">
        <v>7</v>
      </c>
      <c r="G147" s="248">
        <v>30</v>
      </c>
      <c r="H147" s="263">
        <v>13254.5</v>
      </c>
      <c r="I147" s="258">
        <v>2328</v>
      </c>
      <c r="J147" s="259">
        <f>(I147/F147)</f>
        <v>332.57142857142856</v>
      </c>
      <c r="K147" s="260">
        <f t="shared" si="20"/>
        <v>5.693513745704467</v>
      </c>
      <c r="L147" s="264">
        <f>4033069.5+3582182.5+3469556.5+3099545+3107521.5+2751160+2297667.5+1520298+788693.5+562184.5+348660.5+276467.5+182912.5+83992.5+49671.5+34864+44685+34334+3879.5+2808.5+2736+5711.5+5766+2541+1542+835+676+14538+9150+13254.5</f>
        <v>26330904</v>
      </c>
      <c r="M147" s="261">
        <f>383242+338340+309119+280170+290777+261753+222617+140396+74659+50484+29496+23353+15006+11893+4985+3244+4321+2421+508+237+230+636+1071+618+170+166+146+926+1340+2328</f>
        <v>2454652</v>
      </c>
      <c r="N147" s="255">
        <f>L147/M147</f>
        <v>10.726939704691338</v>
      </c>
      <c r="O147" s="279">
        <v>1</v>
      </c>
      <c r="P147" s="132"/>
    </row>
    <row r="148" spans="1:16" ht="12" customHeight="1">
      <c r="A148" s="228">
        <v>145</v>
      </c>
      <c r="B148" s="245" t="s">
        <v>360</v>
      </c>
      <c r="C148" s="246">
        <v>40165</v>
      </c>
      <c r="D148" s="247" t="s">
        <v>322</v>
      </c>
      <c r="E148" s="248">
        <v>125</v>
      </c>
      <c r="F148" s="248">
        <v>5</v>
      </c>
      <c r="G148" s="248">
        <v>31</v>
      </c>
      <c r="H148" s="249">
        <v>8780.5</v>
      </c>
      <c r="I148" s="250">
        <v>1474</v>
      </c>
      <c r="J148" s="251">
        <f>(I148/F148)</f>
        <v>294.8</v>
      </c>
      <c r="K148" s="260">
        <f t="shared" si="20"/>
        <v>5.956919945725915</v>
      </c>
      <c r="L148" s="253">
        <f>4033069.5+3582182.5+3469556.5+3099545+3107521.5+2751160+2297667.5+1520298+788693.5+562184.5+348660.5+276467.5+182912.5+83992.5+49671.5+34864+44685+34334+3879.5+2808.5+2736+5711.5+5766+2541+1542+835+676+14538+9150+13254.5+8780.5</f>
        <v>26339684.5</v>
      </c>
      <c r="M148" s="254">
        <f>383242+338340+309119+280170+290777+261753+222617+140396+74659+50484+29496+23353+15006+11893+4985+3244+4321+2421+508+237+230+636+1071+618+170+166+146+926+1340+2328+1474</f>
        <v>2456126</v>
      </c>
      <c r="N148" s="255">
        <f>L148/M148</f>
        <v>10.724077062821696</v>
      </c>
      <c r="O148" s="202">
        <v>1</v>
      </c>
      <c r="P148" s="132"/>
    </row>
    <row r="149" spans="1:16" ht="12" customHeight="1">
      <c r="A149" s="228">
        <v>146</v>
      </c>
      <c r="B149" s="245" t="s">
        <v>360</v>
      </c>
      <c r="C149" s="265">
        <v>40165</v>
      </c>
      <c r="D149" s="247" t="s">
        <v>322</v>
      </c>
      <c r="E149" s="276">
        <v>125</v>
      </c>
      <c r="F149" s="276">
        <v>4</v>
      </c>
      <c r="G149" s="276">
        <v>32</v>
      </c>
      <c r="H149" s="267">
        <v>8011.5</v>
      </c>
      <c r="I149" s="268">
        <v>1296</v>
      </c>
      <c r="J149" s="269">
        <f>(I149/F149)</f>
        <v>324</v>
      </c>
      <c r="K149" s="270">
        <f t="shared" si="20"/>
        <v>6.181712962962963</v>
      </c>
      <c r="L149" s="271">
        <f>4033069.5+3582182.5+3469556.5+3099545+3107521.5+2751160+2297667.5+1520298+788693.5+562184.5+348660.5+276467.5+182912.5+83992.5+49671.5+34864+44685+34334+3879.5+2808.5+2736+5711.5+5766+2541+1542+835+676+14538+9150+13254.5+8780.5+8011.5</f>
        <v>26347696</v>
      </c>
      <c r="M149" s="269">
        <f>383242+338340+309119+280170+290777+261753+222617+140396+74659+50484+29496+23353+15006+11893+4985+3244+4321+2421+508+237+230+636+1071+618+170+166+146+926+1340+2328+1474+1296</f>
        <v>2457422</v>
      </c>
      <c r="N149" s="272">
        <f>L149/M149</f>
        <v>10.721681501996809</v>
      </c>
      <c r="O149" s="202">
        <v>1</v>
      </c>
      <c r="P149" s="132"/>
    </row>
    <row r="150" spans="1:16" ht="12" customHeight="1">
      <c r="A150" s="228">
        <v>147</v>
      </c>
      <c r="B150" s="419" t="s">
        <v>360</v>
      </c>
      <c r="C150" s="265">
        <v>40165</v>
      </c>
      <c r="D150" s="414" t="s">
        <v>322</v>
      </c>
      <c r="E150" s="266">
        <v>150</v>
      </c>
      <c r="F150" s="266">
        <v>1</v>
      </c>
      <c r="G150" s="266">
        <v>42</v>
      </c>
      <c r="H150" s="415">
        <v>6113</v>
      </c>
      <c r="I150" s="416">
        <v>464</v>
      </c>
      <c r="J150" s="269">
        <v>464</v>
      </c>
      <c r="K150" s="270">
        <v>13.17456896551724</v>
      </c>
      <c r="L150" s="417">
        <v>26619107.5</v>
      </c>
      <c r="M150" s="418">
        <v>2480176</v>
      </c>
      <c r="N150" s="272">
        <v>10.721087681167969</v>
      </c>
      <c r="O150" s="307">
        <v>1</v>
      </c>
      <c r="P150" s="132"/>
    </row>
    <row r="151" spans="1:16" ht="12" customHeight="1">
      <c r="A151" s="228">
        <v>148</v>
      </c>
      <c r="B151" s="325" t="s">
        <v>360</v>
      </c>
      <c r="C151" s="265">
        <v>40165</v>
      </c>
      <c r="D151" s="275" t="s">
        <v>322</v>
      </c>
      <c r="E151" s="276">
        <v>125</v>
      </c>
      <c r="F151" s="276">
        <v>4</v>
      </c>
      <c r="G151" s="276">
        <v>23</v>
      </c>
      <c r="H151" s="263">
        <v>5766</v>
      </c>
      <c r="I151" s="258">
        <v>1071</v>
      </c>
      <c r="J151" s="269">
        <f>(I151/F151)</f>
        <v>267.75</v>
      </c>
      <c r="K151" s="270">
        <f>H151/I151</f>
        <v>5.383753501400561</v>
      </c>
      <c r="L151" s="271">
        <f>4033069.5+3582182.5+3469556.5+3099545+3107521.5+2751160+2297667.5+1520298+788693.5+562184.5+348660.5+276467.5+182912.5+83992.5+49671.5+34864+44685+34334+3879.5+2808.5+2736+5711.5+5766</f>
        <v>26288367.5</v>
      </c>
      <c r="M151" s="269">
        <f>383242+338340+309119+280170+290777+261753+222617+140396+74659+50484+29496+23353+15006+11893+4985+3244+4321+2421+508+237+230+636+1071</f>
        <v>2448958</v>
      </c>
      <c r="N151" s="272">
        <f>L151/M151</f>
        <v>10.73451137177526</v>
      </c>
      <c r="O151" s="291">
        <v>1</v>
      </c>
      <c r="P151" s="132"/>
    </row>
    <row r="152" spans="1:16" ht="12" customHeight="1">
      <c r="A152" s="228">
        <v>149</v>
      </c>
      <c r="B152" s="325" t="s">
        <v>360</v>
      </c>
      <c r="C152" s="265">
        <v>40165</v>
      </c>
      <c r="D152" s="275" t="s">
        <v>322</v>
      </c>
      <c r="E152" s="276">
        <v>125</v>
      </c>
      <c r="F152" s="276">
        <v>4</v>
      </c>
      <c r="G152" s="276">
        <v>22</v>
      </c>
      <c r="H152" s="263">
        <v>5711.5</v>
      </c>
      <c r="I152" s="258">
        <v>636</v>
      </c>
      <c r="J152" s="259">
        <f>(I152/F152)</f>
        <v>159</v>
      </c>
      <c r="K152" s="260">
        <f>H152/I152</f>
        <v>8.980345911949685</v>
      </c>
      <c r="L152" s="264">
        <f>4033069.5+3582182.5+3469556.5+3099545+3107521.5+2751160+2297667.5+1520298+788693.5+562184.5+348660.5+276467.5+182912.5+83992.5+49671.5+36300+44685+34334+3879.5+3304.5+2736+5711.5</f>
        <v>26284533.5</v>
      </c>
      <c r="M152" s="261">
        <f>383242+338340+309119+280170+290777+261753+222617+140396+74659+50484+29496+23353+15006+11893+4985+3385+4321+2421+508+281+230+636</f>
        <v>2448072</v>
      </c>
      <c r="N152" s="255">
        <f>L152/M152</f>
        <v>10.736830248456744</v>
      </c>
      <c r="O152" s="232"/>
      <c r="P152" s="132"/>
    </row>
    <row r="153" spans="1:16" ht="12" customHeight="1">
      <c r="A153" s="228">
        <v>150</v>
      </c>
      <c r="B153" s="281" t="s">
        <v>360</v>
      </c>
      <c r="C153" s="265">
        <v>40165</v>
      </c>
      <c r="D153" s="275" t="s">
        <v>322</v>
      </c>
      <c r="E153" s="266">
        <v>150</v>
      </c>
      <c r="F153" s="266">
        <v>4</v>
      </c>
      <c r="G153" s="266">
        <v>41</v>
      </c>
      <c r="H153" s="328">
        <v>5302.5</v>
      </c>
      <c r="I153" s="329">
        <v>432</v>
      </c>
      <c r="J153" s="330">
        <f>(I153/F153)</f>
        <v>108</v>
      </c>
      <c r="K153" s="331">
        <f>H153/I153</f>
        <v>12.274305555555555</v>
      </c>
      <c r="L153" s="332">
        <f>26351050.5+1782+1045+250+135084.5+75530.5+42949.5+5302.5</f>
        <v>26612994.5</v>
      </c>
      <c r="M153" s="333">
        <f>2457871+446+113+30+11058+6318+3444+432</f>
        <v>2479712</v>
      </c>
      <c r="N153" s="334">
        <v>10.72108768116797</v>
      </c>
      <c r="O153" s="244"/>
      <c r="P153" s="132"/>
    </row>
    <row r="154" spans="1:16" ht="12" customHeight="1">
      <c r="A154" s="228">
        <v>151</v>
      </c>
      <c r="B154" s="245" t="s">
        <v>360</v>
      </c>
      <c r="C154" s="265">
        <v>40165</v>
      </c>
      <c r="D154" s="275" t="s">
        <v>322</v>
      </c>
      <c r="E154" s="287">
        <v>125</v>
      </c>
      <c r="F154" s="287">
        <v>4</v>
      </c>
      <c r="G154" s="287">
        <v>19</v>
      </c>
      <c r="H154" s="288">
        <v>3879.5</v>
      </c>
      <c r="I154" s="289">
        <v>508</v>
      </c>
      <c r="J154" s="283">
        <f>I154/F154</f>
        <v>127</v>
      </c>
      <c r="K154" s="285">
        <f>+H154/I154</f>
        <v>7.636811023622047</v>
      </c>
      <c r="L154" s="284">
        <f>4033069.5+3582182.5+3469556.5+3099545+3107521.5+2751160+2297667.5+1520298+788693.5+562184.5+348660.5+276467.5+182912.5+83992.5+49671.5+36300+44685+34334+3879.5</f>
        <v>26272781.5</v>
      </c>
      <c r="M154" s="283">
        <f>383242+338340+309119+280170+290777+261753+222617+140396+74659+50484+29496+23353+15006+11893+4985+3385+4321+2421+508</f>
        <v>2446925</v>
      </c>
      <c r="N154" s="290">
        <f>+L154/M154</f>
        <v>10.73706039212481</v>
      </c>
      <c r="O154" s="335">
        <v>1</v>
      </c>
      <c r="P154" s="132"/>
    </row>
    <row r="155" spans="1:16" ht="12" customHeight="1">
      <c r="A155" s="228">
        <v>152</v>
      </c>
      <c r="B155" s="245" t="s">
        <v>360</v>
      </c>
      <c r="C155" s="265">
        <v>40165</v>
      </c>
      <c r="D155" s="247" t="s">
        <v>334</v>
      </c>
      <c r="E155" s="276">
        <v>125</v>
      </c>
      <c r="F155" s="276">
        <v>5</v>
      </c>
      <c r="G155" s="276">
        <v>33</v>
      </c>
      <c r="H155" s="267">
        <f>1690+1440.5</f>
        <v>3130.5</v>
      </c>
      <c r="I155" s="268">
        <f>338+83</f>
        <v>421</v>
      </c>
      <c r="J155" s="269">
        <f>(I155/F155)</f>
        <v>84.2</v>
      </c>
      <c r="K155" s="270">
        <f>H155/I155</f>
        <v>7.435866983372922</v>
      </c>
      <c r="L155" s="271">
        <f>4033069.5+3582182.5+3469556.5+3099545+3107521.5+2751160+2297667.5+1520298+788693.5+562184.5+348660.5+276467.5+182912.5+83992.5+49671.5+34864+44685+34334+3879.5+2808.5+2736+5711.5+5766+2541+1542+835+676+14538+9150+13254.5+8780.5+8011.5+3130.5</f>
        <v>26350826.5</v>
      </c>
      <c r="M155" s="269">
        <f>383242+338340+309119+280170+290777+261753+222617+140396+74659+50484+29496+23353+15006+11893+4985+3244+4321+2421+508+237+230+636+1071+618+170+166+146+926+1340+2328+1474+1296+421</f>
        <v>2457843</v>
      </c>
      <c r="N155" s="272">
        <f>L155/M155</f>
        <v>10.721118680078426</v>
      </c>
      <c r="O155" s="279"/>
      <c r="P155" s="132"/>
    </row>
    <row r="156" spans="1:16" ht="12" customHeight="1">
      <c r="A156" s="228">
        <v>153</v>
      </c>
      <c r="B156" s="245" t="s">
        <v>360</v>
      </c>
      <c r="C156" s="265">
        <v>40165</v>
      </c>
      <c r="D156" s="275" t="s">
        <v>322</v>
      </c>
      <c r="E156" s="287">
        <v>125</v>
      </c>
      <c r="F156" s="287">
        <v>2</v>
      </c>
      <c r="G156" s="287">
        <v>20</v>
      </c>
      <c r="H156" s="288">
        <v>2808.5</v>
      </c>
      <c r="I156" s="289">
        <v>237</v>
      </c>
      <c r="J156" s="283">
        <f>(I156/F156)</f>
        <v>118.5</v>
      </c>
      <c r="K156" s="285">
        <f>H156/I156</f>
        <v>11.850210970464135</v>
      </c>
      <c r="L156" s="284">
        <f>4033069.5+3582182.5+3469556.5+3099545+3107521.5+2751160+2297667.5+1520298+788693.5+562184.5+348660.5+276467.5+182912.5+83992.5+49671.5+36300+44685+34334+3879.5+2808.5</f>
        <v>26275590</v>
      </c>
      <c r="M156" s="283">
        <f>383242+338340+309119+280170+290777+261753+222617+140396+74659+50484+29496+23353+15006+11893+4985+3385+4321+2421+508+237</f>
        <v>2447162</v>
      </c>
      <c r="N156" s="290">
        <f>L156/M156</f>
        <v>10.73716819728322</v>
      </c>
      <c r="O156" s="202"/>
      <c r="P156" s="132"/>
    </row>
    <row r="157" spans="1:16" ht="12" customHeight="1">
      <c r="A157" s="228">
        <v>154</v>
      </c>
      <c r="B157" s="245" t="s">
        <v>360</v>
      </c>
      <c r="C157" s="265">
        <v>40165</v>
      </c>
      <c r="D157" s="275" t="s">
        <v>322</v>
      </c>
      <c r="E157" s="287">
        <v>125</v>
      </c>
      <c r="F157" s="287">
        <v>4</v>
      </c>
      <c r="G157" s="287">
        <v>21</v>
      </c>
      <c r="H157" s="288">
        <v>2736</v>
      </c>
      <c r="I157" s="326">
        <v>230</v>
      </c>
      <c r="J157" s="269">
        <f>(I157/F157)</f>
        <v>57.5</v>
      </c>
      <c r="K157" s="270">
        <f>H157/I157</f>
        <v>11.895652173913044</v>
      </c>
      <c r="L157" s="271">
        <f>4033069.5+3582182.5+3469556.5+3099545+3107521.5+2751160+2297667.5+1520298+788693.5+562184.5+348660.5+276467.5+182912.5+83992.5+49671.5+36300+44685+34334+3879.5+3304.5+2736</f>
        <v>26278822</v>
      </c>
      <c r="M157" s="269">
        <f>383242+338340+309119+280170+290777+261753+222617+140396+74659+50484+29496+23353+15006+11893+4985+3385+4321+2421+508+281+230</f>
        <v>2447436</v>
      </c>
      <c r="N157" s="272">
        <f>L157/M157</f>
        <v>10.737286695137279</v>
      </c>
      <c r="O157" s="279"/>
      <c r="P157" s="132"/>
    </row>
    <row r="158" spans="1:16" ht="12" customHeight="1">
      <c r="A158" s="228">
        <v>155</v>
      </c>
      <c r="B158" s="245" t="s">
        <v>360</v>
      </c>
      <c r="C158" s="246">
        <v>40165</v>
      </c>
      <c r="D158" s="247" t="s">
        <v>322</v>
      </c>
      <c r="E158" s="248">
        <v>125</v>
      </c>
      <c r="F158" s="248">
        <v>2</v>
      </c>
      <c r="G158" s="248">
        <v>24</v>
      </c>
      <c r="H158" s="249">
        <v>2541</v>
      </c>
      <c r="I158" s="250">
        <v>618</v>
      </c>
      <c r="J158" s="251">
        <f>(I158/F158)</f>
        <v>309</v>
      </c>
      <c r="K158" s="252">
        <f>H158/I158</f>
        <v>4.111650485436893</v>
      </c>
      <c r="L158" s="253">
        <f>4033069.5+3582182.5+3469556.5+3099545+3107521.5+2751160+2297667.5+1520298+788693.5+562184.5+348660.5+276467.5+182912.5+83992.5+49671.5+34864+44685+34334+3879.5+2808.5+2736+5711.5+5766+2541</f>
        <v>26290908.5</v>
      </c>
      <c r="M158" s="254">
        <f>383242+338340+309119+280170+290777+261753+222617+140396+74659+50484+29496+23353+15006+11893+4985+3244+4321+2421+508+237+230+636+1071+618</f>
        <v>2449576</v>
      </c>
      <c r="N158" s="255">
        <f>L158/M158</f>
        <v>10.732840499743629</v>
      </c>
      <c r="O158" s="224"/>
      <c r="P158" s="132"/>
    </row>
    <row r="159" spans="1:16" ht="12" customHeight="1">
      <c r="A159" s="228">
        <v>156</v>
      </c>
      <c r="B159" s="245" t="s">
        <v>360</v>
      </c>
      <c r="C159" s="265">
        <v>40165</v>
      </c>
      <c r="D159" s="247" t="s">
        <v>322</v>
      </c>
      <c r="E159" s="276">
        <v>125</v>
      </c>
      <c r="F159" s="276">
        <v>1</v>
      </c>
      <c r="G159" s="276">
        <v>35</v>
      </c>
      <c r="H159" s="267">
        <v>1782</v>
      </c>
      <c r="I159" s="268">
        <v>446</v>
      </c>
      <c r="J159" s="269">
        <v>28</v>
      </c>
      <c r="K159" s="270">
        <v>8</v>
      </c>
      <c r="L159" s="271">
        <f>26351050.5+1782</f>
        <v>26352832.5</v>
      </c>
      <c r="M159" s="269">
        <f>2457871+446</f>
        <v>2458317</v>
      </c>
      <c r="N159" s="272">
        <v>10.72108768116797</v>
      </c>
      <c r="O159" s="291"/>
      <c r="P159" s="132"/>
    </row>
    <row r="160" spans="1:16" ht="12" customHeight="1">
      <c r="A160" s="228">
        <v>157</v>
      </c>
      <c r="B160" s="245" t="s">
        <v>360</v>
      </c>
      <c r="C160" s="265">
        <v>40165</v>
      </c>
      <c r="D160" s="275" t="s">
        <v>322</v>
      </c>
      <c r="E160" s="276">
        <v>125</v>
      </c>
      <c r="F160" s="276">
        <v>3</v>
      </c>
      <c r="G160" s="276">
        <v>25</v>
      </c>
      <c r="H160" s="263">
        <v>1542</v>
      </c>
      <c r="I160" s="258">
        <v>170</v>
      </c>
      <c r="J160" s="269">
        <f>I160/F160</f>
        <v>56.666666666666664</v>
      </c>
      <c r="K160" s="270">
        <f>H160/I160</f>
        <v>9.070588235294117</v>
      </c>
      <c r="L160" s="271">
        <f>4033069.5+3582182.5+3469556.5+3099545+3107521.5+2751160+2297667.5+1520298+788693.5+562184.5+348660.5+276467.5+182912.5+83992.5+49671.5+34864+44685+34334+3879.5+2808.5+2736+5711.5+5766+2541+1542</f>
        <v>26292450.5</v>
      </c>
      <c r="M160" s="269">
        <f>383242+338340+309119+280170+290777+261753+222617+140396+74659+50484+29496+23353+15006+11893+4985+3244+4321+2421+508+237+230+636+1071+618+170</f>
        <v>2449746</v>
      </c>
      <c r="N160" s="272">
        <f>+L160/M160</f>
        <v>10.732725147831653</v>
      </c>
      <c r="O160" s="278"/>
      <c r="P160" s="132"/>
    </row>
    <row r="161" spans="1:16" ht="12" customHeight="1">
      <c r="A161" s="228">
        <v>158</v>
      </c>
      <c r="B161" s="245" t="s">
        <v>360</v>
      </c>
      <c r="C161" s="265">
        <v>40165</v>
      </c>
      <c r="D161" s="247" t="s">
        <v>322</v>
      </c>
      <c r="E161" s="276">
        <v>125</v>
      </c>
      <c r="F161" s="276">
        <v>2</v>
      </c>
      <c r="G161" s="276">
        <v>36</v>
      </c>
      <c r="H161" s="267">
        <v>1045</v>
      </c>
      <c r="I161" s="268">
        <v>113</v>
      </c>
      <c r="J161" s="269">
        <v>28</v>
      </c>
      <c r="K161" s="270">
        <v>8</v>
      </c>
      <c r="L161" s="271">
        <f>26351050.5+1782+1045</f>
        <v>26353877.5</v>
      </c>
      <c r="M161" s="269">
        <f>2457871+446+113</f>
        <v>2458430</v>
      </c>
      <c r="N161" s="272">
        <v>10.72108768116797</v>
      </c>
      <c r="O161" s="279"/>
      <c r="P161" s="132"/>
    </row>
    <row r="162" spans="1:16" ht="12" customHeight="1">
      <c r="A162" s="228">
        <v>159</v>
      </c>
      <c r="B162" s="281" t="s">
        <v>360</v>
      </c>
      <c r="C162" s="265">
        <v>40165</v>
      </c>
      <c r="D162" s="275" t="s">
        <v>334</v>
      </c>
      <c r="E162" s="276">
        <v>125</v>
      </c>
      <c r="F162" s="276">
        <v>3</v>
      </c>
      <c r="G162" s="276">
        <v>26</v>
      </c>
      <c r="H162" s="263">
        <v>835</v>
      </c>
      <c r="I162" s="258">
        <v>166</v>
      </c>
      <c r="J162" s="259">
        <f>(I162/F162)</f>
        <v>55.333333333333336</v>
      </c>
      <c r="K162" s="260">
        <f>H162/I162</f>
        <v>5.030120481927711</v>
      </c>
      <c r="L162" s="264">
        <f>4033069.5+3582182.5+3469556.5+3099545+3107521.5+2751160+2297667.5+1520298+788693.5+562184.5+348660.5+276467.5+182912.5+83992.5+49671.5+34864+44685+34334+3879.5+2808.5+2736+5711.5+5766+2541+1542+835</f>
        <v>26293285.5</v>
      </c>
      <c r="M162" s="261">
        <f>383242+338340+309119+280170+290777+261753+222617+140396+74659+50484+29496+23353+15006+11893+4985+3244+4321+2421+508+237+230+636+1071+618+170+166</f>
        <v>2449912</v>
      </c>
      <c r="N162" s="255">
        <f>L162/M162</f>
        <v>10.732338753391959</v>
      </c>
      <c r="O162" s="202"/>
      <c r="P162" s="132"/>
    </row>
    <row r="163" spans="1:16" ht="12" customHeight="1">
      <c r="A163" s="228">
        <v>160</v>
      </c>
      <c r="B163" s="245" t="s">
        <v>360</v>
      </c>
      <c r="C163" s="246">
        <v>40165</v>
      </c>
      <c r="D163" s="247" t="s">
        <v>334</v>
      </c>
      <c r="E163" s="248">
        <v>125</v>
      </c>
      <c r="F163" s="248">
        <v>2</v>
      </c>
      <c r="G163" s="248">
        <v>27</v>
      </c>
      <c r="H163" s="249">
        <v>676</v>
      </c>
      <c r="I163" s="250">
        <v>146</v>
      </c>
      <c r="J163" s="251">
        <f>I163/F163</f>
        <v>73</v>
      </c>
      <c r="K163" s="260">
        <f>H163/I163</f>
        <v>4.63013698630137</v>
      </c>
      <c r="L163" s="253">
        <f>4033069.5+3582182.5+3469556.5+3099545+3107521.5+2751160+2297667.5+1520298+788693.5+562184.5+348660.5+276467.5+182912.5+83992.5+49671.5+34864+44685+34334+3879.5+2808.5+2736+5711.5+5766+2541+1542+835+676</f>
        <v>26293961.5</v>
      </c>
      <c r="M163" s="254">
        <f>383242+338340+309119+280170+290777+261753+222617+140396+74659+50484+29496+23353+15006+11893+4985+3244+4321+2421+508+237+230+636+1071+618+170+166+146</f>
        <v>2450058</v>
      </c>
      <c r="N163" s="255">
        <f>+L163/M163</f>
        <v>10.731975120588983</v>
      </c>
      <c r="O163" s="327"/>
      <c r="P163" s="132"/>
    </row>
    <row r="164" spans="1:16" ht="12" customHeight="1">
      <c r="A164" s="228">
        <v>161</v>
      </c>
      <c r="B164" s="245" t="s">
        <v>360</v>
      </c>
      <c r="C164" s="265">
        <v>40165</v>
      </c>
      <c r="D164" s="247" t="s">
        <v>322</v>
      </c>
      <c r="E164" s="276">
        <v>125</v>
      </c>
      <c r="F164" s="276">
        <v>1</v>
      </c>
      <c r="G164" s="276">
        <v>37</v>
      </c>
      <c r="H164" s="267">
        <v>250</v>
      </c>
      <c r="I164" s="268">
        <v>30</v>
      </c>
      <c r="J164" s="269">
        <v>28</v>
      </c>
      <c r="K164" s="270">
        <v>8</v>
      </c>
      <c r="L164" s="271">
        <f>26351050.5+1782+1045+250</f>
        <v>26354127.5</v>
      </c>
      <c r="M164" s="269">
        <f>2457871+446+113+30</f>
        <v>2458460</v>
      </c>
      <c r="N164" s="272">
        <v>10.72108768116797</v>
      </c>
      <c r="O164" s="279"/>
      <c r="P164" s="132"/>
    </row>
    <row r="165" spans="1:16" ht="12" customHeight="1">
      <c r="A165" s="228">
        <v>162</v>
      </c>
      <c r="B165" s="281" t="s">
        <v>360</v>
      </c>
      <c r="C165" s="265">
        <v>40165</v>
      </c>
      <c r="D165" s="247" t="s">
        <v>322</v>
      </c>
      <c r="E165" s="276">
        <v>125</v>
      </c>
      <c r="F165" s="276">
        <v>1</v>
      </c>
      <c r="G165" s="276">
        <v>34</v>
      </c>
      <c r="H165" s="280">
        <v>224</v>
      </c>
      <c r="I165" s="282">
        <v>28</v>
      </c>
      <c r="J165" s="283">
        <v>28</v>
      </c>
      <c r="K165" s="285">
        <v>8</v>
      </c>
      <c r="L165" s="284">
        <v>26351050.5</v>
      </c>
      <c r="M165" s="283">
        <v>2457871</v>
      </c>
      <c r="N165" s="272">
        <v>10.72108768116797</v>
      </c>
      <c r="O165" s="279"/>
      <c r="P165" s="132"/>
    </row>
    <row r="166" spans="1:16" ht="12" customHeight="1">
      <c r="A166" s="228">
        <v>163</v>
      </c>
      <c r="B166" s="245" t="s">
        <v>58</v>
      </c>
      <c r="C166" s="246">
        <v>40165</v>
      </c>
      <c r="D166" s="247" t="s">
        <v>444</v>
      </c>
      <c r="E166" s="248">
        <v>38</v>
      </c>
      <c r="F166" s="248">
        <v>1</v>
      </c>
      <c r="G166" s="248">
        <v>27</v>
      </c>
      <c r="H166" s="263">
        <v>182</v>
      </c>
      <c r="I166" s="258">
        <v>34</v>
      </c>
      <c r="J166" s="259">
        <f aca="true" t="shared" si="21" ref="J166:J171">IF(H166&lt;&gt;0,I166/F166,"")</f>
        <v>34</v>
      </c>
      <c r="K166" s="260">
        <f aca="true" t="shared" si="22" ref="K166:K171">IF(H166&lt;&gt;0,H166/I166,"")</f>
        <v>5.352941176470588</v>
      </c>
      <c r="L166" s="264">
        <v>1133841</v>
      </c>
      <c r="M166" s="261">
        <v>138560</v>
      </c>
      <c r="N166" s="255">
        <f>IF(L166&lt;&gt;0,L166/M166,"")</f>
        <v>8.183032621247113</v>
      </c>
      <c r="O166" s="323"/>
      <c r="P166" s="132"/>
    </row>
    <row r="167" spans="1:16" ht="12" customHeight="1">
      <c r="A167" s="228">
        <v>164</v>
      </c>
      <c r="B167" s="245" t="s">
        <v>104</v>
      </c>
      <c r="C167" s="265">
        <v>40165</v>
      </c>
      <c r="D167" s="247" t="s">
        <v>444</v>
      </c>
      <c r="E167" s="276">
        <v>38</v>
      </c>
      <c r="F167" s="276">
        <v>1</v>
      </c>
      <c r="G167" s="276">
        <v>32</v>
      </c>
      <c r="H167" s="267">
        <v>295</v>
      </c>
      <c r="I167" s="268">
        <v>59</v>
      </c>
      <c r="J167" s="269">
        <f t="shared" si="21"/>
        <v>59</v>
      </c>
      <c r="K167" s="270">
        <f t="shared" si="22"/>
        <v>5</v>
      </c>
      <c r="L167" s="271">
        <f>1135116+H167</f>
        <v>1135411</v>
      </c>
      <c r="M167" s="269">
        <f>138804+I167</f>
        <v>138863</v>
      </c>
      <c r="N167" s="272">
        <f>IF(L167&lt;&gt;0,L167/M167,"")</f>
        <v>8.176483296486465</v>
      </c>
      <c r="O167" s="279"/>
      <c r="P167" s="132"/>
    </row>
    <row r="168" spans="1:16" ht="12" customHeight="1">
      <c r="A168" s="228">
        <v>165</v>
      </c>
      <c r="B168" s="245" t="s">
        <v>105</v>
      </c>
      <c r="C168" s="246">
        <v>40165</v>
      </c>
      <c r="D168" s="247" t="s">
        <v>444</v>
      </c>
      <c r="E168" s="248">
        <v>38</v>
      </c>
      <c r="F168" s="248">
        <v>1</v>
      </c>
      <c r="G168" s="248">
        <v>29</v>
      </c>
      <c r="H168" s="263">
        <v>146</v>
      </c>
      <c r="I168" s="258">
        <v>28</v>
      </c>
      <c r="J168" s="259">
        <f t="shared" si="21"/>
        <v>28</v>
      </c>
      <c r="K168" s="260">
        <f t="shared" si="22"/>
        <v>5.214285714285714</v>
      </c>
      <c r="L168" s="264">
        <v>1134291</v>
      </c>
      <c r="M168" s="261">
        <v>138646</v>
      </c>
      <c r="N168" s="255">
        <f>IF(L168&lt;&gt;0,L168/M168,"")</f>
        <v>8.181202486909106</v>
      </c>
      <c r="O168" s="279"/>
      <c r="P168" s="132"/>
    </row>
    <row r="169" spans="1:16" ht="12" customHeight="1">
      <c r="A169" s="228">
        <v>166</v>
      </c>
      <c r="B169" s="245" t="s">
        <v>106</v>
      </c>
      <c r="C169" s="246">
        <v>40165</v>
      </c>
      <c r="D169" s="286" t="s">
        <v>418</v>
      </c>
      <c r="E169" s="248">
        <v>38</v>
      </c>
      <c r="F169" s="248">
        <v>40</v>
      </c>
      <c r="G169" s="248">
        <v>4</v>
      </c>
      <c r="H169" s="294">
        <v>118129</v>
      </c>
      <c r="I169" s="300">
        <v>14601</v>
      </c>
      <c r="J169" s="301">
        <f t="shared" si="21"/>
        <v>365.025</v>
      </c>
      <c r="K169" s="302">
        <f t="shared" si="22"/>
        <v>8.090473255256489</v>
      </c>
      <c r="L169" s="298">
        <v>736893.5</v>
      </c>
      <c r="M169" s="283">
        <v>81207</v>
      </c>
      <c r="N169" s="299">
        <f>IF(L170&lt;&gt;0,L170/M170,"")</f>
        <v>8.780278434192951</v>
      </c>
      <c r="O169" s="327"/>
      <c r="P169" s="132"/>
    </row>
    <row r="170" spans="1:16" ht="12" customHeight="1">
      <c r="A170" s="228">
        <v>167</v>
      </c>
      <c r="B170" s="245" t="s">
        <v>107</v>
      </c>
      <c r="C170" s="246">
        <v>40165</v>
      </c>
      <c r="D170" s="286" t="s">
        <v>418</v>
      </c>
      <c r="E170" s="248">
        <v>38</v>
      </c>
      <c r="F170" s="248">
        <v>39</v>
      </c>
      <c r="G170" s="248">
        <v>5</v>
      </c>
      <c r="H170" s="294">
        <v>117691</v>
      </c>
      <c r="I170" s="295">
        <v>16123</v>
      </c>
      <c r="J170" s="296">
        <f t="shared" si="21"/>
        <v>413.4102564102564</v>
      </c>
      <c r="K170" s="297">
        <f t="shared" si="22"/>
        <v>7.299572039942938</v>
      </c>
      <c r="L170" s="298">
        <v>854584.5</v>
      </c>
      <c r="M170" s="269">
        <v>97330</v>
      </c>
      <c r="N170" s="299">
        <f>IF(L171&lt;&gt;0,L171/M171,"")</f>
        <v>9.289921328408852</v>
      </c>
      <c r="O170" s="278">
        <v>1</v>
      </c>
      <c r="P170" s="132"/>
    </row>
    <row r="171" spans="1:16" ht="12" customHeight="1">
      <c r="A171" s="228">
        <v>168</v>
      </c>
      <c r="B171" s="245" t="s">
        <v>107</v>
      </c>
      <c r="C171" s="246">
        <v>40165</v>
      </c>
      <c r="D171" s="257" t="s">
        <v>418</v>
      </c>
      <c r="E171" s="248">
        <v>38</v>
      </c>
      <c r="F171" s="248">
        <v>29</v>
      </c>
      <c r="G171" s="248">
        <v>3</v>
      </c>
      <c r="H171" s="294">
        <v>96495.25</v>
      </c>
      <c r="I171" s="300">
        <v>11131</v>
      </c>
      <c r="J171" s="301">
        <f t="shared" si="21"/>
        <v>383.82758620689657</v>
      </c>
      <c r="K171" s="297">
        <f t="shared" si="22"/>
        <v>8.669054891743778</v>
      </c>
      <c r="L171" s="298">
        <v>618764.5</v>
      </c>
      <c r="M171" s="283">
        <v>66606</v>
      </c>
      <c r="N171" s="272">
        <f>L172/M172</f>
        <v>8.562424341286263</v>
      </c>
      <c r="O171" s="279"/>
      <c r="P171" s="132"/>
    </row>
    <row r="172" spans="1:16" ht="12" customHeight="1">
      <c r="A172" s="228">
        <v>169</v>
      </c>
      <c r="B172" s="281" t="s">
        <v>106</v>
      </c>
      <c r="C172" s="265">
        <v>40165</v>
      </c>
      <c r="D172" s="286" t="s">
        <v>418</v>
      </c>
      <c r="E172" s="276">
        <v>38</v>
      </c>
      <c r="F172" s="276">
        <v>39</v>
      </c>
      <c r="G172" s="276">
        <v>7</v>
      </c>
      <c r="H172" s="267">
        <v>75701.5</v>
      </c>
      <c r="I172" s="268">
        <v>9938</v>
      </c>
      <c r="J172" s="269">
        <f>I172/F172</f>
        <v>254.82051282051282</v>
      </c>
      <c r="K172" s="270">
        <f>H172/I172</f>
        <v>7.617377742000403</v>
      </c>
      <c r="L172" s="271">
        <v>997325.5</v>
      </c>
      <c r="M172" s="269">
        <v>116477</v>
      </c>
      <c r="N172" s="255">
        <f>IF(L173&lt;&gt;0,L173/M173,"")</f>
        <v>8.650578661335286</v>
      </c>
      <c r="O172" s="327"/>
      <c r="P172" s="132"/>
    </row>
    <row r="173" spans="1:16" ht="12" customHeight="1">
      <c r="A173" s="228">
        <v>170</v>
      </c>
      <c r="B173" s="281" t="s">
        <v>106</v>
      </c>
      <c r="C173" s="265">
        <v>40165</v>
      </c>
      <c r="D173" s="266" t="s">
        <v>418</v>
      </c>
      <c r="E173" s="276">
        <v>38</v>
      </c>
      <c r="F173" s="276">
        <v>40</v>
      </c>
      <c r="G173" s="276">
        <v>6</v>
      </c>
      <c r="H173" s="263">
        <v>67039.5</v>
      </c>
      <c r="I173" s="258">
        <v>9209</v>
      </c>
      <c r="J173" s="259">
        <f>IF(H173&lt;&gt;0,I173/F173,"")</f>
        <v>230.225</v>
      </c>
      <c r="K173" s="260">
        <f>IF(H173&lt;&gt;0,H173/I173,"")</f>
        <v>7.279780649364752</v>
      </c>
      <c r="L173" s="264">
        <v>921624</v>
      </c>
      <c r="M173" s="261">
        <v>106539</v>
      </c>
      <c r="N173" s="272">
        <f>IF(L174&lt;&gt;0,L174/M174,"")</f>
        <v>8.473079284052726</v>
      </c>
      <c r="O173" s="279"/>
      <c r="P173" s="132"/>
    </row>
    <row r="174" spans="1:16" ht="12" customHeight="1">
      <c r="A174" s="228">
        <v>171</v>
      </c>
      <c r="B174" s="281" t="s">
        <v>107</v>
      </c>
      <c r="C174" s="265">
        <v>40165</v>
      </c>
      <c r="D174" s="286" t="s">
        <v>418</v>
      </c>
      <c r="E174" s="276">
        <v>38</v>
      </c>
      <c r="F174" s="276">
        <v>39</v>
      </c>
      <c r="G174" s="276">
        <v>8</v>
      </c>
      <c r="H174" s="267">
        <v>51709.5</v>
      </c>
      <c r="I174" s="268">
        <v>7331</v>
      </c>
      <c r="J174" s="269">
        <f>I174/F174</f>
        <v>187.97435897435898</v>
      </c>
      <c r="K174" s="270">
        <f>+H174/I174</f>
        <v>7.053539762651753</v>
      </c>
      <c r="L174" s="271">
        <v>1049035</v>
      </c>
      <c r="M174" s="269">
        <v>123808</v>
      </c>
      <c r="N174" s="272">
        <f>IF(L175&lt;&gt;0,L175/M175,"")</f>
        <v>8.390757320083747</v>
      </c>
      <c r="O174" s="307"/>
      <c r="P174" s="132"/>
    </row>
    <row r="175" spans="1:16" ht="12" customHeight="1">
      <c r="A175" s="228">
        <v>172</v>
      </c>
      <c r="B175" s="281" t="s">
        <v>107</v>
      </c>
      <c r="C175" s="265">
        <v>40165</v>
      </c>
      <c r="D175" s="286" t="s">
        <v>418</v>
      </c>
      <c r="E175" s="276">
        <v>38</v>
      </c>
      <c r="F175" s="276">
        <v>17</v>
      </c>
      <c r="G175" s="276">
        <v>9</v>
      </c>
      <c r="H175" s="280">
        <v>25015.5</v>
      </c>
      <c r="I175" s="282">
        <v>4196</v>
      </c>
      <c r="J175" s="283">
        <f>IF(H175&lt;&gt;0,I175/F175,"")</f>
        <v>246.8235294117647</v>
      </c>
      <c r="K175" s="285">
        <f>IF(H175&lt;&gt;0,H175/I175,"")</f>
        <v>5.961749285033365</v>
      </c>
      <c r="L175" s="284">
        <v>1074050.5</v>
      </c>
      <c r="M175" s="283">
        <v>128004</v>
      </c>
      <c r="N175" s="272">
        <f>+L176/M176</f>
        <v>8.353917733704122</v>
      </c>
      <c r="O175" s="279"/>
      <c r="P175" s="132"/>
    </row>
    <row r="176" spans="1:16" ht="12" customHeight="1">
      <c r="A176" s="228">
        <v>173</v>
      </c>
      <c r="B176" s="281" t="s">
        <v>107</v>
      </c>
      <c r="C176" s="265">
        <v>40165</v>
      </c>
      <c r="D176" s="286" t="s">
        <v>418</v>
      </c>
      <c r="E176" s="276">
        <v>38</v>
      </c>
      <c r="F176" s="276">
        <v>14</v>
      </c>
      <c r="G176" s="276">
        <v>10</v>
      </c>
      <c r="H176" s="280">
        <v>19410.5</v>
      </c>
      <c r="I176" s="282">
        <v>2888</v>
      </c>
      <c r="J176" s="283">
        <f>I176/F176</f>
        <v>206.28571428571428</v>
      </c>
      <c r="K176" s="285">
        <f>H176/I176</f>
        <v>6.721087257617729</v>
      </c>
      <c r="L176" s="284">
        <v>1093461</v>
      </c>
      <c r="M176" s="283">
        <v>130892</v>
      </c>
      <c r="N176" s="272">
        <f>+L177/M177</f>
        <v>8.217427508197929</v>
      </c>
      <c r="O176" s="202">
        <v>1</v>
      </c>
      <c r="P176" s="132"/>
    </row>
    <row r="177" spans="1:16" ht="12" customHeight="1">
      <c r="A177" s="228">
        <v>174</v>
      </c>
      <c r="B177" s="281" t="s">
        <v>107</v>
      </c>
      <c r="C177" s="308">
        <v>40165</v>
      </c>
      <c r="D177" s="336" t="s">
        <v>418</v>
      </c>
      <c r="E177" s="287">
        <v>38</v>
      </c>
      <c r="F177" s="287">
        <v>8</v>
      </c>
      <c r="G177" s="287">
        <v>12</v>
      </c>
      <c r="H177" s="288">
        <v>12339</v>
      </c>
      <c r="I177" s="289">
        <v>2784</v>
      </c>
      <c r="J177" s="283">
        <f>IF(H177&lt;&gt;0,I177/F177,"")</f>
        <v>348</v>
      </c>
      <c r="K177" s="285">
        <f>H177/I177</f>
        <v>4.432112068965517</v>
      </c>
      <c r="L177" s="284">
        <v>1115146</v>
      </c>
      <c r="M177" s="283">
        <v>135705</v>
      </c>
      <c r="N177" s="272">
        <f>+L178/M178</f>
        <v>8.29671007590975</v>
      </c>
      <c r="O177" s="224">
        <v>1</v>
      </c>
      <c r="P177" s="132"/>
    </row>
    <row r="178" spans="1:16" ht="12" customHeight="1">
      <c r="A178" s="228">
        <v>175</v>
      </c>
      <c r="B178" s="281" t="s">
        <v>107</v>
      </c>
      <c r="C178" s="308">
        <v>40165</v>
      </c>
      <c r="D178" s="286" t="s">
        <v>418</v>
      </c>
      <c r="E178" s="287">
        <v>38</v>
      </c>
      <c r="F178" s="287">
        <v>7</v>
      </c>
      <c r="G178" s="287">
        <v>11</v>
      </c>
      <c r="H178" s="288">
        <v>9346</v>
      </c>
      <c r="I178" s="289">
        <v>2029</v>
      </c>
      <c r="J178" s="283">
        <f>I178/F178</f>
        <v>289.85714285714283</v>
      </c>
      <c r="K178" s="285">
        <f>H178/I178</f>
        <v>4.606209955643174</v>
      </c>
      <c r="L178" s="284">
        <v>1102807</v>
      </c>
      <c r="M178" s="283">
        <v>132921</v>
      </c>
      <c r="N178" s="272">
        <f>+L179/M179</f>
        <v>8.208025836998933</v>
      </c>
      <c r="O178" s="278">
        <v>1</v>
      </c>
      <c r="P178" s="132"/>
    </row>
    <row r="179" spans="1:16" ht="12" customHeight="1">
      <c r="A179" s="228">
        <v>176</v>
      </c>
      <c r="B179" s="245" t="s">
        <v>107</v>
      </c>
      <c r="C179" s="246">
        <v>40165</v>
      </c>
      <c r="D179" s="337" t="s">
        <v>418</v>
      </c>
      <c r="E179" s="248">
        <v>38</v>
      </c>
      <c r="F179" s="248">
        <v>3</v>
      </c>
      <c r="G179" s="248">
        <v>15</v>
      </c>
      <c r="H179" s="249">
        <v>7930</v>
      </c>
      <c r="I179" s="258">
        <v>1093</v>
      </c>
      <c r="J179" s="259">
        <f>IF(H179&lt;&gt;0,I179/F179,"")</f>
        <v>364.3333333333333</v>
      </c>
      <c r="K179" s="260">
        <f>IF(H179&lt;&gt;0,H179/I179,"")</f>
        <v>7.255260750228728</v>
      </c>
      <c r="L179" s="253">
        <v>1123334</v>
      </c>
      <c r="M179" s="261">
        <v>136858</v>
      </c>
      <c r="N179" s="272">
        <f>+L180/M180</f>
        <v>8.161105657971097</v>
      </c>
      <c r="O179" s="202">
        <v>1</v>
      </c>
      <c r="P179" s="132"/>
    </row>
    <row r="180" spans="1:16" ht="12" customHeight="1">
      <c r="A180" s="228">
        <v>177</v>
      </c>
      <c r="B180" s="245" t="s">
        <v>123</v>
      </c>
      <c r="C180" s="265">
        <v>40165</v>
      </c>
      <c r="D180" s="247" t="s">
        <v>444</v>
      </c>
      <c r="E180" s="276">
        <v>38</v>
      </c>
      <c r="F180" s="276">
        <v>1</v>
      </c>
      <c r="G180" s="276">
        <v>35</v>
      </c>
      <c r="H180" s="267">
        <v>3020</v>
      </c>
      <c r="I180" s="268">
        <v>604</v>
      </c>
      <c r="J180" s="269">
        <f>IF(H180&lt;&gt;0,I180/F180,"")</f>
        <v>604</v>
      </c>
      <c r="K180" s="270">
        <f>IF(H180&lt;&gt;0,H180/I180,"")</f>
        <v>5</v>
      </c>
      <c r="L180" s="271">
        <v>1139070</v>
      </c>
      <c r="M180" s="269">
        <v>139573</v>
      </c>
      <c r="N180" s="272">
        <f>IF(L180&lt;&gt;0,L180/M180,"")</f>
        <v>8.161105657971097</v>
      </c>
      <c r="O180" s="338">
        <v>1</v>
      </c>
      <c r="P180" s="132"/>
    </row>
    <row r="181" spans="1:16" ht="12" customHeight="1">
      <c r="A181" s="228">
        <v>178</v>
      </c>
      <c r="B181" s="245" t="s">
        <v>106</v>
      </c>
      <c r="C181" s="265">
        <v>40165</v>
      </c>
      <c r="D181" s="275" t="s">
        <v>418</v>
      </c>
      <c r="E181" s="276">
        <v>38</v>
      </c>
      <c r="F181" s="276">
        <v>2</v>
      </c>
      <c r="G181" s="276">
        <v>20</v>
      </c>
      <c r="H181" s="280">
        <v>1398</v>
      </c>
      <c r="I181" s="268">
        <v>223</v>
      </c>
      <c r="J181" s="269">
        <f>I181/F181</f>
        <v>111.5</v>
      </c>
      <c r="K181" s="270">
        <f>H181/I181</f>
        <v>6.2690582959641254</v>
      </c>
      <c r="L181" s="271">
        <v>1129923</v>
      </c>
      <c r="M181" s="269">
        <v>137873</v>
      </c>
      <c r="N181" s="272">
        <f>+L181/M181</f>
        <v>8.195389960325807</v>
      </c>
      <c r="O181" s="262"/>
      <c r="P181" s="132"/>
    </row>
    <row r="182" spans="1:16" ht="12" customHeight="1">
      <c r="A182" s="228">
        <v>179</v>
      </c>
      <c r="B182" s="324" t="s">
        <v>106</v>
      </c>
      <c r="C182" s="265">
        <v>40165</v>
      </c>
      <c r="D182" s="336" t="s">
        <v>418</v>
      </c>
      <c r="E182" s="276">
        <v>38</v>
      </c>
      <c r="F182" s="276">
        <v>1</v>
      </c>
      <c r="G182" s="287">
        <v>16</v>
      </c>
      <c r="H182" s="288">
        <v>1366</v>
      </c>
      <c r="I182" s="289">
        <v>217</v>
      </c>
      <c r="J182" s="283">
        <f>I182/F182</f>
        <v>217</v>
      </c>
      <c r="K182" s="285">
        <f>H182/I182</f>
        <v>6.2949308755760365</v>
      </c>
      <c r="L182" s="284">
        <v>1124700</v>
      </c>
      <c r="M182" s="283">
        <v>137075</v>
      </c>
      <c r="N182" s="290">
        <f>+L182/M182</f>
        <v>8.204997264271384</v>
      </c>
      <c r="O182" s="274"/>
      <c r="P182" s="132"/>
    </row>
    <row r="183" spans="1:16" ht="12" customHeight="1">
      <c r="A183" s="228">
        <v>180</v>
      </c>
      <c r="B183" s="245" t="s">
        <v>106</v>
      </c>
      <c r="C183" s="265">
        <v>40165</v>
      </c>
      <c r="D183" s="336" t="s">
        <v>418</v>
      </c>
      <c r="E183" s="287">
        <v>38</v>
      </c>
      <c r="F183" s="287">
        <v>2</v>
      </c>
      <c r="G183" s="287">
        <v>18</v>
      </c>
      <c r="H183" s="288">
        <v>1330</v>
      </c>
      <c r="I183" s="289">
        <v>186</v>
      </c>
      <c r="J183" s="283">
        <f>IF(H183&lt;&gt;0,I183/F183,"")</f>
        <v>93</v>
      </c>
      <c r="K183" s="285">
        <f>IF(H183&lt;&gt;0,H183/I183,"")</f>
        <v>7.150537634408602</v>
      </c>
      <c r="L183" s="284">
        <v>1127286</v>
      </c>
      <c r="M183" s="283">
        <v>137459</v>
      </c>
      <c r="N183" s="290">
        <f>IF(L183&lt;&gt;0,L183/M183,"")</f>
        <v>8.200888992354084</v>
      </c>
      <c r="O183" s="262"/>
      <c r="P183" s="132"/>
    </row>
    <row r="184" spans="1:16" ht="12" customHeight="1">
      <c r="A184" s="228">
        <v>181</v>
      </c>
      <c r="B184" s="324" t="s">
        <v>106</v>
      </c>
      <c r="C184" s="265">
        <v>40165</v>
      </c>
      <c r="D184" s="336" t="s">
        <v>418</v>
      </c>
      <c r="E184" s="287">
        <v>38</v>
      </c>
      <c r="F184" s="287">
        <v>1</v>
      </c>
      <c r="G184" s="287">
        <v>17</v>
      </c>
      <c r="H184" s="288">
        <v>1256</v>
      </c>
      <c r="I184" s="289">
        <v>198</v>
      </c>
      <c r="J184" s="283">
        <f>I184/F184</f>
        <v>198</v>
      </c>
      <c r="K184" s="285">
        <f>H184/I184</f>
        <v>6.343434343434343</v>
      </c>
      <c r="L184" s="284">
        <v>1125956</v>
      </c>
      <c r="M184" s="283">
        <v>137273</v>
      </c>
      <c r="N184" s="290">
        <f>+L184/M184</f>
        <v>8.202312180836726</v>
      </c>
      <c r="O184" s="262"/>
      <c r="P184" s="132"/>
    </row>
    <row r="185" spans="1:16" ht="12" customHeight="1">
      <c r="A185" s="228">
        <v>182</v>
      </c>
      <c r="B185" s="245" t="s">
        <v>106</v>
      </c>
      <c r="C185" s="265">
        <v>40165</v>
      </c>
      <c r="D185" s="336" t="s">
        <v>418</v>
      </c>
      <c r="E185" s="287">
        <v>38</v>
      </c>
      <c r="F185" s="287">
        <v>3</v>
      </c>
      <c r="G185" s="287">
        <v>19</v>
      </c>
      <c r="H185" s="288">
        <v>1239</v>
      </c>
      <c r="I185" s="326">
        <v>191</v>
      </c>
      <c r="J185" s="269">
        <f>IF(H185&lt;&gt;0,I185/F185,"")</f>
        <v>63.666666666666664</v>
      </c>
      <c r="K185" s="270">
        <f>IF(H185&lt;&gt;0,H185/I185,"")</f>
        <v>6.486910994764398</v>
      </c>
      <c r="L185" s="271">
        <v>1128525</v>
      </c>
      <c r="M185" s="269">
        <v>137650</v>
      </c>
      <c r="N185" s="272">
        <f>IF(L185&lt;&gt;0,L185/M185,"")</f>
        <v>8.198510715583</v>
      </c>
      <c r="O185" s="339"/>
      <c r="P185" s="132"/>
    </row>
    <row r="186" spans="1:16" ht="12" customHeight="1">
      <c r="A186" s="228">
        <v>183</v>
      </c>
      <c r="B186" s="245" t="s">
        <v>106</v>
      </c>
      <c r="C186" s="265">
        <v>40165</v>
      </c>
      <c r="D186" s="275" t="s">
        <v>418</v>
      </c>
      <c r="E186" s="276">
        <v>38</v>
      </c>
      <c r="F186" s="276">
        <v>2</v>
      </c>
      <c r="G186" s="276">
        <v>21</v>
      </c>
      <c r="H186" s="263">
        <v>914</v>
      </c>
      <c r="I186" s="258">
        <v>173</v>
      </c>
      <c r="J186" s="269">
        <f>IF(H186&lt;&gt;0,I186/F186,"")</f>
        <v>86.5</v>
      </c>
      <c r="K186" s="270">
        <f>IF(H186&lt;&gt;0,H186/I186,"")</f>
        <v>5.283236994219653</v>
      </c>
      <c r="L186" s="271">
        <f>1129923+914</f>
        <v>1130837</v>
      </c>
      <c r="M186" s="269">
        <f>137873+173</f>
        <v>138046</v>
      </c>
      <c r="N186" s="272">
        <f>IF(L186&lt;&gt;0,L186/M186,"")</f>
        <v>8.19174043434797</v>
      </c>
      <c r="O186" s="262"/>
      <c r="P186" s="132"/>
    </row>
    <row r="187" spans="1:16" ht="12" customHeight="1">
      <c r="A187" s="228">
        <v>184</v>
      </c>
      <c r="B187" s="245" t="s">
        <v>106</v>
      </c>
      <c r="C187" s="265">
        <v>40165</v>
      </c>
      <c r="D187" s="275" t="s">
        <v>418</v>
      </c>
      <c r="E187" s="276">
        <v>38</v>
      </c>
      <c r="F187" s="276">
        <v>2</v>
      </c>
      <c r="G187" s="276">
        <v>22</v>
      </c>
      <c r="H187" s="263">
        <v>892</v>
      </c>
      <c r="I187" s="258">
        <v>138</v>
      </c>
      <c r="J187" s="269">
        <f>I187/F187</f>
        <v>69</v>
      </c>
      <c r="K187" s="270">
        <f>H187/I187</f>
        <v>6.463768115942029</v>
      </c>
      <c r="L187" s="271">
        <v>1131729</v>
      </c>
      <c r="M187" s="269">
        <v>138184</v>
      </c>
      <c r="N187" s="272">
        <f>+L187/M187</f>
        <v>8.190014762924797</v>
      </c>
      <c r="O187" s="244">
        <v>1</v>
      </c>
      <c r="P187" s="132"/>
    </row>
    <row r="188" spans="1:16" ht="12" customHeight="1">
      <c r="A188" s="228">
        <v>185</v>
      </c>
      <c r="B188" s="324" t="s">
        <v>106</v>
      </c>
      <c r="C188" s="246">
        <v>40165</v>
      </c>
      <c r="D188" s="286" t="s">
        <v>444</v>
      </c>
      <c r="E188" s="248">
        <v>38</v>
      </c>
      <c r="F188" s="248">
        <v>81</v>
      </c>
      <c r="G188" s="248">
        <v>25</v>
      </c>
      <c r="H188" s="294">
        <v>677</v>
      </c>
      <c r="I188" s="300">
        <v>118</v>
      </c>
      <c r="J188" s="301">
        <f>IF(H188&lt;&gt;0,I188/F188,"")</f>
        <v>1.4567901234567902</v>
      </c>
      <c r="K188" s="297">
        <f>IF(H188&lt;&gt;0,H188/I188,"")</f>
        <v>5.737288135593221</v>
      </c>
      <c r="L188" s="298">
        <v>1133475</v>
      </c>
      <c r="M188" s="283">
        <v>138497</v>
      </c>
      <c r="N188" s="299">
        <f>IF(L188&lt;&gt;0,L188/M188,"")</f>
        <v>8.184112291240966</v>
      </c>
      <c r="O188" s="340"/>
      <c r="P188" s="132"/>
    </row>
    <row r="189" spans="1:16" ht="12" customHeight="1">
      <c r="A189" s="228">
        <v>186</v>
      </c>
      <c r="B189" s="281" t="s">
        <v>123</v>
      </c>
      <c r="C189" s="265">
        <v>40165</v>
      </c>
      <c r="D189" s="247" t="s">
        <v>444</v>
      </c>
      <c r="E189" s="276">
        <v>38</v>
      </c>
      <c r="F189" s="276">
        <v>3</v>
      </c>
      <c r="G189" s="276">
        <v>30</v>
      </c>
      <c r="H189" s="280">
        <v>640</v>
      </c>
      <c r="I189" s="282">
        <v>121</v>
      </c>
      <c r="J189" s="283">
        <f>IF(H189&lt;&gt;0,I189/F189,"")</f>
        <v>40.333333333333336</v>
      </c>
      <c r="K189" s="285">
        <f>IF(H189&lt;&gt;0,H189/I189,"")</f>
        <v>5.289256198347108</v>
      </c>
      <c r="L189" s="284">
        <v>1134931</v>
      </c>
      <c r="M189" s="283">
        <v>138767</v>
      </c>
      <c r="N189" s="272">
        <f>IF(L189&lt;&gt;0,L189/M189,"")</f>
        <v>8.1786808102791</v>
      </c>
      <c r="O189" s="341">
        <v>1</v>
      </c>
      <c r="P189" s="132"/>
    </row>
    <row r="190" spans="1:16" ht="12" customHeight="1">
      <c r="A190" s="228">
        <v>187</v>
      </c>
      <c r="B190" s="245" t="s">
        <v>124</v>
      </c>
      <c r="C190" s="246">
        <v>40165</v>
      </c>
      <c r="D190" s="247" t="s">
        <v>444</v>
      </c>
      <c r="E190" s="248">
        <v>38</v>
      </c>
      <c r="F190" s="248">
        <v>3</v>
      </c>
      <c r="G190" s="248">
        <v>24</v>
      </c>
      <c r="H190" s="249">
        <v>638</v>
      </c>
      <c r="I190" s="250">
        <v>116</v>
      </c>
      <c r="J190" s="251">
        <f>I190/F190</f>
        <v>38.666666666666664</v>
      </c>
      <c r="K190" s="260">
        <f>H190/I190</f>
        <v>5.5</v>
      </c>
      <c r="L190" s="253">
        <v>1132798</v>
      </c>
      <c r="M190" s="254">
        <v>138379</v>
      </c>
      <c r="N190" s="255">
        <f>+L190/M190</f>
        <v>8.1861987729352</v>
      </c>
      <c r="O190" s="262">
        <v>1</v>
      </c>
      <c r="P190" s="132"/>
    </row>
    <row r="191" spans="1:15" ht="12" customHeight="1">
      <c r="A191" s="228">
        <v>188</v>
      </c>
      <c r="B191" s="245" t="s">
        <v>124</v>
      </c>
      <c r="C191" s="246">
        <v>40165</v>
      </c>
      <c r="D191" s="286" t="s">
        <v>444</v>
      </c>
      <c r="E191" s="248">
        <v>38</v>
      </c>
      <c r="F191" s="248">
        <v>2</v>
      </c>
      <c r="G191" s="248">
        <v>23</v>
      </c>
      <c r="H191" s="342">
        <v>431</v>
      </c>
      <c r="I191" s="295">
        <v>79</v>
      </c>
      <c r="J191" s="296">
        <f>IF(H191&lt;&gt;0,I191/F191,"")</f>
        <v>39.5</v>
      </c>
      <c r="K191" s="297">
        <f>IF(H191&lt;&gt;0,H191/I191,"")</f>
        <v>5.455696202531645</v>
      </c>
      <c r="L191" s="343">
        <v>1132160</v>
      </c>
      <c r="M191" s="269">
        <v>138263</v>
      </c>
      <c r="N191" s="299">
        <f>IF(L191&lt;&gt;0,L191/M191,"")</f>
        <v>8.188452442085012</v>
      </c>
      <c r="O191" s="273"/>
    </row>
    <row r="192" spans="1:15" ht="12" customHeight="1">
      <c r="A192" s="228">
        <v>189</v>
      </c>
      <c r="B192" s="245" t="s">
        <v>123</v>
      </c>
      <c r="C192" s="265">
        <v>40165</v>
      </c>
      <c r="D192" s="247" t="s">
        <v>444</v>
      </c>
      <c r="E192" s="276">
        <v>38</v>
      </c>
      <c r="F192" s="276">
        <v>1</v>
      </c>
      <c r="G192" s="276">
        <v>34</v>
      </c>
      <c r="H192" s="267">
        <v>384</v>
      </c>
      <c r="I192" s="268">
        <v>55</v>
      </c>
      <c r="J192" s="269">
        <f>IF(H192&lt;&gt;0,I192/F192,"")</f>
        <v>55</v>
      </c>
      <c r="K192" s="270">
        <f>H192/I192</f>
        <v>6.9818181818181815</v>
      </c>
      <c r="L192" s="271">
        <f>1135666+H192</f>
        <v>1136050</v>
      </c>
      <c r="M192" s="269">
        <f>138914+I192</f>
        <v>138969</v>
      </c>
      <c r="N192" s="272">
        <f>+L192/M192</f>
        <v>8.17484474954846</v>
      </c>
      <c r="O192" s="262">
        <v>1</v>
      </c>
    </row>
    <row r="193" spans="1:15" ht="12" customHeight="1">
      <c r="A193" s="228">
        <v>190</v>
      </c>
      <c r="B193" s="245" t="s">
        <v>125</v>
      </c>
      <c r="C193" s="246">
        <v>40165</v>
      </c>
      <c r="D193" s="247" t="s">
        <v>444</v>
      </c>
      <c r="E193" s="248">
        <v>38</v>
      </c>
      <c r="F193" s="248">
        <v>1</v>
      </c>
      <c r="G193" s="248">
        <v>28</v>
      </c>
      <c r="H193" s="249">
        <v>304</v>
      </c>
      <c r="I193" s="250">
        <v>58</v>
      </c>
      <c r="J193" s="251">
        <f>IF(H193&lt;&gt;0,I193/F193,"")</f>
        <v>58</v>
      </c>
      <c r="K193" s="260">
        <f>IF(H193&lt;&gt;0,H193/I193,"")</f>
        <v>5.241379310344827</v>
      </c>
      <c r="L193" s="253">
        <v>1134145</v>
      </c>
      <c r="M193" s="254">
        <v>138618</v>
      </c>
      <c r="N193" s="255">
        <f>IF(L193&lt;&gt;0,L193/M193,"")</f>
        <v>8.181801786203811</v>
      </c>
      <c r="O193" s="335"/>
    </row>
    <row r="194" spans="1:15" ht="12" customHeight="1">
      <c r="A194" s="228">
        <v>191</v>
      </c>
      <c r="B194" s="245" t="s">
        <v>123</v>
      </c>
      <c r="C194" s="265">
        <v>40165</v>
      </c>
      <c r="D194" s="247" t="s">
        <v>444</v>
      </c>
      <c r="E194" s="276">
        <v>38</v>
      </c>
      <c r="F194" s="276">
        <v>1</v>
      </c>
      <c r="G194" s="276">
        <v>33</v>
      </c>
      <c r="H194" s="267">
        <v>255</v>
      </c>
      <c r="I194" s="268">
        <v>51</v>
      </c>
      <c r="J194" s="269">
        <f>IF(H194&lt;&gt;0,I194/F194,"")</f>
        <v>51</v>
      </c>
      <c r="K194" s="270">
        <f>IF(H194&lt;&gt;0,H194/I194,"")</f>
        <v>5</v>
      </c>
      <c r="L194" s="271">
        <f>1135411+H194</f>
        <v>1135666</v>
      </c>
      <c r="M194" s="269">
        <f>138863+J194</f>
        <v>138914</v>
      </c>
      <c r="N194" s="272">
        <f>+L194/M194</f>
        <v>8.175317102667838</v>
      </c>
      <c r="O194" s="256"/>
    </row>
    <row r="195" spans="1:15" ht="12" customHeight="1">
      <c r="A195" s="228">
        <v>192</v>
      </c>
      <c r="B195" s="245" t="s">
        <v>107</v>
      </c>
      <c r="C195" s="265">
        <v>40165</v>
      </c>
      <c r="D195" s="247" t="s">
        <v>444</v>
      </c>
      <c r="E195" s="276">
        <v>38</v>
      </c>
      <c r="F195" s="276">
        <v>1</v>
      </c>
      <c r="G195" s="276">
        <v>31</v>
      </c>
      <c r="H195" s="267">
        <v>185</v>
      </c>
      <c r="I195" s="268">
        <v>37</v>
      </c>
      <c r="J195" s="269">
        <f>IF(H195&lt;&gt;0,I195/F195,"")</f>
        <v>37</v>
      </c>
      <c r="K195" s="270">
        <f>IF(H195&lt;&gt;0,H195/I195,"")</f>
        <v>5</v>
      </c>
      <c r="L195" s="271">
        <v>1135116</v>
      </c>
      <c r="M195" s="269">
        <f>138767+I195</f>
        <v>138804</v>
      </c>
      <c r="N195" s="272">
        <f>IF(L195&lt;&gt;0,L195/M195,"")</f>
        <v>8.177833491830206</v>
      </c>
      <c r="O195" s="244">
        <v>1</v>
      </c>
    </row>
    <row r="196" spans="1:15" ht="12" customHeight="1">
      <c r="A196" s="228">
        <v>193</v>
      </c>
      <c r="B196" s="324" t="s">
        <v>107</v>
      </c>
      <c r="C196" s="308">
        <v>40165</v>
      </c>
      <c r="D196" s="286" t="s">
        <v>418</v>
      </c>
      <c r="E196" s="287">
        <v>38</v>
      </c>
      <c r="F196" s="287">
        <v>2</v>
      </c>
      <c r="G196" s="287">
        <v>14</v>
      </c>
      <c r="H196" s="288">
        <v>158</v>
      </c>
      <c r="I196" s="289">
        <v>37</v>
      </c>
      <c r="J196" s="283">
        <f>I196/F196</f>
        <v>18.5</v>
      </c>
      <c r="K196" s="285">
        <f>H196/I196</f>
        <v>4.27027027027027</v>
      </c>
      <c r="L196" s="284">
        <f>1115246+158</f>
        <v>1115404</v>
      </c>
      <c r="M196" s="283">
        <f>135728+37</f>
        <v>135765</v>
      </c>
      <c r="N196" s="255">
        <f>IF(L197&lt;&gt;0,L197/M197,"")</f>
        <v>8.216771778851822</v>
      </c>
      <c r="O196" s="256">
        <v>1</v>
      </c>
    </row>
    <row r="197" spans="1:15" ht="12" customHeight="1">
      <c r="A197" s="228">
        <v>194</v>
      </c>
      <c r="B197" s="324" t="s">
        <v>107</v>
      </c>
      <c r="C197" s="308">
        <v>40165</v>
      </c>
      <c r="D197" s="336" t="s">
        <v>418</v>
      </c>
      <c r="E197" s="287">
        <v>38</v>
      </c>
      <c r="F197" s="287">
        <v>1</v>
      </c>
      <c r="G197" s="287">
        <v>13</v>
      </c>
      <c r="H197" s="288">
        <v>100</v>
      </c>
      <c r="I197" s="289">
        <v>23</v>
      </c>
      <c r="J197" s="283">
        <f>I197/F197</f>
        <v>23</v>
      </c>
      <c r="K197" s="285">
        <f>H197/I197</f>
        <v>4.3478260869565215</v>
      </c>
      <c r="L197" s="284">
        <v>1115246</v>
      </c>
      <c r="M197" s="283">
        <v>135728</v>
      </c>
      <c r="N197" s="272">
        <f>+L198/M198</f>
        <v>9.157536880021045</v>
      </c>
      <c r="O197" s="262">
        <v>1</v>
      </c>
    </row>
    <row r="198" spans="1:15" ht="12" customHeight="1">
      <c r="A198" s="228">
        <v>195</v>
      </c>
      <c r="B198" s="281" t="s">
        <v>477</v>
      </c>
      <c r="C198" s="265">
        <v>39850</v>
      </c>
      <c r="D198" s="344" t="s">
        <v>320</v>
      </c>
      <c r="E198" s="276">
        <v>78</v>
      </c>
      <c r="F198" s="276">
        <v>1</v>
      </c>
      <c r="G198" s="276">
        <v>48</v>
      </c>
      <c r="H198" s="280">
        <v>609</v>
      </c>
      <c r="I198" s="282">
        <v>280</v>
      </c>
      <c r="J198" s="283">
        <f>I198/F198</f>
        <v>280</v>
      </c>
      <c r="K198" s="285">
        <f>+H198/I198</f>
        <v>2.175</v>
      </c>
      <c r="L198" s="284">
        <v>905076</v>
      </c>
      <c r="M198" s="283">
        <v>98834</v>
      </c>
      <c r="N198" s="255">
        <f>IF(L199&lt;&gt;0,L199/M199,"")</f>
        <v>7.210571439817754</v>
      </c>
      <c r="O198" s="345">
        <v>1</v>
      </c>
    </row>
    <row r="199" spans="1:15" ht="12" customHeight="1">
      <c r="A199" s="228">
        <v>196</v>
      </c>
      <c r="B199" s="245" t="s">
        <v>66</v>
      </c>
      <c r="C199" s="265">
        <v>39402</v>
      </c>
      <c r="D199" s="247" t="s">
        <v>444</v>
      </c>
      <c r="E199" s="276">
        <v>165</v>
      </c>
      <c r="F199" s="276">
        <v>1</v>
      </c>
      <c r="G199" s="276">
        <v>51</v>
      </c>
      <c r="H199" s="267">
        <v>2376</v>
      </c>
      <c r="I199" s="268">
        <v>475</v>
      </c>
      <c r="J199" s="269">
        <f>IF(H199&lt;&gt;0,I199/F199,"")</f>
        <v>475</v>
      </c>
      <c r="K199" s="270">
        <f>IF(H199&lt;&gt;0,H199/I199,"")</f>
        <v>5.002105263157895</v>
      </c>
      <c r="L199" s="271">
        <v>14654837.5</v>
      </c>
      <c r="M199" s="269">
        <v>2032410</v>
      </c>
      <c r="N199" s="272">
        <f>IF(L199&lt;&gt;0,L199/M199,"")</f>
        <v>7.210571439817754</v>
      </c>
      <c r="O199" s="256">
        <v>1</v>
      </c>
    </row>
    <row r="200" spans="1:15" ht="12" customHeight="1">
      <c r="A200" s="228">
        <v>197</v>
      </c>
      <c r="B200" s="245" t="s">
        <v>121</v>
      </c>
      <c r="C200" s="265">
        <v>40053</v>
      </c>
      <c r="D200" s="344" t="s">
        <v>320</v>
      </c>
      <c r="E200" s="287">
        <v>82</v>
      </c>
      <c r="F200" s="287">
        <v>1</v>
      </c>
      <c r="G200" s="287">
        <v>34</v>
      </c>
      <c r="H200" s="288">
        <v>630</v>
      </c>
      <c r="I200" s="289">
        <v>210</v>
      </c>
      <c r="J200" s="283">
        <f>I200/F200</f>
        <v>210</v>
      </c>
      <c r="K200" s="285">
        <f>H200/I200</f>
        <v>3</v>
      </c>
      <c r="L200" s="284">
        <v>519086</v>
      </c>
      <c r="M200" s="283">
        <v>63156</v>
      </c>
      <c r="N200" s="290">
        <f>+L200/M200</f>
        <v>8.219108239913863</v>
      </c>
      <c r="O200" s="341">
        <v>1</v>
      </c>
    </row>
    <row r="201" spans="1:15" ht="12" customHeight="1">
      <c r="A201" s="228">
        <v>198</v>
      </c>
      <c r="B201" s="245" t="s">
        <v>121</v>
      </c>
      <c r="C201" s="246">
        <v>40053</v>
      </c>
      <c r="D201" s="344" t="s">
        <v>320</v>
      </c>
      <c r="E201" s="248">
        <v>82</v>
      </c>
      <c r="F201" s="248">
        <v>1</v>
      </c>
      <c r="G201" s="248">
        <v>32</v>
      </c>
      <c r="H201" s="249">
        <v>609</v>
      </c>
      <c r="I201" s="250">
        <v>280</v>
      </c>
      <c r="J201" s="251">
        <f>I201/F201</f>
        <v>280</v>
      </c>
      <c r="K201" s="252">
        <f>+H201/I201</f>
        <v>2.175</v>
      </c>
      <c r="L201" s="253">
        <v>518456</v>
      </c>
      <c r="M201" s="254">
        <v>62946</v>
      </c>
      <c r="N201" s="272">
        <f>+L202/M202</f>
        <v>9.45266514098822</v>
      </c>
      <c r="O201" s="244">
        <v>1</v>
      </c>
    </row>
    <row r="202" spans="1:15" ht="12" customHeight="1">
      <c r="A202" s="228">
        <v>199</v>
      </c>
      <c r="B202" s="281" t="s">
        <v>278</v>
      </c>
      <c r="C202" s="265">
        <v>39808</v>
      </c>
      <c r="D202" s="344" t="s">
        <v>320</v>
      </c>
      <c r="E202" s="276">
        <v>112</v>
      </c>
      <c r="F202" s="276">
        <v>1</v>
      </c>
      <c r="G202" s="276">
        <v>58</v>
      </c>
      <c r="H202" s="267">
        <v>608</v>
      </c>
      <c r="I202" s="268">
        <v>280</v>
      </c>
      <c r="J202" s="269">
        <f>I202/F202</f>
        <v>280</v>
      </c>
      <c r="K202" s="270">
        <f>+H202/I202</f>
        <v>2.1714285714285713</v>
      </c>
      <c r="L202" s="271">
        <v>2069368</v>
      </c>
      <c r="M202" s="269">
        <v>218919</v>
      </c>
      <c r="N202" s="255">
        <f>L203/M203</f>
        <v>9.448968039114536</v>
      </c>
      <c r="O202" s="340">
        <v>1</v>
      </c>
    </row>
    <row r="203" spans="1:15" ht="12" customHeight="1">
      <c r="A203" s="228">
        <v>200</v>
      </c>
      <c r="B203" s="245" t="s">
        <v>278</v>
      </c>
      <c r="C203" s="265">
        <v>39808</v>
      </c>
      <c r="D203" s="344" t="s">
        <v>320</v>
      </c>
      <c r="E203" s="276">
        <v>112</v>
      </c>
      <c r="F203" s="276">
        <v>1</v>
      </c>
      <c r="G203" s="276">
        <v>74</v>
      </c>
      <c r="H203" s="263">
        <v>608</v>
      </c>
      <c r="I203" s="258">
        <v>280</v>
      </c>
      <c r="J203" s="269">
        <f>I203/F203</f>
        <v>280</v>
      </c>
      <c r="K203" s="270">
        <f>+H203/I203</f>
        <v>2.1714285714285713</v>
      </c>
      <c r="L203" s="271">
        <v>2069787</v>
      </c>
      <c r="M203" s="269">
        <v>219049</v>
      </c>
      <c r="N203" s="272">
        <f>+L203/M203</f>
        <v>9.448968039114536</v>
      </c>
      <c r="O203" s="262">
        <v>1</v>
      </c>
    </row>
    <row r="204" spans="1:15" ht="12" customHeight="1">
      <c r="A204" s="228">
        <v>201</v>
      </c>
      <c r="B204" s="245" t="s">
        <v>126</v>
      </c>
      <c r="C204" s="265">
        <v>40130</v>
      </c>
      <c r="D204" s="247" t="s">
        <v>322</v>
      </c>
      <c r="E204" s="276">
        <v>13</v>
      </c>
      <c r="F204" s="276">
        <v>1</v>
      </c>
      <c r="G204" s="276">
        <v>19</v>
      </c>
      <c r="H204" s="267">
        <v>4160</v>
      </c>
      <c r="I204" s="268">
        <v>1040</v>
      </c>
      <c r="J204" s="269">
        <f>(I204/F204)</f>
        <v>1040</v>
      </c>
      <c r="K204" s="270">
        <f>H204/I204</f>
        <v>4</v>
      </c>
      <c r="L204" s="271">
        <f>61012+24426+6122+10040+4081+228+2698+1216+1678.5+1457+452+472+1209.4+1001.04+947+262+901+178+4160</f>
        <v>122540.93999999999</v>
      </c>
      <c r="M204" s="269">
        <f>5982+2401+678+1620+879+42+433+305+334+339+195+86+256+229+130+31+125+25+1040</f>
        <v>15130</v>
      </c>
      <c r="N204" s="272">
        <f>L204/M204</f>
        <v>8.099202908129543</v>
      </c>
      <c r="O204" s="341">
        <v>1</v>
      </c>
    </row>
    <row r="205" spans="1:15" ht="12" customHeight="1">
      <c r="A205" s="228">
        <v>202</v>
      </c>
      <c r="B205" s="245" t="s">
        <v>127</v>
      </c>
      <c r="C205" s="265">
        <v>40130</v>
      </c>
      <c r="D205" s="247" t="s">
        <v>322</v>
      </c>
      <c r="E205" s="276">
        <v>13</v>
      </c>
      <c r="F205" s="276">
        <v>1</v>
      </c>
      <c r="G205" s="276">
        <v>20</v>
      </c>
      <c r="H205" s="267">
        <v>2376</v>
      </c>
      <c r="I205" s="268">
        <v>594</v>
      </c>
      <c r="J205" s="269">
        <f>(I205/F205)</f>
        <v>594</v>
      </c>
      <c r="K205" s="270">
        <f>H205/I205</f>
        <v>4</v>
      </c>
      <c r="L205" s="271">
        <f>61012+24426+6122+10040+4081+228+2698+1216+1678.5+1457+452+472+1209.4+1001.04+947+262+901+178+4160+2376</f>
        <v>124916.93999999999</v>
      </c>
      <c r="M205" s="269">
        <f>5982+2401+678+1620+879+42+433+305+334+339+195+86+256+229+130+31+125+25+1040+594</f>
        <v>15724</v>
      </c>
      <c r="N205" s="272">
        <f>L205/M205</f>
        <v>7.944348766217247</v>
      </c>
      <c r="O205" s="341">
        <v>1</v>
      </c>
    </row>
    <row r="206" spans="1:15" ht="12" customHeight="1">
      <c r="A206" s="228">
        <v>203</v>
      </c>
      <c r="B206" s="281" t="s">
        <v>128</v>
      </c>
      <c r="C206" s="265">
        <v>40130</v>
      </c>
      <c r="D206" s="275" t="s">
        <v>322</v>
      </c>
      <c r="E206" s="276">
        <v>13</v>
      </c>
      <c r="F206" s="276">
        <v>4</v>
      </c>
      <c r="G206" s="276">
        <v>9</v>
      </c>
      <c r="H206" s="249">
        <v>1678.5</v>
      </c>
      <c r="I206" s="250">
        <v>334</v>
      </c>
      <c r="J206" s="251">
        <f>(I206/F206)</f>
        <v>83.5</v>
      </c>
      <c r="K206" s="252">
        <f>H206/I206</f>
        <v>5.025449101796407</v>
      </c>
      <c r="L206" s="253">
        <f>61012+24426+6122+10040+4081+228+2698+1216+1678.5</f>
        <v>111501.5</v>
      </c>
      <c r="M206" s="254">
        <f>5982+2401+678+1620+879+42+433+305+334</f>
        <v>12674</v>
      </c>
      <c r="N206" s="255">
        <f>L207/M207</f>
        <v>8.680434949665718</v>
      </c>
      <c r="O206" s="335">
        <v>1</v>
      </c>
    </row>
    <row r="207" spans="1:15" ht="12" customHeight="1">
      <c r="A207" s="228">
        <v>204</v>
      </c>
      <c r="B207" s="304" t="s">
        <v>128</v>
      </c>
      <c r="C207" s="305">
        <v>40130</v>
      </c>
      <c r="D207" s="275" t="s">
        <v>322</v>
      </c>
      <c r="E207" s="306">
        <v>13</v>
      </c>
      <c r="F207" s="306">
        <v>2</v>
      </c>
      <c r="G207" s="306">
        <v>10</v>
      </c>
      <c r="H207" s="249">
        <v>1457</v>
      </c>
      <c r="I207" s="258">
        <v>339</v>
      </c>
      <c r="J207" s="259">
        <f>(I207/F207)</f>
        <v>169.5</v>
      </c>
      <c r="K207" s="260">
        <f>H207/I207</f>
        <v>4.297935103244837</v>
      </c>
      <c r="L207" s="253">
        <f>61012+24426+6122+10040+4081+228+2698+1216+1678.5+1457</f>
        <v>112958.5</v>
      </c>
      <c r="M207" s="261">
        <f>5982+2401+678+1620+879+42+433+305+334+339</f>
        <v>13013</v>
      </c>
      <c r="N207" s="255">
        <f>L208/M208</f>
        <v>8.899756888168557</v>
      </c>
      <c r="O207" s="274">
        <v>1</v>
      </c>
    </row>
    <row r="208" spans="1:15" ht="12" customHeight="1">
      <c r="A208" s="228">
        <v>205</v>
      </c>
      <c r="B208" s="281" t="s">
        <v>128</v>
      </c>
      <c r="C208" s="265">
        <v>40130</v>
      </c>
      <c r="D208" s="275" t="s">
        <v>322</v>
      </c>
      <c r="E208" s="276">
        <v>13</v>
      </c>
      <c r="F208" s="276">
        <v>2</v>
      </c>
      <c r="G208" s="276">
        <v>8</v>
      </c>
      <c r="H208" s="249">
        <v>1216</v>
      </c>
      <c r="I208" s="250">
        <v>305</v>
      </c>
      <c r="J208" s="251">
        <f>(I208/F208)</f>
        <v>152.5</v>
      </c>
      <c r="K208" s="260">
        <f>H208/I208</f>
        <v>3.9868852459016395</v>
      </c>
      <c r="L208" s="253">
        <f>61012+24426+6122+10040+4081+228+2698+1216</f>
        <v>109823</v>
      </c>
      <c r="M208" s="254">
        <f>5982+2401+678+1620+879+42+433+305</f>
        <v>12340</v>
      </c>
      <c r="N208" s="272">
        <f>L209/M209</f>
        <v>8.493867158671586</v>
      </c>
      <c r="O208" s="338">
        <v>1</v>
      </c>
    </row>
    <row r="209" spans="1:15" ht="12" customHeight="1">
      <c r="A209" s="228">
        <v>206</v>
      </c>
      <c r="B209" s="245" t="s">
        <v>128</v>
      </c>
      <c r="C209" s="265">
        <v>40130</v>
      </c>
      <c r="D209" s="275" t="s">
        <v>322</v>
      </c>
      <c r="E209" s="287">
        <v>13</v>
      </c>
      <c r="F209" s="287">
        <v>1</v>
      </c>
      <c r="G209" s="287">
        <v>13</v>
      </c>
      <c r="H209" s="288">
        <v>1209.4</v>
      </c>
      <c r="I209" s="289">
        <v>256</v>
      </c>
      <c r="J209" s="283">
        <f>I209/F209</f>
        <v>256</v>
      </c>
      <c r="K209" s="285">
        <f>+H209/I209</f>
        <v>4.72421875</v>
      </c>
      <c r="L209" s="284">
        <f>61012+24426+6122+10040+4081+228+2698+1216+1678.5+1457+452+472+1209.4</f>
        <v>115091.9</v>
      </c>
      <c r="M209" s="283">
        <f>5982+2401+678+1620+879+42+433+305+334+339+195+86+256</f>
        <v>13550</v>
      </c>
      <c r="N209" s="290">
        <f>+L209/M209</f>
        <v>8.493867158671586</v>
      </c>
      <c r="O209" s="262">
        <v>1</v>
      </c>
    </row>
    <row r="210" spans="1:15" ht="12" customHeight="1">
      <c r="A210" s="228">
        <v>207</v>
      </c>
      <c r="B210" s="245" t="s">
        <v>128</v>
      </c>
      <c r="C210" s="265">
        <v>40130</v>
      </c>
      <c r="D210" s="275" t="s">
        <v>322</v>
      </c>
      <c r="E210" s="287">
        <v>13</v>
      </c>
      <c r="F210" s="287">
        <v>1</v>
      </c>
      <c r="G210" s="287">
        <v>14</v>
      </c>
      <c r="H210" s="288">
        <v>1001.04</v>
      </c>
      <c r="I210" s="289">
        <v>229</v>
      </c>
      <c r="J210" s="283">
        <f>(I210/F210)</f>
        <v>229</v>
      </c>
      <c r="K210" s="285">
        <f aca="true" t="shared" si="23" ref="K210:K217">H210/I210</f>
        <v>4.371353711790393</v>
      </c>
      <c r="L210" s="284">
        <f>61012+24426+6122+10040+4081+228+2698+1216+1678.5+1457+452+472+1209.4+1001.04</f>
        <v>116092.93999999999</v>
      </c>
      <c r="M210" s="283">
        <f>5982+2401+678+1620+879+42+433+305+334+339+195+86+256+229</f>
        <v>13779</v>
      </c>
      <c r="N210" s="290">
        <f>L210/M210</f>
        <v>8.425353073517671</v>
      </c>
      <c r="O210" s="262">
        <v>1</v>
      </c>
    </row>
    <row r="211" spans="1:15" ht="12" customHeight="1">
      <c r="A211" s="228">
        <v>208</v>
      </c>
      <c r="B211" s="245" t="s">
        <v>128</v>
      </c>
      <c r="C211" s="265">
        <v>40130</v>
      </c>
      <c r="D211" s="275" t="s">
        <v>322</v>
      </c>
      <c r="E211" s="287">
        <v>13</v>
      </c>
      <c r="F211" s="287">
        <v>3</v>
      </c>
      <c r="G211" s="287">
        <v>15</v>
      </c>
      <c r="H211" s="288">
        <v>947</v>
      </c>
      <c r="I211" s="326">
        <v>130</v>
      </c>
      <c r="J211" s="269">
        <f>(I211/F211)</f>
        <v>43.333333333333336</v>
      </c>
      <c r="K211" s="270">
        <f t="shared" si="23"/>
        <v>7.2846153846153845</v>
      </c>
      <c r="L211" s="271">
        <f>61012+24426+6122+10040+4081+228+2698+1216+1678.5+1457+452+472+1209.4+1001.04+947</f>
        <v>117039.93999999999</v>
      </c>
      <c r="M211" s="269">
        <f>5982+2401+678+1620+879+42+433+305+334+339+195+86+256+229+130</f>
        <v>13909</v>
      </c>
      <c r="N211" s="272">
        <f>L211/M211</f>
        <v>8.414691207132073</v>
      </c>
      <c r="O211" s="338">
        <v>1</v>
      </c>
    </row>
    <row r="212" spans="1:15" ht="12" customHeight="1">
      <c r="A212" s="228">
        <v>209</v>
      </c>
      <c r="B212" s="245" t="s">
        <v>128</v>
      </c>
      <c r="C212" s="246">
        <v>40130</v>
      </c>
      <c r="D212" s="247" t="s">
        <v>334</v>
      </c>
      <c r="E212" s="248">
        <v>13</v>
      </c>
      <c r="F212" s="248">
        <v>1</v>
      </c>
      <c r="G212" s="248">
        <v>17</v>
      </c>
      <c r="H212" s="249">
        <v>901</v>
      </c>
      <c r="I212" s="250">
        <v>125</v>
      </c>
      <c r="J212" s="251">
        <f>I212/F212</f>
        <v>125</v>
      </c>
      <c r="K212" s="260">
        <f t="shared" si="23"/>
        <v>7.208</v>
      </c>
      <c r="L212" s="253">
        <f>61012+24426+6122+10040+4081+228+2698+1216+1678.5+1457+452+472+1209.4+1001.04+947+262+901</f>
        <v>118202.93999999999</v>
      </c>
      <c r="M212" s="254">
        <f>5982+2401+678+1620+879+42+433+305+334+339+195+86+256+229+130+31+125</f>
        <v>14065</v>
      </c>
      <c r="N212" s="255">
        <f>+L212/M212</f>
        <v>8.40404834696054</v>
      </c>
      <c r="O212" s="346">
        <v>1</v>
      </c>
    </row>
    <row r="213" spans="1:15" ht="12" customHeight="1">
      <c r="A213" s="228">
        <v>210</v>
      </c>
      <c r="B213" s="281" t="s">
        <v>128</v>
      </c>
      <c r="C213" s="308">
        <v>40130</v>
      </c>
      <c r="D213" s="275" t="s">
        <v>322</v>
      </c>
      <c r="E213" s="287">
        <v>13</v>
      </c>
      <c r="F213" s="287">
        <v>1</v>
      </c>
      <c r="G213" s="287">
        <v>12</v>
      </c>
      <c r="H213" s="288">
        <v>472</v>
      </c>
      <c r="I213" s="289">
        <v>86</v>
      </c>
      <c r="J213" s="283">
        <f>(I213/F213)</f>
        <v>86</v>
      </c>
      <c r="K213" s="285">
        <f t="shared" si="23"/>
        <v>5.488372093023256</v>
      </c>
      <c r="L213" s="284">
        <f>61012+24426+6122+10040+4081+228+2698+1216+1678.5+1457+452+472</f>
        <v>113882.5</v>
      </c>
      <c r="M213" s="283">
        <f>5982+2401+678+1620+879+42+433+305+334+339+195+86</f>
        <v>13294</v>
      </c>
      <c r="N213" s="255">
        <f>L214/M214</f>
        <v>8.58650060569352</v>
      </c>
      <c r="O213" s="262">
        <v>1</v>
      </c>
    </row>
    <row r="214" spans="1:15" ht="12" customHeight="1">
      <c r="A214" s="228">
        <v>211</v>
      </c>
      <c r="B214" s="281" t="s">
        <v>128</v>
      </c>
      <c r="C214" s="265">
        <v>40130</v>
      </c>
      <c r="D214" s="275" t="s">
        <v>322</v>
      </c>
      <c r="E214" s="276">
        <v>13</v>
      </c>
      <c r="F214" s="276">
        <v>1</v>
      </c>
      <c r="G214" s="276">
        <v>11</v>
      </c>
      <c r="H214" s="263">
        <v>452</v>
      </c>
      <c r="I214" s="258">
        <v>195</v>
      </c>
      <c r="J214" s="259">
        <f>(I214/F214)</f>
        <v>195</v>
      </c>
      <c r="K214" s="260">
        <f t="shared" si="23"/>
        <v>2.317948717948718</v>
      </c>
      <c r="L214" s="264">
        <f>61012+24426+6122+10040+4081+228+2698+1216+1678.5+1457+452</f>
        <v>113410.5</v>
      </c>
      <c r="M214" s="261">
        <f>5982+2401+678+1620+879+42+433+305+334+339+195</f>
        <v>13208</v>
      </c>
      <c r="N214" s="299">
        <f>IF(L215&lt;&gt;0,L215/M215,"")</f>
        <v>8.41477331420373</v>
      </c>
      <c r="O214" s="347">
        <v>1</v>
      </c>
    </row>
    <row r="215" spans="1:15" ht="12" customHeight="1">
      <c r="A215" s="228">
        <v>212</v>
      </c>
      <c r="B215" s="325" t="s">
        <v>129</v>
      </c>
      <c r="C215" s="265">
        <v>40130</v>
      </c>
      <c r="D215" s="275" t="s">
        <v>322</v>
      </c>
      <c r="E215" s="276">
        <v>13</v>
      </c>
      <c r="F215" s="276">
        <v>1</v>
      </c>
      <c r="G215" s="276">
        <v>16</v>
      </c>
      <c r="H215" s="263">
        <v>262</v>
      </c>
      <c r="I215" s="258">
        <v>31</v>
      </c>
      <c r="J215" s="259">
        <f>(I215/F215)</f>
        <v>31</v>
      </c>
      <c r="K215" s="260">
        <f t="shared" si="23"/>
        <v>8.451612903225806</v>
      </c>
      <c r="L215" s="264">
        <f>61012+24426+6122+10040+4081+228+2698+1216+1678.5+1457+452+472+1209.4+1001.04+947+262</f>
        <v>117301.93999999999</v>
      </c>
      <c r="M215" s="261">
        <f>5982+2401+678+1620+879+42+433+305+334+339+195+86+256+229+130+31</f>
        <v>13940</v>
      </c>
      <c r="N215" s="255">
        <f>L215/M215</f>
        <v>8.41477331420373</v>
      </c>
      <c r="O215" s="262">
        <v>1</v>
      </c>
    </row>
    <row r="216" spans="1:15" ht="12" customHeight="1">
      <c r="A216" s="228">
        <v>213</v>
      </c>
      <c r="B216" s="245" t="s">
        <v>127</v>
      </c>
      <c r="C216" s="246">
        <v>40130</v>
      </c>
      <c r="D216" s="247" t="s">
        <v>322</v>
      </c>
      <c r="E216" s="248">
        <v>13</v>
      </c>
      <c r="F216" s="248">
        <v>1</v>
      </c>
      <c r="G216" s="248">
        <v>18</v>
      </c>
      <c r="H216" s="249">
        <v>178</v>
      </c>
      <c r="I216" s="250">
        <v>25</v>
      </c>
      <c r="J216" s="251">
        <f>(I216/F216)</f>
        <v>25</v>
      </c>
      <c r="K216" s="260">
        <f t="shared" si="23"/>
        <v>7.12</v>
      </c>
      <c r="L216" s="253">
        <f>61012+24426+6122+10040+4081+228+2698+1216+1678.5+1457+452+472+1209.4+1001.04+947+262+901+178</f>
        <v>118380.93999999999</v>
      </c>
      <c r="M216" s="254">
        <f>5982+2401+678+1620+879+42+433+305+334+339+195+86+256+229+130+31+125+25</f>
        <v>14090</v>
      </c>
      <c r="N216" s="255">
        <f>L216/M216</f>
        <v>8.401770049680623</v>
      </c>
      <c r="O216" s="335">
        <v>1</v>
      </c>
    </row>
    <row r="217" spans="1:15" ht="12" customHeight="1">
      <c r="A217" s="228">
        <v>214</v>
      </c>
      <c r="B217" s="245" t="s">
        <v>250</v>
      </c>
      <c r="C217" s="265">
        <v>39857</v>
      </c>
      <c r="D217" s="247" t="s">
        <v>322</v>
      </c>
      <c r="E217" s="276">
        <v>41</v>
      </c>
      <c r="F217" s="276">
        <v>1</v>
      </c>
      <c r="G217" s="276">
        <v>27</v>
      </c>
      <c r="H217" s="267">
        <v>120</v>
      </c>
      <c r="I217" s="268">
        <v>10</v>
      </c>
      <c r="J217" s="269">
        <f>(I217/F217)</f>
        <v>10</v>
      </c>
      <c r="K217" s="270">
        <f t="shared" si="23"/>
        <v>12</v>
      </c>
      <c r="L217" s="271">
        <f>237955+174160.5+33697.5+17295.5+3111+908+14803+5802.5+3727+1295+1110+1441+1172+3872+566+382+2610+464+500+1166+2988+448+1533+1286+188+476+120</f>
        <v>513077</v>
      </c>
      <c r="M217" s="269">
        <f>21828+16711+3926+2842+612+184+2267+940+496+230+202+304+208+948+71+57+590+58+50+248+747+78+191+91+22+119+10</f>
        <v>54030</v>
      </c>
      <c r="N217" s="272">
        <f>L217/M217</f>
        <v>9.496150286877661</v>
      </c>
      <c r="O217" s="262"/>
    </row>
    <row r="218" spans="1:15" ht="12" customHeight="1">
      <c r="A218" s="228">
        <v>215</v>
      </c>
      <c r="B218" s="245" t="s">
        <v>382</v>
      </c>
      <c r="C218" s="246">
        <v>40158</v>
      </c>
      <c r="D218" s="247" t="s">
        <v>444</v>
      </c>
      <c r="E218" s="248">
        <v>6</v>
      </c>
      <c r="F218" s="248">
        <v>1</v>
      </c>
      <c r="G218" s="248">
        <v>10</v>
      </c>
      <c r="H218" s="249">
        <v>2376</v>
      </c>
      <c r="I218" s="250">
        <v>475</v>
      </c>
      <c r="J218" s="251">
        <f>IF(H218&lt;&gt;0,I218/F218,"")</f>
        <v>475</v>
      </c>
      <c r="K218" s="260">
        <f>IF(H218&lt;&gt;0,H218/I218,"")</f>
        <v>5.002105263157895</v>
      </c>
      <c r="L218" s="253">
        <v>55074.5</v>
      </c>
      <c r="M218" s="254">
        <v>5549</v>
      </c>
      <c r="N218" s="255">
        <f>IF(L218&lt;&gt;0,L218/M218,"")</f>
        <v>9.925121643539377</v>
      </c>
      <c r="O218" s="348"/>
    </row>
    <row r="219" spans="1:15" ht="12" customHeight="1">
      <c r="A219" s="228">
        <v>216</v>
      </c>
      <c r="B219" s="245" t="s">
        <v>382</v>
      </c>
      <c r="C219" s="265">
        <v>40158</v>
      </c>
      <c r="D219" s="336" t="s">
        <v>418</v>
      </c>
      <c r="E219" s="287">
        <v>6</v>
      </c>
      <c r="F219" s="287">
        <v>1</v>
      </c>
      <c r="G219" s="287">
        <v>9</v>
      </c>
      <c r="H219" s="288">
        <v>1782</v>
      </c>
      <c r="I219" s="326">
        <v>356</v>
      </c>
      <c r="J219" s="269">
        <f>IF(H219&lt;&gt;0,I219/F219,"")</f>
        <v>356</v>
      </c>
      <c r="K219" s="270">
        <f>IF(H219&lt;&gt;0,H219/I219,"")</f>
        <v>5.00561797752809</v>
      </c>
      <c r="L219" s="271">
        <v>52698.5</v>
      </c>
      <c r="M219" s="269">
        <v>5074</v>
      </c>
      <c r="N219" s="272">
        <f>IF(L219&lt;&gt;0,L219/M219,"")</f>
        <v>10.385987386677177</v>
      </c>
      <c r="O219" s="262"/>
    </row>
    <row r="220" spans="1:15" ht="12" customHeight="1">
      <c r="A220" s="228">
        <v>217</v>
      </c>
      <c r="B220" s="245" t="s">
        <v>382</v>
      </c>
      <c r="C220" s="246">
        <v>40158</v>
      </c>
      <c r="D220" s="286" t="s">
        <v>418</v>
      </c>
      <c r="E220" s="248">
        <v>6</v>
      </c>
      <c r="F220" s="248">
        <v>3</v>
      </c>
      <c r="G220" s="248">
        <v>4</v>
      </c>
      <c r="H220" s="294">
        <v>1098</v>
      </c>
      <c r="I220" s="300">
        <v>177</v>
      </c>
      <c r="J220" s="301">
        <f>IF(H220&lt;&gt;0,I220/F220,"")</f>
        <v>59</v>
      </c>
      <c r="K220" s="302">
        <f>IF(H220&lt;&gt;0,H220/I220,"")</f>
        <v>6.203389830508475</v>
      </c>
      <c r="L220" s="298">
        <v>48973</v>
      </c>
      <c r="M220" s="283">
        <v>4330</v>
      </c>
      <c r="N220" s="272">
        <f>+L221/M221</f>
        <v>10.791966935142009</v>
      </c>
      <c r="O220" s="244"/>
    </row>
    <row r="221" spans="1:15" ht="12" customHeight="1">
      <c r="A221" s="228">
        <v>218</v>
      </c>
      <c r="B221" s="324" t="s">
        <v>382</v>
      </c>
      <c r="C221" s="308">
        <v>40158</v>
      </c>
      <c r="D221" s="336" t="s">
        <v>418</v>
      </c>
      <c r="E221" s="287">
        <v>6</v>
      </c>
      <c r="F221" s="287">
        <v>1</v>
      </c>
      <c r="G221" s="287">
        <v>8</v>
      </c>
      <c r="H221" s="288">
        <v>750</v>
      </c>
      <c r="I221" s="289">
        <v>125</v>
      </c>
      <c r="J221" s="283">
        <f>I221/F221</f>
        <v>125</v>
      </c>
      <c r="K221" s="285">
        <f>H221/I221</f>
        <v>6</v>
      </c>
      <c r="L221" s="284">
        <v>50916.5</v>
      </c>
      <c r="M221" s="283">
        <v>4718</v>
      </c>
      <c r="N221" s="299">
        <f>IF(L222&lt;&gt;0,L222/M222,"")</f>
        <v>10.9223818854779</v>
      </c>
      <c r="O221" s="262"/>
    </row>
    <row r="222" spans="1:15" ht="12" customHeight="1">
      <c r="A222" s="228">
        <v>219</v>
      </c>
      <c r="B222" s="281" t="s">
        <v>382</v>
      </c>
      <c r="C222" s="265">
        <v>40158</v>
      </c>
      <c r="D222" s="286" t="s">
        <v>418</v>
      </c>
      <c r="E222" s="276">
        <v>6</v>
      </c>
      <c r="F222" s="276">
        <v>1</v>
      </c>
      <c r="G222" s="276">
        <v>7</v>
      </c>
      <c r="H222" s="280">
        <v>629.5</v>
      </c>
      <c r="I222" s="282">
        <v>173</v>
      </c>
      <c r="J222" s="283">
        <f>I222/F222</f>
        <v>173</v>
      </c>
      <c r="K222" s="285">
        <f>H222/I222</f>
        <v>3.638728323699422</v>
      </c>
      <c r="L222" s="284">
        <v>50166.5</v>
      </c>
      <c r="M222" s="283">
        <v>4593</v>
      </c>
      <c r="N222" s="299">
        <f>IF(L223&lt;&gt;0,L223/M223,"")</f>
        <v>11.23323482609684</v>
      </c>
      <c r="O222" s="345">
        <v>1</v>
      </c>
    </row>
    <row r="223" spans="1:15" ht="12" customHeight="1">
      <c r="A223" s="228">
        <v>220</v>
      </c>
      <c r="B223" s="245" t="s">
        <v>382</v>
      </c>
      <c r="C223" s="246">
        <v>40158</v>
      </c>
      <c r="D223" s="286" t="s">
        <v>418</v>
      </c>
      <c r="E223" s="248">
        <v>6</v>
      </c>
      <c r="F223" s="248">
        <v>4</v>
      </c>
      <c r="G223" s="248">
        <v>5</v>
      </c>
      <c r="H223" s="294">
        <v>442</v>
      </c>
      <c r="I223" s="295">
        <v>69</v>
      </c>
      <c r="J223" s="296">
        <f>IF(H223&lt;&gt;0,I223/F223,"")</f>
        <v>17.25</v>
      </c>
      <c r="K223" s="297">
        <f>IF(H223&lt;&gt;0,H223/I223,"")</f>
        <v>6.405797101449275</v>
      </c>
      <c r="L223" s="298">
        <v>49415</v>
      </c>
      <c r="M223" s="269">
        <v>4399</v>
      </c>
      <c r="N223" s="272">
        <f>IF(L224&lt;&gt;0,L224/M224,"")</f>
        <v>11.207466063348416</v>
      </c>
      <c r="O223" s="262">
        <v>1</v>
      </c>
    </row>
    <row r="224" spans="1:15" ht="12" customHeight="1">
      <c r="A224" s="228">
        <v>221</v>
      </c>
      <c r="B224" s="281" t="s">
        <v>382</v>
      </c>
      <c r="C224" s="265">
        <v>40158</v>
      </c>
      <c r="D224" s="286" t="s">
        <v>418</v>
      </c>
      <c r="E224" s="276">
        <v>6</v>
      </c>
      <c r="F224" s="276">
        <v>1</v>
      </c>
      <c r="G224" s="276">
        <v>6</v>
      </c>
      <c r="H224" s="267">
        <v>122</v>
      </c>
      <c r="I224" s="268">
        <v>21</v>
      </c>
      <c r="J224" s="269">
        <f>IF(H224&lt;&gt;0,I224/F224,"")</f>
        <v>21</v>
      </c>
      <c r="K224" s="270">
        <f>IF(H224&lt;&gt;0,H224/I224,"")</f>
        <v>5.809523809523809</v>
      </c>
      <c r="L224" s="271">
        <v>49537</v>
      </c>
      <c r="M224" s="269">
        <v>4420</v>
      </c>
      <c r="N224" s="272">
        <f>+L225/M225</f>
        <v>8.968447185072476</v>
      </c>
      <c r="O224" s="256">
        <v>1</v>
      </c>
    </row>
    <row r="225" spans="1:15" ht="12" customHeight="1">
      <c r="A225" s="228">
        <v>222</v>
      </c>
      <c r="B225" s="245" t="s">
        <v>475</v>
      </c>
      <c r="C225" s="265">
        <v>40074</v>
      </c>
      <c r="D225" s="336" t="s">
        <v>418</v>
      </c>
      <c r="E225" s="287">
        <v>65</v>
      </c>
      <c r="F225" s="287">
        <v>1</v>
      </c>
      <c r="G225" s="287">
        <v>13</v>
      </c>
      <c r="H225" s="288">
        <v>539</v>
      </c>
      <c r="I225" s="289">
        <v>73</v>
      </c>
      <c r="J225" s="283">
        <f>I225/F225</f>
        <v>73</v>
      </c>
      <c r="K225" s="285">
        <f>+H225/I225</f>
        <v>7.383561643835616</v>
      </c>
      <c r="L225" s="284">
        <v>559945</v>
      </c>
      <c r="M225" s="283">
        <v>62435</v>
      </c>
      <c r="N225" s="290">
        <f>+L225/M225</f>
        <v>8.968447185072476</v>
      </c>
      <c r="O225" s="262">
        <v>1</v>
      </c>
    </row>
    <row r="226" spans="1:15" ht="12" customHeight="1">
      <c r="A226" s="228">
        <v>223</v>
      </c>
      <c r="B226" s="245" t="s">
        <v>475</v>
      </c>
      <c r="C226" s="246">
        <v>40074</v>
      </c>
      <c r="D226" s="286" t="s">
        <v>418</v>
      </c>
      <c r="E226" s="248">
        <v>65</v>
      </c>
      <c r="F226" s="248">
        <v>2</v>
      </c>
      <c r="G226" s="248">
        <v>11</v>
      </c>
      <c r="H226" s="294">
        <v>448</v>
      </c>
      <c r="I226" s="295">
        <v>83</v>
      </c>
      <c r="J226" s="296">
        <f>IF(H226&lt;&gt;0,I226/F226,"")</f>
        <v>41.5</v>
      </c>
      <c r="K226" s="297">
        <f>IF(H226&lt;&gt;0,H226/I226,"")</f>
        <v>5.397590361445783</v>
      </c>
      <c r="L226" s="298">
        <v>558893</v>
      </c>
      <c r="M226" s="269">
        <v>62285</v>
      </c>
      <c r="N226" s="272">
        <f>IF(L227&lt;&gt;0,L227/M227,"")</f>
        <v>8.970302427760496</v>
      </c>
      <c r="O226" s="262">
        <v>1</v>
      </c>
    </row>
    <row r="227" spans="1:15" ht="12" customHeight="1">
      <c r="A227" s="228">
        <v>224</v>
      </c>
      <c r="B227" s="281" t="s">
        <v>475</v>
      </c>
      <c r="C227" s="265">
        <v>40074</v>
      </c>
      <c r="D227" s="286" t="s">
        <v>418</v>
      </c>
      <c r="E227" s="276">
        <v>65</v>
      </c>
      <c r="F227" s="276">
        <v>1</v>
      </c>
      <c r="G227" s="276">
        <v>12</v>
      </c>
      <c r="H227" s="280">
        <v>433</v>
      </c>
      <c r="I227" s="282">
        <v>61</v>
      </c>
      <c r="J227" s="283">
        <f>IF(H227&lt;&gt;0,I227/F227,"")</f>
        <v>61</v>
      </c>
      <c r="K227" s="285">
        <f>IF(H227&lt;&gt;0,H227/I227,"")</f>
        <v>7.098360655737705</v>
      </c>
      <c r="L227" s="284">
        <v>559406</v>
      </c>
      <c r="M227" s="283">
        <v>62362</v>
      </c>
      <c r="N227" s="272">
        <f>+L228/M228</f>
        <v>7.235833056815249</v>
      </c>
      <c r="O227" s="335">
        <v>1</v>
      </c>
    </row>
    <row r="228" spans="1:15" ht="12" customHeight="1">
      <c r="A228" s="228">
        <v>225</v>
      </c>
      <c r="B228" s="324" t="s">
        <v>490</v>
      </c>
      <c r="C228" s="265">
        <v>39682</v>
      </c>
      <c r="D228" s="275" t="s">
        <v>349</v>
      </c>
      <c r="E228" s="287">
        <v>60</v>
      </c>
      <c r="F228" s="287">
        <v>2</v>
      </c>
      <c r="G228" s="287">
        <v>16</v>
      </c>
      <c r="H228" s="288">
        <v>4320</v>
      </c>
      <c r="I228" s="289">
        <v>783</v>
      </c>
      <c r="J228" s="283">
        <f>I228/F228</f>
        <v>391.5</v>
      </c>
      <c r="K228" s="285">
        <f>H228/I228</f>
        <v>5.517241379310345</v>
      </c>
      <c r="L228" s="284">
        <f>111737+37434.5+11042+9412+0.5+6921+5282+0.5+1449+105+269+162+117+442+7259+305+4320</f>
        <v>196257.5</v>
      </c>
      <c r="M228" s="283">
        <f>13345+4357+1377+1694+1346+1248+225+18+64+40+37+108+2420+61+783</f>
        <v>27123</v>
      </c>
      <c r="N228" s="290">
        <f>+L228/M228</f>
        <v>7.235833056815249</v>
      </c>
      <c r="O228" s="273"/>
    </row>
    <row r="229" spans="1:15" ht="12" customHeight="1">
      <c r="A229" s="228">
        <v>226</v>
      </c>
      <c r="B229" s="245" t="s">
        <v>490</v>
      </c>
      <c r="C229" s="265">
        <v>39682</v>
      </c>
      <c r="D229" s="247" t="s">
        <v>333</v>
      </c>
      <c r="E229" s="276">
        <v>60</v>
      </c>
      <c r="F229" s="276">
        <v>1</v>
      </c>
      <c r="G229" s="276">
        <v>19</v>
      </c>
      <c r="H229" s="267">
        <v>1799</v>
      </c>
      <c r="I229" s="268">
        <v>300</v>
      </c>
      <c r="J229" s="269">
        <f>I229/F229</f>
        <v>300</v>
      </c>
      <c r="K229" s="270">
        <f>H229/I229</f>
        <v>5.996666666666667</v>
      </c>
      <c r="L229" s="271">
        <f>111737+37434.5+11042+9412+0.5+6921+5282+0.5+1449+105+269+162+117+442+7259+305+4320+1922+1799+1799</f>
        <v>201777.5</v>
      </c>
      <c r="M229" s="269">
        <f>13345+4357+1377+1694+1346+1248+225+18+64+40+37+108+2420+61+783+385+300+300</f>
        <v>28108</v>
      </c>
      <c r="N229" s="272">
        <f>+L229/M229</f>
        <v>7.178650206346948</v>
      </c>
      <c r="O229" s="274"/>
    </row>
    <row r="230" spans="1:15" ht="12" customHeight="1">
      <c r="A230" s="228">
        <v>227</v>
      </c>
      <c r="B230" s="245" t="s">
        <v>490</v>
      </c>
      <c r="C230" s="265">
        <v>39682</v>
      </c>
      <c r="D230" s="275" t="s">
        <v>333</v>
      </c>
      <c r="E230" s="276">
        <v>60</v>
      </c>
      <c r="F230" s="276">
        <v>1</v>
      </c>
      <c r="G230" s="276">
        <v>18</v>
      </c>
      <c r="H230" s="263">
        <v>1799</v>
      </c>
      <c r="I230" s="258">
        <v>300</v>
      </c>
      <c r="J230" s="269">
        <f>I230/F230</f>
        <v>300</v>
      </c>
      <c r="K230" s="270">
        <f>H230/I230</f>
        <v>5.996666666666667</v>
      </c>
      <c r="L230" s="271">
        <f>111737+37434.5+11042+9412+0.5+6921+5282+0.5+1449+105+269+162+117+442+7259+305+4320+1922+1799</f>
        <v>199978.5</v>
      </c>
      <c r="M230" s="269">
        <f>13345+4357+1377+1694+1346+1248+225+18+64+40+37+108+2420+61+783+385+300</f>
        <v>27808</v>
      </c>
      <c r="N230" s="272">
        <f>+L230/M230</f>
        <v>7.191401754890679</v>
      </c>
      <c r="O230" s="335"/>
    </row>
    <row r="231" spans="1:15" ht="12" customHeight="1">
      <c r="A231" s="228">
        <v>228</v>
      </c>
      <c r="B231" s="420" t="s">
        <v>490</v>
      </c>
      <c r="C231" s="408">
        <v>39682</v>
      </c>
      <c r="D231" s="409" t="s">
        <v>333</v>
      </c>
      <c r="E231" s="407">
        <v>60</v>
      </c>
      <c r="F231" s="407">
        <v>1</v>
      </c>
      <c r="G231" s="407">
        <v>20</v>
      </c>
      <c r="H231" s="410">
        <v>135</v>
      </c>
      <c r="I231" s="411">
        <v>15</v>
      </c>
      <c r="J231" s="269">
        <v>9.34</v>
      </c>
      <c r="K231" s="270">
        <v>6.34142581141759</v>
      </c>
      <c r="L231" s="412">
        <f>111737+37434.5+11042+9412+0.5+6921+5282+0.5+1449+105+269+162+117+442+7259+305+4320+1922+1799+1799+135</f>
        <v>201912.5</v>
      </c>
      <c r="M231" s="413">
        <f>13345+4357+1377+1694+1346+1248+225+18+64+40+37+108+2420+61+783+385+300+300+15</f>
        <v>28123</v>
      </c>
      <c r="N231" s="272">
        <v>4.85572929874161</v>
      </c>
      <c r="O231" s="274">
        <v>1</v>
      </c>
    </row>
    <row r="232" spans="1:15" ht="12" customHeight="1">
      <c r="A232" s="228">
        <v>229</v>
      </c>
      <c r="B232" s="281" t="s">
        <v>354</v>
      </c>
      <c r="C232" s="265">
        <v>40137</v>
      </c>
      <c r="D232" s="344" t="s">
        <v>320</v>
      </c>
      <c r="E232" s="276">
        <v>61</v>
      </c>
      <c r="F232" s="276">
        <v>4</v>
      </c>
      <c r="G232" s="276">
        <v>8</v>
      </c>
      <c r="H232" s="280">
        <v>2148</v>
      </c>
      <c r="I232" s="282">
        <v>594</v>
      </c>
      <c r="J232" s="283">
        <f aca="true" t="shared" si="24" ref="J232:J267">I232/F232</f>
        <v>148.5</v>
      </c>
      <c r="K232" s="285">
        <f>+H232/I232</f>
        <v>3.6161616161616164</v>
      </c>
      <c r="L232" s="284">
        <v>458401</v>
      </c>
      <c r="M232" s="283">
        <v>42433</v>
      </c>
      <c r="N232" s="272">
        <f aca="true" t="shared" si="25" ref="N232:N238">+L233/M233</f>
        <v>10.786334820380372</v>
      </c>
      <c r="O232" s="256">
        <v>1</v>
      </c>
    </row>
    <row r="233" spans="1:15" ht="12" customHeight="1">
      <c r="A233" s="228">
        <v>230</v>
      </c>
      <c r="B233" s="281" t="s">
        <v>354</v>
      </c>
      <c r="C233" s="265">
        <v>40137</v>
      </c>
      <c r="D233" s="344" t="s">
        <v>320</v>
      </c>
      <c r="E233" s="276">
        <v>61</v>
      </c>
      <c r="F233" s="276">
        <v>1</v>
      </c>
      <c r="G233" s="276">
        <v>9</v>
      </c>
      <c r="H233" s="280">
        <v>989</v>
      </c>
      <c r="I233" s="268">
        <v>157</v>
      </c>
      <c r="J233" s="269">
        <f t="shared" si="24"/>
        <v>157</v>
      </c>
      <c r="K233" s="270">
        <f>+H233/I233</f>
        <v>6.2993630573248405</v>
      </c>
      <c r="L233" s="284">
        <v>459390</v>
      </c>
      <c r="M233" s="269">
        <v>42590</v>
      </c>
      <c r="N233" s="349">
        <f t="shared" si="25"/>
        <v>10.9049690480174</v>
      </c>
      <c r="O233" s="262"/>
    </row>
    <row r="234" spans="1:15" ht="12" customHeight="1">
      <c r="A234" s="228">
        <v>231</v>
      </c>
      <c r="B234" s="350" t="s">
        <v>354</v>
      </c>
      <c r="C234" s="351">
        <v>40137</v>
      </c>
      <c r="D234" s="344" t="s">
        <v>320</v>
      </c>
      <c r="E234" s="352">
        <v>61</v>
      </c>
      <c r="F234" s="352">
        <v>1</v>
      </c>
      <c r="G234" s="352">
        <v>7</v>
      </c>
      <c r="H234" s="353">
        <v>768</v>
      </c>
      <c r="I234" s="354">
        <v>63</v>
      </c>
      <c r="J234" s="355">
        <f t="shared" si="24"/>
        <v>63</v>
      </c>
      <c r="K234" s="356">
        <f>+H234/I234</f>
        <v>12.19047619047619</v>
      </c>
      <c r="L234" s="357">
        <v>456253</v>
      </c>
      <c r="M234" s="355">
        <v>41839</v>
      </c>
      <c r="N234" s="272">
        <f t="shared" si="25"/>
        <v>12.07937714967594</v>
      </c>
      <c r="O234" s="262"/>
    </row>
    <row r="235" spans="1:15" ht="12" customHeight="1">
      <c r="A235" s="228">
        <v>232</v>
      </c>
      <c r="B235" s="245" t="s">
        <v>355</v>
      </c>
      <c r="C235" s="265">
        <v>40137</v>
      </c>
      <c r="D235" s="247" t="s">
        <v>321</v>
      </c>
      <c r="E235" s="276">
        <v>20</v>
      </c>
      <c r="F235" s="276">
        <v>2</v>
      </c>
      <c r="G235" s="276">
        <v>11</v>
      </c>
      <c r="H235" s="267">
        <v>12778</v>
      </c>
      <c r="I235" s="268">
        <v>1094</v>
      </c>
      <c r="J235" s="269">
        <f t="shared" si="24"/>
        <v>547</v>
      </c>
      <c r="K235" s="270">
        <f>H235/I235</f>
        <v>11.680073126142595</v>
      </c>
      <c r="L235" s="271">
        <f>997860+4193+617+10063+7010+12778</f>
        <v>1032521</v>
      </c>
      <c r="M235" s="269">
        <f>81544+595+106+1265+874+1094</f>
        <v>85478</v>
      </c>
      <c r="N235" s="255">
        <f t="shared" si="25"/>
        <v>12.12708657645791</v>
      </c>
      <c r="O235" s="262"/>
    </row>
    <row r="236" spans="1:15" ht="12" customHeight="1">
      <c r="A236" s="228">
        <v>233</v>
      </c>
      <c r="B236" s="245" t="s">
        <v>355</v>
      </c>
      <c r="C236" s="246">
        <v>40137</v>
      </c>
      <c r="D236" s="247" t="s">
        <v>321</v>
      </c>
      <c r="E236" s="248">
        <v>20</v>
      </c>
      <c r="F236" s="248">
        <v>2</v>
      </c>
      <c r="G236" s="248">
        <v>9</v>
      </c>
      <c r="H236" s="249">
        <v>10063</v>
      </c>
      <c r="I236" s="258">
        <v>1265</v>
      </c>
      <c r="J236" s="259">
        <f t="shared" si="24"/>
        <v>632.5</v>
      </c>
      <c r="K236" s="260">
        <f>H236/I236</f>
        <v>7.95494071146245</v>
      </c>
      <c r="L236" s="253">
        <f>997860+4193+617+10063</f>
        <v>1012733</v>
      </c>
      <c r="M236" s="261">
        <f>81544+595+106+1265</f>
        <v>83510</v>
      </c>
      <c r="N236" s="255">
        <f t="shared" si="25"/>
        <v>12.084553943875616</v>
      </c>
      <c r="O236" s="244"/>
    </row>
    <row r="237" spans="1:15" ht="12" customHeight="1">
      <c r="A237" s="228">
        <v>234</v>
      </c>
      <c r="B237" s="245" t="s">
        <v>355</v>
      </c>
      <c r="C237" s="246">
        <v>40137</v>
      </c>
      <c r="D237" s="247" t="s">
        <v>321</v>
      </c>
      <c r="E237" s="248">
        <v>20</v>
      </c>
      <c r="F237" s="248">
        <v>2</v>
      </c>
      <c r="G237" s="248">
        <v>10</v>
      </c>
      <c r="H237" s="263">
        <v>7010</v>
      </c>
      <c r="I237" s="258">
        <v>874</v>
      </c>
      <c r="J237" s="259">
        <f t="shared" si="24"/>
        <v>437</v>
      </c>
      <c r="K237" s="260">
        <f>H237/I237</f>
        <v>8.020594965675057</v>
      </c>
      <c r="L237" s="264">
        <f>997860+4193+617+10063+7010</f>
        <v>1019743</v>
      </c>
      <c r="M237" s="261">
        <f>81544+595+106+1265+874</f>
        <v>84384</v>
      </c>
      <c r="N237" s="255">
        <f t="shared" si="25"/>
        <v>12.1994789320542</v>
      </c>
      <c r="O237" s="256"/>
    </row>
    <row r="238" spans="1:15" ht="12" customHeight="1">
      <c r="A238" s="228">
        <v>235</v>
      </c>
      <c r="B238" s="245" t="s">
        <v>355</v>
      </c>
      <c r="C238" s="246">
        <v>40137</v>
      </c>
      <c r="D238" s="247" t="s">
        <v>321</v>
      </c>
      <c r="E238" s="248">
        <v>20</v>
      </c>
      <c r="F238" s="248">
        <v>1</v>
      </c>
      <c r="G238" s="248">
        <v>7</v>
      </c>
      <c r="H238" s="249">
        <v>4193</v>
      </c>
      <c r="I238" s="250">
        <v>595</v>
      </c>
      <c r="J238" s="251">
        <f t="shared" si="24"/>
        <v>595</v>
      </c>
      <c r="K238" s="260">
        <f>H238/I238</f>
        <v>7.047058823529412</v>
      </c>
      <c r="L238" s="253">
        <f>997860+4193</f>
        <v>1002053</v>
      </c>
      <c r="M238" s="254">
        <f>81544+595</f>
        <v>82139</v>
      </c>
      <c r="N238" s="272">
        <f t="shared" si="25"/>
        <v>11.964738696755088</v>
      </c>
      <c r="O238" s="262"/>
    </row>
    <row r="239" spans="1:15" ht="12" customHeight="1">
      <c r="A239" s="228">
        <v>236</v>
      </c>
      <c r="B239" s="245" t="s">
        <v>355</v>
      </c>
      <c r="C239" s="265">
        <v>40137</v>
      </c>
      <c r="D239" s="247" t="s">
        <v>321</v>
      </c>
      <c r="E239" s="287">
        <v>20</v>
      </c>
      <c r="F239" s="287">
        <v>1</v>
      </c>
      <c r="G239" s="287">
        <v>23</v>
      </c>
      <c r="H239" s="288">
        <v>1659</v>
      </c>
      <c r="I239" s="289">
        <v>215</v>
      </c>
      <c r="J239" s="283">
        <f t="shared" si="24"/>
        <v>215</v>
      </c>
      <c r="K239" s="285">
        <f>+H239/I239</f>
        <v>7.716279069767442</v>
      </c>
      <c r="L239" s="284">
        <f>1034595+1595+413+264+1393+81+1190+1190+1659</f>
        <v>1042380</v>
      </c>
      <c r="M239" s="283">
        <f>85844+247+59+36+214+30+238+238+215</f>
        <v>87121</v>
      </c>
      <c r="N239" s="290">
        <f>+L239/M239</f>
        <v>11.964738696755088</v>
      </c>
      <c r="O239" s="244"/>
    </row>
    <row r="240" spans="1:15" ht="12" customHeight="1">
      <c r="A240" s="228">
        <v>237</v>
      </c>
      <c r="B240" s="281" t="s">
        <v>355</v>
      </c>
      <c r="C240" s="308">
        <v>40137</v>
      </c>
      <c r="D240" s="247" t="s">
        <v>321</v>
      </c>
      <c r="E240" s="287">
        <v>20</v>
      </c>
      <c r="F240" s="287">
        <v>1</v>
      </c>
      <c r="G240" s="287">
        <v>16</v>
      </c>
      <c r="H240" s="288">
        <v>1595</v>
      </c>
      <c r="I240" s="289">
        <v>247</v>
      </c>
      <c r="J240" s="283">
        <f t="shared" si="24"/>
        <v>247</v>
      </c>
      <c r="K240" s="285">
        <f aca="true" t="shared" si="26" ref="K240:K274">H240/I240</f>
        <v>6.4574898785425106</v>
      </c>
      <c r="L240" s="284">
        <f>1034595+1595</f>
        <v>1036190</v>
      </c>
      <c r="M240" s="283">
        <f>85844+247</f>
        <v>86091</v>
      </c>
      <c r="N240" s="272">
        <f>+L241/M241</f>
        <v>12.016898148148147</v>
      </c>
      <c r="O240" s="335"/>
    </row>
    <row r="241" spans="1:15" ht="12" customHeight="1">
      <c r="A241" s="228">
        <v>238</v>
      </c>
      <c r="B241" s="245" t="s">
        <v>355</v>
      </c>
      <c r="C241" s="246">
        <v>40137</v>
      </c>
      <c r="D241" s="247" t="s">
        <v>321</v>
      </c>
      <c r="E241" s="248">
        <v>20</v>
      </c>
      <c r="F241" s="248">
        <v>2</v>
      </c>
      <c r="G241" s="248">
        <v>19</v>
      </c>
      <c r="H241" s="249">
        <v>1393</v>
      </c>
      <c r="I241" s="258">
        <v>214</v>
      </c>
      <c r="J241" s="259">
        <f t="shared" si="24"/>
        <v>107</v>
      </c>
      <c r="K241" s="260">
        <f t="shared" si="26"/>
        <v>6.509345794392523</v>
      </c>
      <c r="L241" s="253">
        <f>1034595+1595+413+264+1393</f>
        <v>1038260</v>
      </c>
      <c r="M241" s="261">
        <f>85844+247+59+36+214</f>
        <v>86400</v>
      </c>
      <c r="N241" s="255">
        <f>IF(L242&lt;&gt;0,L242/M242,"")</f>
        <v>11.922664659733625</v>
      </c>
      <c r="O241" s="335"/>
    </row>
    <row r="242" spans="1:15" ht="12" customHeight="1">
      <c r="A242" s="228">
        <v>239</v>
      </c>
      <c r="B242" s="245" t="s">
        <v>355</v>
      </c>
      <c r="C242" s="246">
        <v>40137</v>
      </c>
      <c r="D242" s="286" t="s">
        <v>321</v>
      </c>
      <c r="E242" s="248">
        <v>20</v>
      </c>
      <c r="F242" s="248">
        <v>1</v>
      </c>
      <c r="G242" s="248">
        <v>30</v>
      </c>
      <c r="H242" s="263">
        <v>1190</v>
      </c>
      <c r="I242" s="258">
        <v>238</v>
      </c>
      <c r="J242" s="259">
        <f t="shared" si="24"/>
        <v>238</v>
      </c>
      <c r="K242" s="260">
        <f t="shared" si="26"/>
        <v>5</v>
      </c>
      <c r="L242" s="264">
        <v>1045570</v>
      </c>
      <c r="M242" s="261">
        <v>87696</v>
      </c>
      <c r="N242" s="255">
        <f>+L242/M242</f>
        <v>11.922664659733625</v>
      </c>
      <c r="O242" s="335"/>
    </row>
    <row r="243" spans="1:15" ht="12" customHeight="1">
      <c r="A243" s="228">
        <v>240</v>
      </c>
      <c r="B243" s="281" t="s">
        <v>355</v>
      </c>
      <c r="C243" s="265">
        <v>40137</v>
      </c>
      <c r="D243" s="247" t="s">
        <v>321</v>
      </c>
      <c r="E243" s="276">
        <v>20</v>
      </c>
      <c r="F243" s="276">
        <v>1</v>
      </c>
      <c r="G243" s="276">
        <v>14</v>
      </c>
      <c r="H243" s="280">
        <v>1190</v>
      </c>
      <c r="I243" s="282">
        <v>238</v>
      </c>
      <c r="J243" s="283">
        <f t="shared" si="24"/>
        <v>238</v>
      </c>
      <c r="K243" s="285">
        <f t="shared" si="26"/>
        <v>5</v>
      </c>
      <c r="L243" s="284">
        <v>1034451</v>
      </c>
      <c r="M243" s="283">
        <v>85822</v>
      </c>
      <c r="N243" s="255">
        <f>+L244/M244</f>
        <v>11.994403932247197</v>
      </c>
      <c r="O243" s="341"/>
    </row>
    <row r="244" spans="1:15" ht="12" customHeight="1">
      <c r="A244" s="228">
        <v>241</v>
      </c>
      <c r="B244" s="324" t="s">
        <v>355</v>
      </c>
      <c r="C244" s="265">
        <v>40137</v>
      </c>
      <c r="D244" s="247" t="s">
        <v>321</v>
      </c>
      <c r="E244" s="287">
        <v>20</v>
      </c>
      <c r="F244" s="287">
        <v>1</v>
      </c>
      <c r="G244" s="287">
        <v>21</v>
      </c>
      <c r="H244" s="288">
        <v>1190</v>
      </c>
      <c r="I244" s="289">
        <v>238</v>
      </c>
      <c r="J244" s="283">
        <f t="shared" si="24"/>
        <v>238</v>
      </c>
      <c r="K244" s="285">
        <f t="shared" si="26"/>
        <v>5</v>
      </c>
      <c r="L244" s="284">
        <f>1034595+1595+413+264+1393+81+1190</f>
        <v>1039531</v>
      </c>
      <c r="M244" s="283">
        <f>85844+247+59+36+214+30+238</f>
        <v>86668</v>
      </c>
      <c r="N244" s="290">
        <f>+L244/M244</f>
        <v>11.994403932247197</v>
      </c>
      <c r="O244" s="358"/>
    </row>
    <row r="245" spans="1:15" ht="12" customHeight="1">
      <c r="A245" s="228">
        <v>242</v>
      </c>
      <c r="B245" s="324" t="s">
        <v>355</v>
      </c>
      <c r="C245" s="265">
        <v>40137</v>
      </c>
      <c r="D245" s="247" t="s">
        <v>321</v>
      </c>
      <c r="E245" s="287">
        <v>20</v>
      </c>
      <c r="F245" s="287">
        <v>1</v>
      </c>
      <c r="G245" s="287">
        <v>22</v>
      </c>
      <c r="H245" s="288">
        <v>1190</v>
      </c>
      <c r="I245" s="289">
        <v>238</v>
      </c>
      <c r="J245" s="283">
        <f t="shared" si="24"/>
        <v>238</v>
      </c>
      <c r="K245" s="285">
        <f t="shared" si="26"/>
        <v>5</v>
      </c>
      <c r="L245" s="284">
        <f>1034595+1595+413+264+1393+81+1190+1190</f>
        <v>1040721</v>
      </c>
      <c r="M245" s="283">
        <f>85844+247+59+36+214+30+238+238</f>
        <v>86906</v>
      </c>
      <c r="N245" s="290">
        <f>+L245/M245</f>
        <v>11.975249119738567</v>
      </c>
      <c r="O245" s="262"/>
    </row>
    <row r="246" spans="1:15" ht="12" customHeight="1">
      <c r="A246" s="228">
        <v>243</v>
      </c>
      <c r="B246" s="245" t="s">
        <v>355</v>
      </c>
      <c r="C246" s="246">
        <v>40137</v>
      </c>
      <c r="D246" s="247" t="s">
        <v>321</v>
      </c>
      <c r="E246" s="248">
        <v>20</v>
      </c>
      <c r="F246" s="248">
        <v>1</v>
      </c>
      <c r="G246" s="248">
        <v>8</v>
      </c>
      <c r="H246" s="249">
        <v>617</v>
      </c>
      <c r="I246" s="250">
        <v>106</v>
      </c>
      <c r="J246" s="251">
        <f t="shared" si="24"/>
        <v>106</v>
      </c>
      <c r="K246" s="252">
        <f t="shared" si="26"/>
        <v>5.820754716981132</v>
      </c>
      <c r="L246" s="253">
        <f>997860+4193+617</f>
        <v>1002670</v>
      </c>
      <c r="M246" s="254">
        <f>81544+595+106</f>
        <v>82245</v>
      </c>
      <c r="N246" s="272">
        <f>+L247/M247</f>
        <v>11.952075981852344</v>
      </c>
      <c r="O246" s="262"/>
    </row>
    <row r="247" spans="1:15" ht="12" customHeight="1">
      <c r="A247" s="228">
        <v>244</v>
      </c>
      <c r="B247" s="245" t="s">
        <v>355</v>
      </c>
      <c r="C247" s="265">
        <v>40137</v>
      </c>
      <c r="D247" s="247" t="s">
        <v>321</v>
      </c>
      <c r="E247" s="287">
        <v>20</v>
      </c>
      <c r="F247" s="287">
        <v>1</v>
      </c>
      <c r="G247" s="287">
        <v>25</v>
      </c>
      <c r="H247" s="288">
        <v>600</v>
      </c>
      <c r="I247" s="326">
        <v>120</v>
      </c>
      <c r="J247" s="269">
        <f t="shared" si="24"/>
        <v>120</v>
      </c>
      <c r="K247" s="270">
        <f t="shared" si="26"/>
        <v>5</v>
      </c>
      <c r="L247" s="271">
        <f>1034595+1595+413+264+1393+81+1190+1190+1659+245+600</f>
        <v>1043225</v>
      </c>
      <c r="M247" s="269">
        <f>85844+247+59+36+214+30+238+238+215+43+120</f>
        <v>87284</v>
      </c>
      <c r="N247" s="272">
        <f>+L247/M247</f>
        <v>11.952075981852344</v>
      </c>
      <c r="O247" s="244"/>
    </row>
    <row r="248" spans="1:15" ht="12" customHeight="1">
      <c r="A248" s="228">
        <v>245</v>
      </c>
      <c r="B248" s="245" t="s">
        <v>355</v>
      </c>
      <c r="C248" s="246">
        <v>40137</v>
      </c>
      <c r="D248" s="247" t="s">
        <v>321</v>
      </c>
      <c r="E248" s="248">
        <v>20</v>
      </c>
      <c r="F248" s="248">
        <v>1</v>
      </c>
      <c r="G248" s="248">
        <v>31</v>
      </c>
      <c r="H248" s="249">
        <v>483</v>
      </c>
      <c r="I248" s="250">
        <v>96</v>
      </c>
      <c r="J248" s="251">
        <f t="shared" si="24"/>
        <v>96</v>
      </c>
      <c r="K248" s="260">
        <f t="shared" si="26"/>
        <v>5.03125</v>
      </c>
      <c r="L248" s="253">
        <v>1046053</v>
      </c>
      <c r="M248" s="254">
        <v>87792</v>
      </c>
      <c r="N248" s="255">
        <f>+L248/M248</f>
        <v>11.915128941133588</v>
      </c>
      <c r="O248" s="262"/>
    </row>
    <row r="249" spans="1:15" ht="12" customHeight="1">
      <c r="A249" s="228">
        <v>246</v>
      </c>
      <c r="B249" s="281" t="s">
        <v>355</v>
      </c>
      <c r="C249" s="265">
        <v>40137</v>
      </c>
      <c r="D249" s="247" t="s">
        <v>321</v>
      </c>
      <c r="E249" s="276">
        <v>20</v>
      </c>
      <c r="F249" s="276">
        <v>1</v>
      </c>
      <c r="G249" s="276">
        <v>13</v>
      </c>
      <c r="H249" s="280">
        <v>441</v>
      </c>
      <c r="I249" s="282">
        <v>63</v>
      </c>
      <c r="J249" s="283">
        <f t="shared" si="24"/>
        <v>63</v>
      </c>
      <c r="K249" s="285">
        <f t="shared" si="26"/>
        <v>7</v>
      </c>
      <c r="L249" s="284">
        <v>1033263</v>
      </c>
      <c r="M249" s="283">
        <v>85584</v>
      </c>
      <c r="N249" s="272">
        <f>+L250/M250</f>
        <v>11.905553091558346</v>
      </c>
      <c r="O249" s="262"/>
    </row>
    <row r="250" spans="1:15" ht="12" customHeight="1">
      <c r="A250" s="228">
        <v>247</v>
      </c>
      <c r="B250" s="245" t="s">
        <v>355</v>
      </c>
      <c r="C250" s="246">
        <v>40137</v>
      </c>
      <c r="D250" s="247" t="s">
        <v>321</v>
      </c>
      <c r="E250" s="248">
        <v>20</v>
      </c>
      <c r="F250" s="248">
        <v>1</v>
      </c>
      <c r="G250" s="248">
        <v>33</v>
      </c>
      <c r="H250" s="249">
        <v>430</v>
      </c>
      <c r="I250" s="250">
        <v>73</v>
      </c>
      <c r="J250" s="251">
        <f t="shared" si="24"/>
        <v>73</v>
      </c>
      <c r="K250" s="260">
        <f t="shared" si="26"/>
        <v>5.890410958904109</v>
      </c>
      <c r="L250" s="253">
        <v>1046891</v>
      </c>
      <c r="M250" s="254">
        <v>87933</v>
      </c>
      <c r="N250" s="255">
        <f>+L250/M250</f>
        <v>11.905553091558346</v>
      </c>
      <c r="O250" s="256"/>
    </row>
    <row r="251" spans="1:15" ht="12" customHeight="1">
      <c r="A251" s="228">
        <v>248</v>
      </c>
      <c r="B251" s="324" t="s">
        <v>355</v>
      </c>
      <c r="C251" s="308">
        <v>40137</v>
      </c>
      <c r="D251" s="247" t="s">
        <v>321</v>
      </c>
      <c r="E251" s="287">
        <v>20</v>
      </c>
      <c r="F251" s="287">
        <v>1</v>
      </c>
      <c r="G251" s="287">
        <v>17</v>
      </c>
      <c r="H251" s="288">
        <v>413</v>
      </c>
      <c r="I251" s="289">
        <v>59</v>
      </c>
      <c r="J251" s="283">
        <f t="shared" si="24"/>
        <v>59</v>
      </c>
      <c r="K251" s="285">
        <f t="shared" si="26"/>
        <v>7</v>
      </c>
      <c r="L251" s="284">
        <f>1034595+1595+413</f>
        <v>1036603</v>
      </c>
      <c r="M251" s="283">
        <f>85844+247+59</f>
        <v>86150</v>
      </c>
      <c r="N251" s="272">
        <f>+L252/M252</f>
        <v>11.910550876394264</v>
      </c>
      <c r="O251" s="244"/>
    </row>
    <row r="252" spans="1:15" ht="12" customHeight="1">
      <c r="A252" s="228">
        <v>249</v>
      </c>
      <c r="B252" s="245" t="s">
        <v>355</v>
      </c>
      <c r="C252" s="246">
        <v>40137</v>
      </c>
      <c r="D252" s="247" t="s">
        <v>321</v>
      </c>
      <c r="E252" s="248">
        <v>20</v>
      </c>
      <c r="F252" s="248">
        <v>1</v>
      </c>
      <c r="G252" s="248">
        <v>32</v>
      </c>
      <c r="H252" s="263">
        <v>408</v>
      </c>
      <c r="I252" s="258">
        <v>68</v>
      </c>
      <c r="J252" s="259">
        <f t="shared" si="24"/>
        <v>68</v>
      </c>
      <c r="K252" s="260">
        <f t="shared" si="26"/>
        <v>6</v>
      </c>
      <c r="L252" s="264">
        <v>1046461</v>
      </c>
      <c r="M252" s="261">
        <v>87860</v>
      </c>
      <c r="N252" s="255">
        <f>+L252/M252</f>
        <v>11.910550876394264</v>
      </c>
      <c r="O252" s="262"/>
    </row>
    <row r="253" spans="1:15" ht="12" customHeight="1">
      <c r="A253" s="228">
        <v>250</v>
      </c>
      <c r="B253" s="245" t="s">
        <v>355</v>
      </c>
      <c r="C253" s="265">
        <v>40137</v>
      </c>
      <c r="D253" s="247" t="s">
        <v>321</v>
      </c>
      <c r="E253" s="276">
        <v>20</v>
      </c>
      <c r="F253" s="276">
        <v>1</v>
      </c>
      <c r="G253" s="276">
        <v>26</v>
      </c>
      <c r="H253" s="280">
        <v>405</v>
      </c>
      <c r="I253" s="268">
        <v>65</v>
      </c>
      <c r="J253" s="269">
        <f t="shared" si="24"/>
        <v>65</v>
      </c>
      <c r="K253" s="270">
        <f t="shared" si="26"/>
        <v>6.230769230769231</v>
      </c>
      <c r="L253" s="271">
        <f>1034595+1595+413+264+1393+81+1190+1190+1659+245+600+405</f>
        <v>1043630</v>
      </c>
      <c r="M253" s="269">
        <f>85844+247+59+36+214+30+238+238+215+43+120+65</f>
        <v>87349</v>
      </c>
      <c r="N253" s="272">
        <f>+L253/M253</f>
        <v>11.947818521104992</v>
      </c>
      <c r="O253" s="262"/>
    </row>
    <row r="254" spans="1:15" ht="12" customHeight="1">
      <c r="A254" s="228">
        <v>251</v>
      </c>
      <c r="B254" s="245" t="s">
        <v>355</v>
      </c>
      <c r="C254" s="265">
        <v>40137</v>
      </c>
      <c r="D254" s="247" t="s">
        <v>321</v>
      </c>
      <c r="E254" s="276">
        <v>20</v>
      </c>
      <c r="F254" s="276">
        <v>1</v>
      </c>
      <c r="G254" s="276">
        <v>27</v>
      </c>
      <c r="H254" s="263">
        <v>348</v>
      </c>
      <c r="I254" s="258">
        <v>48</v>
      </c>
      <c r="J254" s="269">
        <f t="shared" si="24"/>
        <v>48</v>
      </c>
      <c r="K254" s="270">
        <f t="shared" si="26"/>
        <v>7.25</v>
      </c>
      <c r="L254" s="271">
        <f>1043630+348</f>
        <v>1043978</v>
      </c>
      <c r="M254" s="269">
        <f>87349+48</f>
        <v>87397</v>
      </c>
      <c r="N254" s="272">
        <f>+L254/M254</f>
        <v>11.94523839491058</v>
      </c>
      <c r="O254" s="262"/>
    </row>
    <row r="255" spans="1:15" ht="12" customHeight="1">
      <c r="A255" s="228">
        <v>252</v>
      </c>
      <c r="B255" s="245" t="s">
        <v>355</v>
      </c>
      <c r="C255" s="265">
        <v>40137</v>
      </c>
      <c r="D255" s="275" t="s">
        <v>321</v>
      </c>
      <c r="E255" s="276">
        <v>20</v>
      </c>
      <c r="F255" s="276">
        <v>1</v>
      </c>
      <c r="G255" s="276">
        <v>28</v>
      </c>
      <c r="H255" s="263">
        <v>338</v>
      </c>
      <c r="I255" s="258">
        <v>53</v>
      </c>
      <c r="J255" s="269">
        <f t="shared" si="24"/>
        <v>53</v>
      </c>
      <c r="K255" s="270">
        <f t="shared" si="26"/>
        <v>6.377358490566038</v>
      </c>
      <c r="L255" s="271">
        <v>1044316</v>
      </c>
      <c r="M255" s="269">
        <v>87450</v>
      </c>
      <c r="N255" s="272">
        <f>+L255/M255</f>
        <v>11.94186392224128</v>
      </c>
      <c r="O255" s="262">
        <v>1</v>
      </c>
    </row>
    <row r="256" spans="1:15" ht="12" customHeight="1">
      <c r="A256" s="228">
        <v>253</v>
      </c>
      <c r="B256" s="281" t="s">
        <v>355</v>
      </c>
      <c r="C256" s="265">
        <v>40137</v>
      </c>
      <c r="D256" s="247" t="s">
        <v>321</v>
      </c>
      <c r="E256" s="276">
        <v>20</v>
      </c>
      <c r="F256" s="276">
        <v>1</v>
      </c>
      <c r="G256" s="276">
        <v>12</v>
      </c>
      <c r="H256" s="267">
        <v>301</v>
      </c>
      <c r="I256" s="268">
        <v>43</v>
      </c>
      <c r="J256" s="269">
        <f t="shared" si="24"/>
        <v>43</v>
      </c>
      <c r="K256" s="270">
        <f t="shared" si="26"/>
        <v>7</v>
      </c>
      <c r="L256" s="271">
        <f>1032521+301</f>
        <v>1032822</v>
      </c>
      <c r="M256" s="269">
        <f>85478+43</f>
        <v>85521</v>
      </c>
      <c r="N256" s="272">
        <f>+L257/M257</f>
        <v>11.89646719702214</v>
      </c>
      <c r="O256" s="339"/>
    </row>
    <row r="257" spans="1:15" ht="12" customHeight="1">
      <c r="A257" s="228">
        <v>254</v>
      </c>
      <c r="B257" s="245" t="s">
        <v>355</v>
      </c>
      <c r="C257" s="265">
        <v>40137</v>
      </c>
      <c r="D257" s="247" t="s">
        <v>321</v>
      </c>
      <c r="E257" s="276">
        <v>20</v>
      </c>
      <c r="F257" s="276">
        <v>1</v>
      </c>
      <c r="G257" s="276">
        <v>35</v>
      </c>
      <c r="H257" s="267">
        <v>300</v>
      </c>
      <c r="I257" s="268">
        <v>60</v>
      </c>
      <c r="J257" s="269">
        <f t="shared" si="24"/>
        <v>60</v>
      </c>
      <c r="K257" s="270">
        <f t="shared" si="26"/>
        <v>5</v>
      </c>
      <c r="L257" s="271">
        <v>1048281</v>
      </c>
      <c r="M257" s="269">
        <v>88117</v>
      </c>
      <c r="N257" s="272">
        <f>+L257/M257</f>
        <v>11.89646719702214</v>
      </c>
      <c r="O257" s="345"/>
    </row>
    <row r="258" spans="1:15" ht="12" customHeight="1">
      <c r="A258" s="228">
        <v>255</v>
      </c>
      <c r="B258" s="324" t="s">
        <v>355</v>
      </c>
      <c r="C258" s="308">
        <v>40137</v>
      </c>
      <c r="D258" s="247" t="s">
        <v>321</v>
      </c>
      <c r="E258" s="287">
        <v>20</v>
      </c>
      <c r="F258" s="287">
        <v>1</v>
      </c>
      <c r="G258" s="287">
        <v>18</v>
      </c>
      <c r="H258" s="288">
        <v>264</v>
      </c>
      <c r="I258" s="289">
        <v>36</v>
      </c>
      <c r="J258" s="283">
        <f t="shared" si="24"/>
        <v>36</v>
      </c>
      <c r="K258" s="285">
        <f t="shared" si="26"/>
        <v>7.333333333333333</v>
      </c>
      <c r="L258" s="284">
        <f>1034595+1595+413+264</f>
        <v>1036867</v>
      </c>
      <c r="M258" s="283">
        <f>85844+247+59+36</f>
        <v>86186</v>
      </c>
      <c r="N258" s="255">
        <f>+L259/M259</f>
        <v>11.961647010233582</v>
      </c>
      <c r="O258" s="262">
        <v>1</v>
      </c>
    </row>
    <row r="259" spans="1:15" ht="12" customHeight="1">
      <c r="A259" s="228">
        <v>256</v>
      </c>
      <c r="B259" s="245" t="s">
        <v>355</v>
      </c>
      <c r="C259" s="265">
        <v>40137</v>
      </c>
      <c r="D259" s="247" t="s">
        <v>321</v>
      </c>
      <c r="E259" s="287">
        <v>20</v>
      </c>
      <c r="F259" s="287">
        <v>1</v>
      </c>
      <c r="G259" s="287">
        <v>24</v>
      </c>
      <c r="H259" s="288">
        <v>245</v>
      </c>
      <c r="I259" s="289">
        <v>43</v>
      </c>
      <c r="J259" s="283">
        <f t="shared" si="24"/>
        <v>43</v>
      </c>
      <c r="K259" s="285">
        <f t="shared" si="26"/>
        <v>5.6976744186046515</v>
      </c>
      <c r="L259" s="284">
        <f>1034595+1595+413+264+1393+81+1190+1190+1659+245</f>
        <v>1042625</v>
      </c>
      <c r="M259" s="283">
        <f>85844+247+59+36+214+30+238+238+215+43</f>
        <v>87164</v>
      </c>
      <c r="N259" s="290">
        <f>+L259/M259</f>
        <v>11.961647010233582</v>
      </c>
      <c r="O259" s="340">
        <v>1</v>
      </c>
    </row>
    <row r="260" spans="1:15" ht="12" customHeight="1">
      <c r="A260" s="228">
        <v>257</v>
      </c>
      <c r="B260" s="245" t="s">
        <v>355</v>
      </c>
      <c r="C260" s="265">
        <v>40137</v>
      </c>
      <c r="D260" s="247" t="s">
        <v>321</v>
      </c>
      <c r="E260" s="276">
        <v>20</v>
      </c>
      <c r="F260" s="276">
        <v>1</v>
      </c>
      <c r="G260" s="276">
        <v>38</v>
      </c>
      <c r="H260" s="267">
        <v>211</v>
      </c>
      <c r="I260" s="268">
        <v>31</v>
      </c>
      <c r="J260" s="269">
        <f t="shared" si="24"/>
        <v>31</v>
      </c>
      <c r="K260" s="270">
        <f t="shared" si="26"/>
        <v>6.806451612903226</v>
      </c>
      <c r="L260" s="271">
        <v>1048870</v>
      </c>
      <c r="M260" s="269">
        <v>88207</v>
      </c>
      <c r="N260" s="272">
        <f>+L260/M260</f>
        <v>11.89100638271339</v>
      </c>
      <c r="O260" s="274"/>
    </row>
    <row r="261" spans="1:15" ht="12" customHeight="1">
      <c r="A261" s="228">
        <v>258</v>
      </c>
      <c r="B261" s="281" t="s">
        <v>355</v>
      </c>
      <c r="C261" s="265">
        <v>40137</v>
      </c>
      <c r="D261" s="247" t="s">
        <v>321</v>
      </c>
      <c r="E261" s="276">
        <v>20</v>
      </c>
      <c r="F261" s="276">
        <v>1</v>
      </c>
      <c r="G261" s="276">
        <v>36</v>
      </c>
      <c r="H261" s="280">
        <v>172</v>
      </c>
      <c r="I261" s="282">
        <v>30</v>
      </c>
      <c r="J261" s="283">
        <f t="shared" si="24"/>
        <v>30</v>
      </c>
      <c r="K261" s="285">
        <f t="shared" si="26"/>
        <v>5.733333333333333</v>
      </c>
      <c r="L261" s="284">
        <v>1048453</v>
      </c>
      <c r="M261" s="283">
        <v>88147</v>
      </c>
      <c r="N261" s="272">
        <f>+L261/M261</f>
        <v>11.894369632545635</v>
      </c>
      <c r="O261" s="262"/>
    </row>
    <row r="262" spans="1:15" ht="12" customHeight="1">
      <c r="A262" s="228">
        <v>259</v>
      </c>
      <c r="B262" s="245" t="s">
        <v>355</v>
      </c>
      <c r="C262" s="246">
        <v>40137</v>
      </c>
      <c r="D262" s="247" t="s">
        <v>321</v>
      </c>
      <c r="E262" s="248">
        <v>20</v>
      </c>
      <c r="F262" s="248">
        <v>1</v>
      </c>
      <c r="G262" s="248">
        <v>34</v>
      </c>
      <c r="H262" s="263">
        <v>150</v>
      </c>
      <c r="I262" s="258">
        <v>30</v>
      </c>
      <c r="J262" s="259">
        <f t="shared" si="24"/>
        <v>30</v>
      </c>
      <c r="K262" s="260">
        <f t="shared" si="26"/>
        <v>5</v>
      </c>
      <c r="L262" s="264">
        <v>1047981</v>
      </c>
      <c r="M262" s="261">
        <v>88057</v>
      </c>
      <c r="N262" s="255">
        <f>+L262/M262</f>
        <v>11.901166290016693</v>
      </c>
      <c r="O262" s="335"/>
    </row>
    <row r="263" spans="1:15" ht="12" customHeight="1">
      <c r="A263" s="228">
        <v>260</v>
      </c>
      <c r="B263" s="281" t="s">
        <v>355</v>
      </c>
      <c r="C263" s="308">
        <v>40137</v>
      </c>
      <c r="D263" s="247" t="s">
        <v>321</v>
      </c>
      <c r="E263" s="287">
        <v>20</v>
      </c>
      <c r="F263" s="287">
        <v>1</v>
      </c>
      <c r="G263" s="287">
        <v>15</v>
      </c>
      <c r="H263" s="288">
        <v>144</v>
      </c>
      <c r="I263" s="289">
        <v>22</v>
      </c>
      <c r="J263" s="283">
        <f t="shared" si="24"/>
        <v>22</v>
      </c>
      <c r="K263" s="285">
        <f t="shared" si="26"/>
        <v>6.545454545454546</v>
      </c>
      <c r="L263" s="284">
        <v>1034595</v>
      </c>
      <c r="M263" s="283">
        <v>85844</v>
      </c>
      <c r="N263" s="272">
        <f>+L264/M264</f>
        <v>12.013664236954762</v>
      </c>
      <c r="O263" s="262"/>
    </row>
    <row r="264" spans="1:15" ht="12" customHeight="1">
      <c r="A264" s="228">
        <v>261</v>
      </c>
      <c r="B264" s="245" t="s">
        <v>355</v>
      </c>
      <c r="C264" s="246">
        <v>40137</v>
      </c>
      <c r="D264" s="247" t="s">
        <v>321</v>
      </c>
      <c r="E264" s="248">
        <v>20</v>
      </c>
      <c r="F264" s="248">
        <v>1</v>
      </c>
      <c r="G264" s="248">
        <v>20</v>
      </c>
      <c r="H264" s="249">
        <v>81</v>
      </c>
      <c r="I264" s="250">
        <v>30</v>
      </c>
      <c r="J264" s="251">
        <f t="shared" si="24"/>
        <v>30</v>
      </c>
      <c r="K264" s="252">
        <f t="shared" si="26"/>
        <v>2.7</v>
      </c>
      <c r="L264" s="253">
        <f>1034595+1595+413+264+1393+81</f>
        <v>1038341</v>
      </c>
      <c r="M264" s="254">
        <f>85844+247+59+36+214+30</f>
        <v>86430</v>
      </c>
      <c r="N264" s="272">
        <f>L265/M265</f>
        <v>11.941503350179515</v>
      </c>
      <c r="O264" s="273"/>
    </row>
    <row r="265" spans="1:15" ht="12" customHeight="1">
      <c r="A265" s="228">
        <v>262</v>
      </c>
      <c r="B265" s="245" t="s">
        <v>355</v>
      </c>
      <c r="C265" s="265">
        <v>40137</v>
      </c>
      <c r="D265" s="275" t="s">
        <v>321</v>
      </c>
      <c r="E265" s="276">
        <v>20</v>
      </c>
      <c r="F265" s="276">
        <v>1</v>
      </c>
      <c r="G265" s="276">
        <v>29</v>
      </c>
      <c r="H265" s="263">
        <v>64</v>
      </c>
      <c r="I265" s="258">
        <v>8</v>
      </c>
      <c r="J265" s="269">
        <f t="shared" si="24"/>
        <v>8</v>
      </c>
      <c r="K265" s="270">
        <f t="shared" si="26"/>
        <v>8</v>
      </c>
      <c r="L265" s="271">
        <f>1044316+64</f>
        <v>1044380</v>
      </c>
      <c r="M265" s="269">
        <f>87450+8</f>
        <v>87458</v>
      </c>
      <c r="N265" s="272">
        <f>+L265/M265</f>
        <v>11.941503350179515</v>
      </c>
      <c r="O265" s="244"/>
    </row>
    <row r="266" spans="1:15" ht="12" customHeight="1">
      <c r="A266" s="228">
        <v>263</v>
      </c>
      <c r="B266" s="245" t="s">
        <v>223</v>
      </c>
      <c r="C266" s="265">
        <v>40137</v>
      </c>
      <c r="D266" s="247" t="s">
        <v>321</v>
      </c>
      <c r="E266" s="276">
        <v>20</v>
      </c>
      <c r="F266" s="276">
        <v>1</v>
      </c>
      <c r="G266" s="276">
        <v>37</v>
      </c>
      <c r="H266" s="267">
        <v>206</v>
      </c>
      <c r="I266" s="268">
        <v>29</v>
      </c>
      <c r="J266" s="269">
        <f t="shared" si="24"/>
        <v>29</v>
      </c>
      <c r="K266" s="270">
        <f t="shared" si="26"/>
        <v>7.103448275862069</v>
      </c>
      <c r="L266" s="271">
        <v>1048659</v>
      </c>
      <c r="M266" s="269">
        <v>88176</v>
      </c>
      <c r="N266" s="272">
        <f>+L266/M266</f>
        <v>11.892793957539466</v>
      </c>
      <c r="O266" s="244"/>
    </row>
    <row r="267" spans="1:15" ht="12" customHeight="1">
      <c r="A267" s="228">
        <v>264</v>
      </c>
      <c r="B267" s="281" t="s">
        <v>425</v>
      </c>
      <c r="C267" s="265">
        <v>40123</v>
      </c>
      <c r="D267" s="286" t="s">
        <v>324</v>
      </c>
      <c r="E267" s="276">
        <v>25</v>
      </c>
      <c r="F267" s="276">
        <v>1</v>
      </c>
      <c r="G267" s="276">
        <v>9</v>
      </c>
      <c r="H267" s="280">
        <v>1423</v>
      </c>
      <c r="I267" s="282">
        <v>285</v>
      </c>
      <c r="J267" s="283">
        <f t="shared" si="24"/>
        <v>285</v>
      </c>
      <c r="K267" s="285">
        <f t="shared" si="26"/>
        <v>4.992982456140351</v>
      </c>
      <c r="L267" s="284">
        <v>272726</v>
      </c>
      <c r="M267" s="283">
        <v>22531</v>
      </c>
      <c r="N267" s="255">
        <f>L268/M268</f>
        <v>11.677457214800905</v>
      </c>
      <c r="O267" s="347"/>
    </row>
    <row r="268" spans="1:15" ht="12" customHeight="1">
      <c r="A268" s="228">
        <v>265</v>
      </c>
      <c r="B268" s="281" t="s">
        <v>442</v>
      </c>
      <c r="C268" s="265">
        <v>40102</v>
      </c>
      <c r="D268" s="275" t="s">
        <v>322</v>
      </c>
      <c r="E268" s="276">
        <v>22</v>
      </c>
      <c r="F268" s="276">
        <v>1</v>
      </c>
      <c r="G268" s="276">
        <v>6</v>
      </c>
      <c r="H268" s="249">
        <v>1081.5</v>
      </c>
      <c r="I268" s="250">
        <v>369</v>
      </c>
      <c r="J268" s="251">
        <f>(I268/F268)</f>
        <v>369</v>
      </c>
      <c r="K268" s="252">
        <f t="shared" si="26"/>
        <v>2.930894308943089</v>
      </c>
      <c r="L268" s="253">
        <f>129717.5+110957+18478+6527+6853.5+1081.5</f>
        <v>273614.5</v>
      </c>
      <c r="M268" s="254">
        <f>10402+8975+1885+691+1109+369</f>
        <v>23431</v>
      </c>
      <c r="N268" s="255">
        <f>L269/M269</f>
        <v>11.579496053686743</v>
      </c>
      <c r="O268" s="262"/>
    </row>
    <row r="269" spans="1:15" ht="12" customHeight="1">
      <c r="A269" s="228">
        <v>266</v>
      </c>
      <c r="B269" s="304" t="s">
        <v>442</v>
      </c>
      <c r="C269" s="305">
        <v>40102</v>
      </c>
      <c r="D269" s="275" t="s">
        <v>322</v>
      </c>
      <c r="E269" s="306">
        <v>22</v>
      </c>
      <c r="F269" s="306">
        <v>2</v>
      </c>
      <c r="G269" s="306">
        <v>7</v>
      </c>
      <c r="H269" s="249">
        <v>738.5</v>
      </c>
      <c r="I269" s="258">
        <v>262</v>
      </c>
      <c r="J269" s="259">
        <f>(I269/F269)</f>
        <v>131</v>
      </c>
      <c r="K269" s="260">
        <f t="shared" si="26"/>
        <v>2.818702290076336</v>
      </c>
      <c r="L269" s="253">
        <f>129717.5+110957+18478+6527+6853.5+1081.5+738.5</f>
        <v>274353</v>
      </c>
      <c r="M269" s="261">
        <f>10402+8975+1885+691+1109+369+262</f>
        <v>23693</v>
      </c>
      <c r="N269" s="349">
        <f>+L270/M270</f>
        <v>11.545839801955273</v>
      </c>
      <c r="O269" s="340"/>
    </row>
    <row r="270" spans="1:15" ht="12" customHeight="1">
      <c r="A270" s="228">
        <v>267</v>
      </c>
      <c r="B270" s="245" t="s">
        <v>442</v>
      </c>
      <c r="C270" s="265">
        <v>40102</v>
      </c>
      <c r="D270" s="247" t="s">
        <v>334</v>
      </c>
      <c r="E270" s="276">
        <v>22</v>
      </c>
      <c r="F270" s="276">
        <v>1</v>
      </c>
      <c r="G270" s="276">
        <v>10</v>
      </c>
      <c r="H270" s="267">
        <v>404</v>
      </c>
      <c r="I270" s="268">
        <v>69</v>
      </c>
      <c r="J270" s="269">
        <f>(I270/F270)</f>
        <v>69</v>
      </c>
      <c r="K270" s="270">
        <f t="shared" si="26"/>
        <v>5.855072463768116</v>
      </c>
      <c r="L270" s="271">
        <f>129717.5+110957+18478+6527+6853.5+1081.5+738.5+250+165+404</f>
        <v>275172</v>
      </c>
      <c r="M270" s="269">
        <f>10402+8975+1885+691+1109+369+262+48+23+69</f>
        <v>23833</v>
      </c>
      <c r="N270" s="272">
        <f>L270/M270</f>
        <v>11.545839801955273</v>
      </c>
      <c r="O270" s="338"/>
    </row>
    <row r="271" spans="1:15" ht="12" customHeight="1">
      <c r="A271" s="228">
        <v>268</v>
      </c>
      <c r="B271" s="245" t="s">
        <v>442</v>
      </c>
      <c r="C271" s="246">
        <v>40102</v>
      </c>
      <c r="D271" s="247" t="s">
        <v>334</v>
      </c>
      <c r="E271" s="248">
        <v>22</v>
      </c>
      <c r="F271" s="248">
        <v>1</v>
      </c>
      <c r="G271" s="248">
        <v>8</v>
      </c>
      <c r="H271" s="249">
        <v>250</v>
      </c>
      <c r="I271" s="250">
        <v>48</v>
      </c>
      <c r="J271" s="251">
        <f>I271/F271</f>
        <v>48</v>
      </c>
      <c r="K271" s="260">
        <f t="shared" si="26"/>
        <v>5.208333333333333</v>
      </c>
      <c r="L271" s="253">
        <f>129717.5+110957+18478+6527+6853.5+1081.5+738.5+250</f>
        <v>274603</v>
      </c>
      <c r="M271" s="254">
        <f>10402+8975+1885+691+1109+369+262+48</f>
        <v>23741</v>
      </c>
      <c r="N271" s="255">
        <f>+L271/M271</f>
        <v>11.566614717155975</v>
      </c>
      <c r="O271" s="262"/>
    </row>
    <row r="272" spans="1:15" ht="12" customHeight="1">
      <c r="A272" s="228">
        <v>269</v>
      </c>
      <c r="B272" s="245" t="s">
        <v>442</v>
      </c>
      <c r="C272" s="265">
        <v>40102</v>
      </c>
      <c r="D272" s="247" t="s">
        <v>322</v>
      </c>
      <c r="E272" s="276">
        <v>22</v>
      </c>
      <c r="F272" s="276">
        <v>1</v>
      </c>
      <c r="G272" s="276">
        <v>12</v>
      </c>
      <c r="H272" s="267">
        <v>186</v>
      </c>
      <c r="I272" s="268">
        <v>24</v>
      </c>
      <c r="J272" s="269">
        <f>(I272/F272)</f>
        <v>24</v>
      </c>
      <c r="K272" s="270">
        <f t="shared" si="26"/>
        <v>7.75</v>
      </c>
      <c r="L272" s="271">
        <f>129717.5+110957+18478+6527+6853.5+1081.5+738.5+250+165+404+829.5+186</f>
        <v>276187.5</v>
      </c>
      <c r="M272" s="269">
        <f>10402+8975+1885+691+1109+369+262+48+23+69+109+24</f>
        <v>23966</v>
      </c>
      <c r="N272" s="272">
        <f>L272/M272</f>
        <v>11.524138362680464</v>
      </c>
      <c r="O272" s="262"/>
    </row>
    <row r="273" spans="1:15" ht="12" customHeight="1">
      <c r="A273" s="228">
        <v>270</v>
      </c>
      <c r="B273" s="245" t="s">
        <v>442</v>
      </c>
      <c r="C273" s="246">
        <v>40102</v>
      </c>
      <c r="D273" s="247" t="s">
        <v>322</v>
      </c>
      <c r="E273" s="248">
        <v>22</v>
      </c>
      <c r="F273" s="248">
        <v>1</v>
      </c>
      <c r="G273" s="248">
        <v>9</v>
      </c>
      <c r="H273" s="249">
        <v>165</v>
      </c>
      <c r="I273" s="250">
        <v>23</v>
      </c>
      <c r="J273" s="251">
        <f>(I273/F273)</f>
        <v>23</v>
      </c>
      <c r="K273" s="260">
        <f t="shared" si="26"/>
        <v>7.173913043478261</v>
      </c>
      <c r="L273" s="253">
        <f>129717.5+110957+18478+6527+6853.5+1081.5+738.5+250+165</f>
        <v>274768</v>
      </c>
      <c r="M273" s="254">
        <f>10402+8975+1885+691+1109+369+262+48+23</f>
        <v>23764</v>
      </c>
      <c r="N273" s="255">
        <f>L273/M273</f>
        <v>11.562363238512035</v>
      </c>
      <c r="O273" s="262"/>
    </row>
    <row r="274" spans="1:15" ht="12" customHeight="1">
      <c r="A274" s="228">
        <v>271</v>
      </c>
      <c r="B274" s="245" t="s">
        <v>416</v>
      </c>
      <c r="C274" s="265">
        <v>40102</v>
      </c>
      <c r="D274" s="247" t="s">
        <v>322</v>
      </c>
      <c r="E274" s="276">
        <v>22</v>
      </c>
      <c r="F274" s="276">
        <v>1</v>
      </c>
      <c r="G274" s="276">
        <v>11</v>
      </c>
      <c r="H274" s="267">
        <v>829.5</v>
      </c>
      <c r="I274" s="268">
        <v>109</v>
      </c>
      <c r="J274" s="269">
        <f>(I274/F274)</f>
        <v>109</v>
      </c>
      <c r="K274" s="270">
        <f t="shared" si="26"/>
        <v>7.610091743119266</v>
      </c>
      <c r="L274" s="271">
        <f>129717.5+110957+18478+6527+6853.5+1081.5+738.5+250+165+404+829.5</f>
        <v>276001.5</v>
      </c>
      <c r="M274" s="269">
        <f>10402+8975+1885+691+1109+369+262+48+23+69+109</f>
        <v>23942</v>
      </c>
      <c r="N274" s="272">
        <f>L274/M274</f>
        <v>11.527921643972935</v>
      </c>
      <c r="O274" s="262"/>
    </row>
    <row r="275" spans="1:15" ht="12" customHeight="1">
      <c r="A275" s="228">
        <v>272</v>
      </c>
      <c r="B275" s="350" t="s">
        <v>361</v>
      </c>
      <c r="C275" s="351">
        <v>40172</v>
      </c>
      <c r="D275" s="344" t="s">
        <v>320</v>
      </c>
      <c r="E275" s="352">
        <v>51</v>
      </c>
      <c r="F275" s="352">
        <v>51</v>
      </c>
      <c r="G275" s="352">
        <v>2</v>
      </c>
      <c r="H275" s="353">
        <v>175309</v>
      </c>
      <c r="I275" s="354">
        <v>14721</v>
      </c>
      <c r="J275" s="355">
        <f aca="true" t="shared" si="27" ref="J275:J280">I275/F275</f>
        <v>288.6470588235294</v>
      </c>
      <c r="K275" s="356">
        <f>+H275/I275</f>
        <v>11.908769784661368</v>
      </c>
      <c r="L275" s="357">
        <v>448889</v>
      </c>
      <c r="M275" s="355">
        <v>39522</v>
      </c>
      <c r="N275" s="272">
        <f>+L276/M276</f>
        <v>11.335329864906221</v>
      </c>
      <c r="O275" s="335"/>
    </row>
    <row r="276" spans="1:15" ht="12" customHeight="1">
      <c r="A276" s="228">
        <v>273</v>
      </c>
      <c r="B276" s="281" t="s">
        <v>361</v>
      </c>
      <c r="C276" s="265">
        <v>40172</v>
      </c>
      <c r="D276" s="344" t="s">
        <v>320</v>
      </c>
      <c r="E276" s="276">
        <v>51</v>
      </c>
      <c r="F276" s="276">
        <v>38</v>
      </c>
      <c r="G276" s="276">
        <v>3</v>
      </c>
      <c r="H276" s="280">
        <v>69657</v>
      </c>
      <c r="I276" s="282">
        <v>6224</v>
      </c>
      <c r="J276" s="283">
        <f t="shared" si="27"/>
        <v>163.78947368421052</v>
      </c>
      <c r="K276" s="285">
        <f>+H276/I276</f>
        <v>11.19167737789203</v>
      </c>
      <c r="L276" s="284">
        <v>518546</v>
      </c>
      <c r="M276" s="283">
        <v>45746</v>
      </c>
      <c r="N276" s="272">
        <f>+L277/M277</f>
        <v>11.211845296345148</v>
      </c>
      <c r="O276" s="262"/>
    </row>
    <row r="277" spans="1:15" ht="12" customHeight="1">
      <c r="A277" s="228">
        <v>274</v>
      </c>
      <c r="B277" s="281" t="s">
        <v>361</v>
      </c>
      <c r="C277" s="265">
        <v>40172</v>
      </c>
      <c r="D277" s="344" t="s">
        <v>320</v>
      </c>
      <c r="E277" s="276">
        <v>51</v>
      </c>
      <c r="F277" s="276">
        <v>12</v>
      </c>
      <c r="G277" s="276">
        <v>4</v>
      </c>
      <c r="H277" s="280">
        <v>8478</v>
      </c>
      <c r="I277" s="268">
        <v>1260</v>
      </c>
      <c r="J277" s="269">
        <f t="shared" si="27"/>
        <v>105</v>
      </c>
      <c r="K277" s="270">
        <f>+H277/I277</f>
        <v>6.728571428571429</v>
      </c>
      <c r="L277" s="284">
        <v>527024</v>
      </c>
      <c r="M277" s="269">
        <v>47006</v>
      </c>
      <c r="N277" s="272">
        <f>+L278/M278</f>
        <v>11.19604518576606</v>
      </c>
      <c r="O277" s="335"/>
    </row>
    <row r="278" spans="1:15" ht="12" customHeight="1">
      <c r="A278" s="228">
        <v>275</v>
      </c>
      <c r="B278" s="281" t="s">
        <v>361</v>
      </c>
      <c r="C278" s="265">
        <v>40172</v>
      </c>
      <c r="D278" s="344" t="s">
        <v>320</v>
      </c>
      <c r="E278" s="276">
        <v>51</v>
      </c>
      <c r="F278" s="276">
        <v>1</v>
      </c>
      <c r="G278" s="276">
        <v>5</v>
      </c>
      <c r="H278" s="267">
        <v>1239</v>
      </c>
      <c r="I278" s="268">
        <v>177</v>
      </c>
      <c r="J278" s="269">
        <f t="shared" si="27"/>
        <v>177</v>
      </c>
      <c r="K278" s="270">
        <f>+H278/I278</f>
        <v>7</v>
      </c>
      <c r="L278" s="271">
        <v>528263</v>
      </c>
      <c r="M278" s="269">
        <v>47183</v>
      </c>
      <c r="N278" s="299">
        <f>IF(L279&lt;&gt;0,L279/M279,"")</f>
        <v>7.506848730247879</v>
      </c>
      <c r="O278" s="273">
        <v>1</v>
      </c>
    </row>
    <row r="279" spans="1:15" ht="12" customHeight="1">
      <c r="A279" s="228">
        <v>276</v>
      </c>
      <c r="B279" s="245" t="s">
        <v>59</v>
      </c>
      <c r="C279" s="246">
        <v>40172</v>
      </c>
      <c r="D279" s="247" t="s">
        <v>333</v>
      </c>
      <c r="E279" s="248">
        <v>196</v>
      </c>
      <c r="F279" s="248">
        <v>1</v>
      </c>
      <c r="G279" s="248">
        <v>13</v>
      </c>
      <c r="H279" s="263">
        <v>145</v>
      </c>
      <c r="I279" s="258">
        <v>29</v>
      </c>
      <c r="J279" s="259">
        <f t="shared" si="27"/>
        <v>29</v>
      </c>
      <c r="K279" s="260">
        <f>H279/I279</f>
        <v>5</v>
      </c>
      <c r="L279" s="264">
        <f>821982.75+546264.5+300546.5+218412+49105+23614+196+9844+340-11+2445+535+1144+3612+145</f>
        <v>1978174.75</v>
      </c>
      <c r="M279" s="261">
        <f>109740+66898+39464+31918+7910+4204-8+1658-1+56+431+18+107+206+886+29</f>
        <v>263516</v>
      </c>
      <c r="N279" s="255">
        <f>+L279/M279</f>
        <v>7.506848730247879</v>
      </c>
      <c r="O279" s="256"/>
    </row>
    <row r="280" spans="1:15" ht="12" customHeight="1">
      <c r="A280" s="228">
        <v>277</v>
      </c>
      <c r="B280" s="245" t="s">
        <v>130</v>
      </c>
      <c r="C280" s="265">
        <v>40172</v>
      </c>
      <c r="D280" s="247" t="s">
        <v>333</v>
      </c>
      <c r="E280" s="276">
        <v>196</v>
      </c>
      <c r="F280" s="276">
        <v>1</v>
      </c>
      <c r="G280" s="276">
        <v>17</v>
      </c>
      <c r="H280" s="267">
        <v>56</v>
      </c>
      <c r="I280" s="268">
        <v>8</v>
      </c>
      <c r="J280" s="269">
        <f t="shared" si="27"/>
        <v>8</v>
      </c>
      <c r="K280" s="270">
        <f>H280/I280</f>
        <v>7</v>
      </c>
      <c r="L280" s="271">
        <f>821982.75+546264.5+300546.5+218412+49105+23614+196+9844+340-11+2445+535+1144+3612+145+369+3597+110+56</f>
        <v>1982306.75</v>
      </c>
      <c r="M280" s="269">
        <f>109740+66898+39464+31918+7910+4204-8+1658-1+56+431+18+107+206+886+29+105+600+17+8</f>
        <v>264246</v>
      </c>
      <c r="N280" s="272">
        <f>+L280/M280</f>
        <v>7.501747424748151</v>
      </c>
      <c r="O280" s="262"/>
    </row>
    <row r="281" spans="1:15" ht="12" customHeight="1">
      <c r="A281" s="228">
        <v>278</v>
      </c>
      <c r="B281" s="281" t="s">
        <v>131</v>
      </c>
      <c r="C281" s="265">
        <v>40172</v>
      </c>
      <c r="D281" s="266" t="s">
        <v>349</v>
      </c>
      <c r="E281" s="276">
        <v>196</v>
      </c>
      <c r="F281" s="276">
        <v>196</v>
      </c>
      <c r="G281" s="276">
        <v>2</v>
      </c>
      <c r="H281" s="280">
        <v>546264.5</v>
      </c>
      <c r="I281" s="282">
        <v>66898</v>
      </c>
      <c r="J281" s="301">
        <f>IF(H281&lt;&gt;0,I281/F281,"")</f>
        <v>341.31632653061223</v>
      </c>
      <c r="K281" s="297">
        <f>IF(H281&lt;&gt;0,H281/I281,"")</f>
        <v>8.165632754342433</v>
      </c>
      <c r="L281" s="284">
        <f>821982.75+546264.5</f>
        <v>1368247.25</v>
      </c>
      <c r="M281" s="283">
        <f>109740+66898</f>
        <v>176638</v>
      </c>
      <c r="N281" s="272">
        <f>+L282/M282</f>
        <v>7.722250372509278</v>
      </c>
      <c r="O281" s="338">
        <v>1</v>
      </c>
    </row>
    <row r="282" spans="1:15" ht="12" customHeight="1">
      <c r="A282" s="228">
        <v>279</v>
      </c>
      <c r="B282" s="281" t="s">
        <v>132</v>
      </c>
      <c r="C282" s="265">
        <v>40172</v>
      </c>
      <c r="D282" s="275" t="s">
        <v>349</v>
      </c>
      <c r="E282" s="276">
        <v>196</v>
      </c>
      <c r="F282" s="276">
        <v>183</v>
      </c>
      <c r="G282" s="276">
        <v>3</v>
      </c>
      <c r="H282" s="280">
        <v>300546.5</v>
      </c>
      <c r="I282" s="282">
        <v>39464</v>
      </c>
      <c r="J282" s="283">
        <f>I282/F282</f>
        <v>215.65027322404373</v>
      </c>
      <c r="K282" s="285">
        <f>+H282/I282</f>
        <v>7.615713054936144</v>
      </c>
      <c r="L282" s="284">
        <f>821982.75+546264.5+300546.5</f>
        <v>1668793.75</v>
      </c>
      <c r="M282" s="283">
        <f>109740+66898+39464</f>
        <v>216102</v>
      </c>
      <c r="N282" s="272">
        <f>+L283/M283</f>
        <v>7.609086968792839</v>
      </c>
      <c r="O282" s="335"/>
    </row>
    <row r="283" spans="1:15" ht="12" customHeight="1">
      <c r="A283" s="228">
        <v>280</v>
      </c>
      <c r="B283" s="281" t="s">
        <v>131</v>
      </c>
      <c r="C283" s="265">
        <v>40172</v>
      </c>
      <c r="D283" s="275" t="s">
        <v>349</v>
      </c>
      <c r="E283" s="276">
        <v>196</v>
      </c>
      <c r="F283" s="276">
        <v>148</v>
      </c>
      <c r="G283" s="276">
        <v>4</v>
      </c>
      <c r="H283" s="280">
        <v>218412</v>
      </c>
      <c r="I283" s="268">
        <v>31918</v>
      </c>
      <c r="J283" s="296">
        <f>+I283/F283</f>
        <v>215.66216216216216</v>
      </c>
      <c r="K283" s="297">
        <f>+H283/I283</f>
        <v>6.842909956764208</v>
      </c>
      <c r="L283" s="284">
        <f>821982.75+546264.5+300546.5+218412</f>
        <v>1887205.75</v>
      </c>
      <c r="M283" s="269">
        <f>109740+66898+39464+31918</f>
        <v>248020</v>
      </c>
      <c r="N283" s="255">
        <f>+L284/M284</f>
        <v>7.565782635876998</v>
      </c>
      <c r="O283" s="262"/>
    </row>
    <row r="284" spans="1:15" ht="12" customHeight="1">
      <c r="A284" s="228">
        <v>281</v>
      </c>
      <c r="B284" s="281" t="s">
        <v>131</v>
      </c>
      <c r="C284" s="265">
        <v>40172</v>
      </c>
      <c r="D284" s="257" t="s">
        <v>349</v>
      </c>
      <c r="E284" s="276">
        <v>196</v>
      </c>
      <c r="F284" s="276">
        <v>25</v>
      </c>
      <c r="G284" s="276">
        <v>5</v>
      </c>
      <c r="H284" s="267">
        <v>49105</v>
      </c>
      <c r="I284" s="268">
        <v>7919</v>
      </c>
      <c r="J284" s="259">
        <f>I284/F284</f>
        <v>316.76</v>
      </c>
      <c r="K284" s="260">
        <f>H284/I284</f>
        <v>6.2009092057077915</v>
      </c>
      <c r="L284" s="271">
        <f>821982.75+546264.5+300546.5+218412+49105</f>
        <v>1936310.75</v>
      </c>
      <c r="M284" s="269">
        <f>109740+66898+39464+31918+7910</f>
        <v>255930</v>
      </c>
      <c r="N284" s="272">
        <f>L285/M285</f>
        <v>7.535274251708787</v>
      </c>
      <c r="O284" s="262"/>
    </row>
    <row r="285" spans="1:15" ht="12" customHeight="1">
      <c r="A285" s="228">
        <v>282</v>
      </c>
      <c r="B285" s="281" t="s">
        <v>131</v>
      </c>
      <c r="C285" s="265">
        <v>40172</v>
      </c>
      <c r="D285" s="286" t="s">
        <v>349</v>
      </c>
      <c r="E285" s="276">
        <v>196</v>
      </c>
      <c r="F285" s="276">
        <v>16</v>
      </c>
      <c r="G285" s="276">
        <v>6</v>
      </c>
      <c r="H285" s="267">
        <v>23614</v>
      </c>
      <c r="I285" s="268">
        <v>4204</v>
      </c>
      <c r="J285" s="269">
        <f>I285/F285</f>
        <v>262.75</v>
      </c>
      <c r="K285" s="270">
        <f>H285/I285</f>
        <v>5.617031398667935</v>
      </c>
      <c r="L285" s="271">
        <f>821982.75+546264.5+300546.5+218412+49105+23614+196</f>
        <v>1960120.75</v>
      </c>
      <c r="M285" s="269">
        <f>109740+66898+39464+31918+7910+4204-8</f>
        <v>260126</v>
      </c>
      <c r="N285" s="272">
        <f>L286/M286</f>
        <v>7.525182116485792</v>
      </c>
      <c r="O285" s="262"/>
    </row>
    <row r="286" spans="1:15" ht="12" customHeight="1">
      <c r="A286" s="228">
        <v>283</v>
      </c>
      <c r="B286" s="281" t="s">
        <v>131</v>
      </c>
      <c r="C286" s="265">
        <v>40172</v>
      </c>
      <c r="D286" s="286" t="s">
        <v>349</v>
      </c>
      <c r="E286" s="276">
        <v>196</v>
      </c>
      <c r="F286" s="276">
        <v>14</v>
      </c>
      <c r="G286" s="276">
        <v>7</v>
      </c>
      <c r="H286" s="267">
        <v>9844</v>
      </c>
      <c r="I286" s="268">
        <v>1658</v>
      </c>
      <c r="J286" s="269">
        <f>(I286/F286)</f>
        <v>118.42857142857143</v>
      </c>
      <c r="K286" s="270">
        <f>(J286/G286)</f>
        <v>16.918367346938776</v>
      </c>
      <c r="L286" s="271">
        <f>821982.75+546264.5+300546.5+218412+49105+23614+196+9844</f>
        <v>1969964.75</v>
      </c>
      <c r="M286" s="269">
        <f>109740+66898+39464+31918+7910+4204-8+1658-1</f>
        <v>261783</v>
      </c>
      <c r="N286" s="272">
        <f>+L287/M287</f>
        <v>7.507124639925309</v>
      </c>
      <c r="O286" s="244"/>
    </row>
    <row r="287" spans="1:15" ht="12" customHeight="1">
      <c r="A287" s="228">
        <v>284</v>
      </c>
      <c r="B287" s="324" t="s">
        <v>131</v>
      </c>
      <c r="C287" s="265">
        <v>40172</v>
      </c>
      <c r="D287" s="275" t="s">
        <v>349</v>
      </c>
      <c r="E287" s="287">
        <v>196</v>
      </c>
      <c r="F287" s="287">
        <v>1</v>
      </c>
      <c r="G287" s="287">
        <v>12</v>
      </c>
      <c r="H287" s="288">
        <v>3612</v>
      </c>
      <c r="I287" s="289">
        <v>886</v>
      </c>
      <c r="J287" s="283">
        <f aca="true" t="shared" si="28" ref="J287:J292">I287/F287</f>
        <v>886</v>
      </c>
      <c r="K287" s="285">
        <f>H287/I287</f>
        <v>4.076749435665914</v>
      </c>
      <c r="L287" s="284">
        <f>821982.75+546264.5+300546.5+218412+49105+23614+196+9844+340-11+2445+535+1144+3612</f>
        <v>1978029.75</v>
      </c>
      <c r="M287" s="283">
        <f>109740+66898+39464+31918+7910+4204-8+1658-1+56+431+18+107+206+886</f>
        <v>263487</v>
      </c>
      <c r="N287" s="290">
        <f>+L287/M287</f>
        <v>7.507124639925309</v>
      </c>
      <c r="O287" s="244"/>
    </row>
    <row r="288" spans="1:15" ht="12" customHeight="1">
      <c r="A288" s="228">
        <v>285</v>
      </c>
      <c r="B288" s="245" t="s">
        <v>133</v>
      </c>
      <c r="C288" s="265">
        <v>40172</v>
      </c>
      <c r="D288" s="247" t="s">
        <v>349</v>
      </c>
      <c r="E288" s="276">
        <v>196</v>
      </c>
      <c r="F288" s="276">
        <v>1</v>
      </c>
      <c r="G288" s="276">
        <v>15</v>
      </c>
      <c r="H288" s="267">
        <v>3597</v>
      </c>
      <c r="I288" s="268">
        <v>600</v>
      </c>
      <c r="J288" s="269">
        <f t="shared" si="28"/>
        <v>600</v>
      </c>
      <c r="K288" s="270">
        <f>+H288/I288</f>
        <v>5.995</v>
      </c>
      <c r="L288" s="271">
        <f>821982.75+546264.5+300546.5+218412+49105+23614+196+9844+340-11+2445+535+1144+3612+145+369+3597</f>
        <v>1982140.75</v>
      </c>
      <c r="M288" s="269">
        <f>109740+66898+39464+31918+7910+4204-8+1658-1+56+431+18+107+206+886+29+105+600</f>
        <v>264221</v>
      </c>
      <c r="N288" s="272">
        <f>+L288/M288</f>
        <v>7.50182896136189</v>
      </c>
      <c r="O288" s="273">
        <v>1</v>
      </c>
    </row>
    <row r="289" spans="1:15" ht="12" customHeight="1">
      <c r="A289" s="228">
        <v>286</v>
      </c>
      <c r="B289" s="359" t="s">
        <v>133</v>
      </c>
      <c r="C289" s="265">
        <v>40172</v>
      </c>
      <c r="D289" s="336" t="s">
        <v>349</v>
      </c>
      <c r="E289" s="276">
        <v>196</v>
      </c>
      <c r="F289" s="276">
        <v>2</v>
      </c>
      <c r="G289" s="276">
        <v>9</v>
      </c>
      <c r="H289" s="280">
        <v>2445</v>
      </c>
      <c r="I289" s="282">
        <v>431</v>
      </c>
      <c r="J289" s="283">
        <f t="shared" si="28"/>
        <v>215.5</v>
      </c>
      <c r="K289" s="285">
        <f>H289/I289</f>
        <v>5.672853828306264</v>
      </c>
      <c r="L289" s="284">
        <f>821982.75+546264.5+300546.5+218412+49105+23614+196+9844+340-11+2445</f>
        <v>1972738.75</v>
      </c>
      <c r="M289" s="283">
        <f>109740+66898+39464+31918+7910+4204-8+1658-1+56+431+18</f>
        <v>262288</v>
      </c>
      <c r="N289" s="272">
        <f>+L290/M290</f>
        <v>7.518698519807617</v>
      </c>
      <c r="O289" s="262"/>
    </row>
    <row r="290" spans="1:15" ht="12" customHeight="1">
      <c r="A290" s="228">
        <v>287</v>
      </c>
      <c r="B290" s="324" t="s">
        <v>131</v>
      </c>
      <c r="C290" s="265">
        <v>40172</v>
      </c>
      <c r="D290" s="275" t="s">
        <v>349</v>
      </c>
      <c r="E290" s="287">
        <v>196</v>
      </c>
      <c r="F290" s="287">
        <v>1</v>
      </c>
      <c r="G290" s="287">
        <v>11</v>
      </c>
      <c r="H290" s="288">
        <v>1144</v>
      </c>
      <c r="I290" s="289">
        <v>206</v>
      </c>
      <c r="J290" s="283">
        <f t="shared" si="28"/>
        <v>206</v>
      </c>
      <c r="K290" s="285">
        <f>H290/I290</f>
        <v>5.553398058252427</v>
      </c>
      <c r="L290" s="284">
        <f>821982.75+546264.5+300546.5+218412+49105+23614+196+9844+340-11+2445+535+1144</f>
        <v>1974417.75</v>
      </c>
      <c r="M290" s="283">
        <f>109740+66898+39464+31918+7910+4204-8+1658-1+56+431+18+107+206</f>
        <v>262601</v>
      </c>
      <c r="N290" s="299">
        <f>+L291/M291</f>
        <v>7.520241429905296</v>
      </c>
      <c r="O290" s="256"/>
    </row>
    <row r="291" spans="1:15" ht="12" customHeight="1">
      <c r="A291" s="228">
        <v>288</v>
      </c>
      <c r="B291" s="281" t="s">
        <v>132</v>
      </c>
      <c r="C291" s="308">
        <v>40172</v>
      </c>
      <c r="D291" s="336" t="s">
        <v>349</v>
      </c>
      <c r="E291" s="287">
        <v>196</v>
      </c>
      <c r="F291" s="287">
        <v>1</v>
      </c>
      <c r="G291" s="287">
        <v>10</v>
      </c>
      <c r="H291" s="288">
        <v>535</v>
      </c>
      <c r="I291" s="289">
        <v>107</v>
      </c>
      <c r="J291" s="283">
        <f t="shared" si="28"/>
        <v>107</v>
      </c>
      <c r="K291" s="285">
        <f>H291/I291</f>
        <v>5</v>
      </c>
      <c r="L291" s="284">
        <f>821982.75+546264.5+300546.5+218412+49105+23614+196+9844+340-11+2445+535</f>
        <v>1973273.75</v>
      </c>
      <c r="M291" s="283">
        <f>109740+66898+39464+31918+7910+4204-8+1658-1+56+431+18+107</f>
        <v>262395</v>
      </c>
      <c r="N291" s="272">
        <f>+L292/M292</f>
        <v>7.505258496098565</v>
      </c>
      <c r="O291" s="262"/>
    </row>
    <row r="292" spans="1:15" ht="12" customHeight="1">
      <c r="A292" s="228">
        <v>289</v>
      </c>
      <c r="B292" s="245" t="s">
        <v>134</v>
      </c>
      <c r="C292" s="246">
        <v>40172</v>
      </c>
      <c r="D292" s="247" t="s">
        <v>333</v>
      </c>
      <c r="E292" s="248">
        <v>196</v>
      </c>
      <c r="F292" s="248">
        <v>1</v>
      </c>
      <c r="G292" s="248">
        <v>14</v>
      </c>
      <c r="H292" s="249">
        <v>369</v>
      </c>
      <c r="I292" s="250">
        <v>105</v>
      </c>
      <c r="J292" s="251">
        <f t="shared" si="28"/>
        <v>105</v>
      </c>
      <c r="K292" s="260">
        <f>H292/I292</f>
        <v>3.5142857142857142</v>
      </c>
      <c r="L292" s="253">
        <f>821982.75+546264.5+300546.5+218412+49105+23614+196+9844+340-11+2445+535+1144+3612+145+369</f>
        <v>1978543.75</v>
      </c>
      <c r="M292" s="254">
        <f>109740+66898+39464+31918+7910+4204-8+1658-1+56+431+18+107+206+886+29+105</f>
        <v>263621</v>
      </c>
      <c r="N292" s="255">
        <f>+L292/M292</f>
        <v>7.505258496098565</v>
      </c>
      <c r="O292" s="338">
        <v>1</v>
      </c>
    </row>
    <row r="293" spans="1:15" ht="12" customHeight="1">
      <c r="A293" s="228">
        <v>290</v>
      </c>
      <c r="B293" s="359" t="s">
        <v>133</v>
      </c>
      <c r="C293" s="308">
        <v>40172</v>
      </c>
      <c r="D293" s="336" t="s">
        <v>349</v>
      </c>
      <c r="E293" s="287">
        <v>196</v>
      </c>
      <c r="F293" s="287">
        <v>2</v>
      </c>
      <c r="G293" s="287">
        <v>8</v>
      </c>
      <c r="H293" s="288">
        <v>340</v>
      </c>
      <c r="I293" s="289">
        <v>56</v>
      </c>
      <c r="J293" s="283">
        <f>+I293/F293</f>
        <v>28</v>
      </c>
      <c r="K293" s="285">
        <f>+H293/I293</f>
        <v>6.071428571428571</v>
      </c>
      <c r="L293" s="360">
        <f>821982.75+546264.5+300546.5+218412+49105+23614+196+9844+340-11</f>
        <v>1970293.75</v>
      </c>
      <c r="M293" s="361">
        <f>109740+66898+39464+31918+7910+4204-8+1658-1+56</f>
        <v>261839</v>
      </c>
      <c r="N293" s="272">
        <f>+L294/M294</f>
        <v>7.501762615520856</v>
      </c>
      <c r="O293" s="274">
        <v>1</v>
      </c>
    </row>
    <row r="294" spans="1:15" ht="12" customHeight="1">
      <c r="A294" s="228">
        <v>291</v>
      </c>
      <c r="B294" s="245" t="s">
        <v>133</v>
      </c>
      <c r="C294" s="265">
        <v>40172</v>
      </c>
      <c r="D294" s="247" t="s">
        <v>333</v>
      </c>
      <c r="E294" s="276">
        <v>196</v>
      </c>
      <c r="F294" s="276">
        <v>1</v>
      </c>
      <c r="G294" s="276">
        <v>16</v>
      </c>
      <c r="H294" s="267">
        <v>110</v>
      </c>
      <c r="I294" s="268">
        <v>17</v>
      </c>
      <c r="J294" s="269">
        <f>I294/F294</f>
        <v>17</v>
      </c>
      <c r="K294" s="270">
        <f>H294/I294</f>
        <v>6.470588235294118</v>
      </c>
      <c r="L294" s="271">
        <f>821982.75+546264.5+300546.5+218412+49105+23614+196+9844+340-11+2445+535+1144+3612+145+369+3597+110</f>
        <v>1982250.75</v>
      </c>
      <c r="M294" s="269">
        <f>109740+66898+39464+31918+7910+4204-8+1658-1+56+431+18+107+206+886+29+105+600+17</f>
        <v>264238</v>
      </c>
      <c r="N294" s="272">
        <f>+L294/M294</f>
        <v>7.501762615520856</v>
      </c>
      <c r="O294" s="262"/>
    </row>
    <row r="295" spans="1:15" ht="12" customHeight="1">
      <c r="A295" s="228">
        <v>292</v>
      </c>
      <c r="B295" s="245" t="s">
        <v>133</v>
      </c>
      <c r="C295" s="246">
        <v>40172</v>
      </c>
      <c r="D295" s="247" t="s">
        <v>333</v>
      </c>
      <c r="E295" s="248">
        <v>196</v>
      </c>
      <c r="F295" s="248">
        <v>1</v>
      </c>
      <c r="G295" s="248">
        <v>18</v>
      </c>
      <c r="H295" s="263">
        <v>91</v>
      </c>
      <c r="I295" s="258">
        <v>13</v>
      </c>
      <c r="J295" s="259">
        <f>I295/F295</f>
        <v>13</v>
      </c>
      <c r="K295" s="260">
        <f>+H295/I295</f>
        <v>7</v>
      </c>
      <c r="L295" s="264">
        <f>821982.75+546264.5+300546.5+218412+49105+23614+196+9844+340-11+2445+535+1144+3612+145+369+3597+110+56+91</f>
        <v>1982397.75</v>
      </c>
      <c r="M295" s="261">
        <f>109740+66898+39464+31918+7910+4204-8+1658-1+56+431+18+107+206+886+29+105+600+17+8+13</f>
        <v>264259</v>
      </c>
      <c r="N295" s="255">
        <f>+L295/M295</f>
        <v>7.501722741704161</v>
      </c>
      <c r="O295" s="341"/>
    </row>
    <row r="296" spans="1:15" ht="12" customHeight="1">
      <c r="A296" s="228">
        <v>293</v>
      </c>
      <c r="B296" s="309" t="s">
        <v>135</v>
      </c>
      <c r="C296" s="246">
        <v>39920</v>
      </c>
      <c r="D296" s="362" t="s">
        <v>270</v>
      </c>
      <c r="E296" s="310">
        <v>132</v>
      </c>
      <c r="F296" s="310">
        <v>3</v>
      </c>
      <c r="G296" s="310">
        <v>19</v>
      </c>
      <c r="H296" s="363">
        <v>2655</v>
      </c>
      <c r="I296" s="364">
        <v>531</v>
      </c>
      <c r="J296" s="296">
        <f>+I296/F296</f>
        <v>177</v>
      </c>
      <c r="K296" s="297">
        <f>+H296/I296</f>
        <v>5</v>
      </c>
      <c r="L296" s="365">
        <v>914710</v>
      </c>
      <c r="M296" s="366">
        <v>117082</v>
      </c>
      <c r="N296" s="255">
        <f>L297/M297</f>
        <v>8.731513399310575</v>
      </c>
      <c r="O296" s="244">
        <v>1</v>
      </c>
    </row>
    <row r="297" spans="1:15" ht="12" customHeight="1">
      <c r="A297" s="228">
        <v>294</v>
      </c>
      <c r="B297" s="245" t="s">
        <v>280</v>
      </c>
      <c r="C297" s="246">
        <v>39990</v>
      </c>
      <c r="D297" s="247" t="s">
        <v>335</v>
      </c>
      <c r="E297" s="248">
        <v>20</v>
      </c>
      <c r="F297" s="248">
        <v>1</v>
      </c>
      <c r="G297" s="248">
        <v>16</v>
      </c>
      <c r="H297" s="249">
        <v>1280</v>
      </c>
      <c r="I297" s="250">
        <v>256</v>
      </c>
      <c r="J297" s="251">
        <f>I297/F297</f>
        <v>256</v>
      </c>
      <c r="K297" s="260">
        <f>H297/I297</f>
        <v>5</v>
      </c>
      <c r="L297" s="253">
        <v>157045</v>
      </c>
      <c r="M297" s="254">
        <v>17986</v>
      </c>
      <c r="N297" s="255">
        <f>+L297/M297</f>
        <v>8.731513399310575</v>
      </c>
      <c r="O297" s="262">
        <v>1</v>
      </c>
    </row>
    <row r="298" spans="1:15" ht="12" customHeight="1">
      <c r="A298" s="228">
        <v>295</v>
      </c>
      <c r="B298" s="245" t="s">
        <v>351</v>
      </c>
      <c r="C298" s="246">
        <v>40123</v>
      </c>
      <c r="D298" s="286" t="s">
        <v>418</v>
      </c>
      <c r="E298" s="248">
        <v>58</v>
      </c>
      <c r="F298" s="248">
        <v>7</v>
      </c>
      <c r="G298" s="248">
        <v>9</v>
      </c>
      <c r="H298" s="294">
        <v>2843</v>
      </c>
      <c r="I298" s="300">
        <v>406</v>
      </c>
      <c r="J298" s="301">
        <f>IF(H298&lt;&gt;0,I298/F298,"")</f>
        <v>58</v>
      </c>
      <c r="K298" s="302">
        <f>IF(H298&lt;&gt;0,H298/I298,"")</f>
        <v>7.002463054187192</v>
      </c>
      <c r="L298" s="298">
        <v>471356.75</v>
      </c>
      <c r="M298" s="283">
        <v>45156</v>
      </c>
      <c r="N298" s="272">
        <f>L299/M299</f>
        <v>10.370201545986548</v>
      </c>
      <c r="O298" s="335">
        <v>1</v>
      </c>
    </row>
    <row r="299" spans="1:15" ht="12" customHeight="1">
      <c r="A299" s="228">
        <v>296</v>
      </c>
      <c r="B299" s="281" t="s">
        <v>351</v>
      </c>
      <c r="C299" s="265">
        <v>40123</v>
      </c>
      <c r="D299" s="286" t="s">
        <v>418</v>
      </c>
      <c r="E299" s="276">
        <v>58</v>
      </c>
      <c r="F299" s="276">
        <v>3</v>
      </c>
      <c r="G299" s="276">
        <v>12</v>
      </c>
      <c r="H299" s="267">
        <v>2007</v>
      </c>
      <c r="I299" s="268">
        <v>364</v>
      </c>
      <c r="J299" s="269">
        <f>I299/F299</f>
        <v>121.33333333333333</v>
      </c>
      <c r="K299" s="270">
        <f>H299/I299</f>
        <v>5.513736263736264</v>
      </c>
      <c r="L299" s="271">
        <v>474913.75</v>
      </c>
      <c r="M299" s="269">
        <v>45796</v>
      </c>
      <c r="N299" s="299">
        <f>IF(L300&lt;&gt;0,L300/M300,"")</f>
        <v>10.319510115076538</v>
      </c>
      <c r="O299" s="244">
        <v>1</v>
      </c>
    </row>
    <row r="300" spans="1:16" ht="12" customHeight="1">
      <c r="A300" s="228">
        <v>297</v>
      </c>
      <c r="B300" s="324" t="s">
        <v>351</v>
      </c>
      <c r="C300" s="308">
        <v>40123</v>
      </c>
      <c r="D300" s="336" t="s">
        <v>418</v>
      </c>
      <c r="E300" s="287">
        <v>58</v>
      </c>
      <c r="F300" s="287">
        <v>1</v>
      </c>
      <c r="G300" s="287">
        <v>16</v>
      </c>
      <c r="H300" s="288">
        <v>1188</v>
      </c>
      <c r="I300" s="289">
        <v>238</v>
      </c>
      <c r="J300" s="283">
        <f>I300/F300</f>
        <v>238</v>
      </c>
      <c r="K300" s="285">
        <f>H300/I300</f>
        <v>4.991596638655462</v>
      </c>
      <c r="L300" s="284">
        <v>477968.75</v>
      </c>
      <c r="M300" s="283">
        <v>46317</v>
      </c>
      <c r="N300" s="255">
        <f>L301/M301</f>
        <v>10.417936196481326</v>
      </c>
      <c r="O300" s="358">
        <v>1</v>
      </c>
      <c r="P300" s="10">
        <v>1</v>
      </c>
    </row>
    <row r="301" spans="1:15" ht="12" customHeight="1">
      <c r="A301" s="228">
        <v>298</v>
      </c>
      <c r="B301" s="245" t="s">
        <v>351</v>
      </c>
      <c r="C301" s="246">
        <v>40123</v>
      </c>
      <c r="D301" s="286" t="s">
        <v>418</v>
      </c>
      <c r="E301" s="248">
        <v>58</v>
      </c>
      <c r="F301" s="248">
        <v>4</v>
      </c>
      <c r="G301" s="248">
        <v>10</v>
      </c>
      <c r="H301" s="294">
        <v>1180</v>
      </c>
      <c r="I301" s="295">
        <v>202</v>
      </c>
      <c r="J301" s="296">
        <f>IF(H301&lt;&gt;0,I301/F301,"")</f>
        <v>50.5</v>
      </c>
      <c r="K301" s="297">
        <f>IF(H301&lt;&gt;0,H301/I301,"")</f>
        <v>5.841584158415841</v>
      </c>
      <c r="L301" s="298">
        <v>472536.75</v>
      </c>
      <c r="M301" s="269">
        <v>45358</v>
      </c>
      <c r="N301" s="272">
        <f>L302/M302</f>
        <v>10.36151509873506</v>
      </c>
      <c r="O301" s="244">
        <v>1</v>
      </c>
    </row>
    <row r="302" spans="1:15" ht="12" customHeight="1">
      <c r="A302" s="228">
        <v>299</v>
      </c>
      <c r="B302" s="281" t="s">
        <v>351</v>
      </c>
      <c r="C302" s="265">
        <v>40123</v>
      </c>
      <c r="D302" s="286" t="s">
        <v>418</v>
      </c>
      <c r="E302" s="276">
        <v>58</v>
      </c>
      <c r="F302" s="276">
        <v>2</v>
      </c>
      <c r="G302" s="276">
        <v>13</v>
      </c>
      <c r="H302" s="267">
        <v>1001</v>
      </c>
      <c r="I302" s="268">
        <v>135</v>
      </c>
      <c r="J302" s="269">
        <f>(I302/F302)</f>
        <v>67.5</v>
      </c>
      <c r="K302" s="270">
        <f>(J302/G302)</f>
        <v>5.1923076923076925</v>
      </c>
      <c r="L302" s="271">
        <v>475914.75</v>
      </c>
      <c r="M302" s="269">
        <v>45931</v>
      </c>
      <c r="N302" s="272">
        <f>IF(L303&lt;&gt;0,L303/M303,"")</f>
        <v>10.30776810907446</v>
      </c>
      <c r="O302" s="338"/>
    </row>
    <row r="303" spans="1:15" ht="12" customHeight="1">
      <c r="A303" s="228">
        <v>300</v>
      </c>
      <c r="B303" s="245" t="s">
        <v>351</v>
      </c>
      <c r="C303" s="246">
        <v>40123</v>
      </c>
      <c r="D303" s="286" t="s">
        <v>444</v>
      </c>
      <c r="E303" s="248">
        <v>58</v>
      </c>
      <c r="F303" s="248">
        <v>2</v>
      </c>
      <c r="G303" s="248">
        <v>17</v>
      </c>
      <c r="H303" s="342">
        <v>590</v>
      </c>
      <c r="I303" s="295">
        <v>110</v>
      </c>
      <c r="J303" s="296">
        <f>IF(H303&lt;&gt;0,I303/F303,"")</f>
        <v>55</v>
      </c>
      <c r="K303" s="297">
        <f>IF(H303&lt;&gt;0,H303/I303,"")</f>
        <v>5.363636363636363</v>
      </c>
      <c r="L303" s="343">
        <v>478558.75</v>
      </c>
      <c r="M303" s="269">
        <v>46427</v>
      </c>
      <c r="N303" s="299">
        <f>IF(L303&lt;&gt;0,L303/M303,"")</f>
        <v>10.30776810907446</v>
      </c>
      <c r="O303" s="338"/>
    </row>
    <row r="304" spans="1:15" ht="12" customHeight="1">
      <c r="A304" s="228">
        <v>301</v>
      </c>
      <c r="B304" s="281" t="s">
        <v>351</v>
      </c>
      <c r="C304" s="265">
        <v>40123</v>
      </c>
      <c r="D304" s="286" t="s">
        <v>418</v>
      </c>
      <c r="E304" s="276">
        <v>58</v>
      </c>
      <c r="F304" s="276">
        <v>1</v>
      </c>
      <c r="G304" s="276">
        <v>14</v>
      </c>
      <c r="H304" s="280">
        <v>563</v>
      </c>
      <c r="I304" s="282">
        <v>98</v>
      </c>
      <c r="J304" s="283">
        <f>IF(H304&lt;&gt;0,I304/F304,"")</f>
        <v>98</v>
      </c>
      <c r="K304" s="285">
        <f>IF(H304&lt;&gt;0,H304/I304,"")</f>
        <v>5.744897959183674</v>
      </c>
      <c r="L304" s="284">
        <v>476477.75</v>
      </c>
      <c r="M304" s="283">
        <v>46029</v>
      </c>
      <c r="N304" s="299">
        <f>IF(L305&lt;&gt;0,L305/M305,"")</f>
        <v>10.469581005586592</v>
      </c>
      <c r="O304" s="338"/>
    </row>
    <row r="305" spans="1:15" ht="12" customHeight="1">
      <c r="A305" s="228">
        <v>302</v>
      </c>
      <c r="B305" s="245" t="s">
        <v>351</v>
      </c>
      <c r="C305" s="246">
        <v>40123</v>
      </c>
      <c r="D305" s="257" t="s">
        <v>418</v>
      </c>
      <c r="E305" s="248">
        <v>58</v>
      </c>
      <c r="F305" s="248">
        <v>1</v>
      </c>
      <c r="G305" s="248">
        <v>8</v>
      </c>
      <c r="H305" s="294">
        <v>414</v>
      </c>
      <c r="I305" s="300">
        <v>83</v>
      </c>
      <c r="J305" s="301">
        <f>IF(H305&lt;&gt;0,I305/F305,"")</f>
        <v>83</v>
      </c>
      <c r="K305" s="297">
        <f>IF(H305&lt;&gt;0,H305/I305,"")</f>
        <v>4.9879518072289155</v>
      </c>
      <c r="L305" s="298">
        <v>468513.75</v>
      </c>
      <c r="M305" s="283">
        <v>44750</v>
      </c>
      <c r="N305" s="255">
        <f>IF(L306&lt;&gt;0,L306/M306,"")</f>
        <v>10.409111419263954</v>
      </c>
      <c r="O305" s="256">
        <v>1</v>
      </c>
    </row>
    <row r="306" spans="1:15" ht="12" customHeight="1">
      <c r="A306" s="228">
        <v>303</v>
      </c>
      <c r="B306" s="281" t="s">
        <v>351</v>
      </c>
      <c r="C306" s="265">
        <v>40123</v>
      </c>
      <c r="D306" s="266" t="s">
        <v>418</v>
      </c>
      <c r="E306" s="276">
        <v>58</v>
      </c>
      <c r="F306" s="276">
        <v>4</v>
      </c>
      <c r="G306" s="276">
        <v>11</v>
      </c>
      <c r="H306" s="263">
        <v>370</v>
      </c>
      <c r="I306" s="258">
        <v>74</v>
      </c>
      <c r="J306" s="259">
        <f>IF(H306&lt;&gt;0,I306/F306,"")</f>
        <v>18.5</v>
      </c>
      <c r="K306" s="260">
        <f>IF(H306&lt;&gt;0,H306/I306,"")</f>
        <v>5</v>
      </c>
      <c r="L306" s="264">
        <v>472906.75</v>
      </c>
      <c r="M306" s="261">
        <v>45432</v>
      </c>
      <c r="N306" s="272">
        <f>+L307/M307</f>
        <v>10.34702901538662</v>
      </c>
      <c r="O306" s="367">
        <v>1</v>
      </c>
    </row>
    <row r="307" spans="1:15" ht="12" customHeight="1">
      <c r="A307" s="228">
        <v>304</v>
      </c>
      <c r="B307" s="281" t="s">
        <v>351</v>
      </c>
      <c r="C307" s="308">
        <v>40123</v>
      </c>
      <c r="D307" s="286" t="s">
        <v>418</v>
      </c>
      <c r="E307" s="287">
        <v>58</v>
      </c>
      <c r="F307" s="287">
        <v>2</v>
      </c>
      <c r="G307" s="287">
        <v>15</v>
      </c>
      <c r="H307" s="288">
        <v>303</v>
      </c>
      <c r="I307" s="289">
        <v>50</v>
      </c>
      <c r="J307" s="283">
        <f>I307/F307</f>
        <v>25</v>
      </c>
      <c r="K307" s="285">
        <f>H307/I307</f>
        <v>6.06</v>
      </c>
      <c r="L307" s="284">
        <v>476780.75</v>
      </c>
      <c r="M307" s="283">
        <v>46079</v>
      </c>
      <c r="N307" s="272">
        <f>+L308/M308</f>
        <v>10.2966561398986</v>
      </c>
      <c r="O307" s="262">
        <v>1</v>
      </c>
    </row>
    <row r="308" spans="1:15" ht="12" customHeight="1">
      <c r="A308" s="228">
        <v>305</v>
      </c>
      <c r="B308" s="281" t="s">
        <v>351</v>
      </c>
      <c r="C308" s="265">
        <v>40123</v>
      </c>
      <c r="D308" s="247" t="s">
        <v>444</v>
      </c>
      <c r="E308" s="276">
        <v>58</v>
      </c>
      <c r="F308" s="276">
        <v>1</v>
      </c>
      <c r="G308" s="276">
        <v>21</v>
      </c>
      <c r="H308" s="280">
        <v>276</v>
      </c>
      <c r="I308" s="282">
        <v>46</v>
      </c>
      <c r="J308" s="283">
        <f>IF(H308&lt;&gt;0,I308/F308,"")</f>
        <v>46</v>
      </c>
      <c r="K308" s="285">
        <f>IF(H308&lt;&gt;0,H308/I308,"")</f>
        <v>6</v>
      </c>
      <c r="L308" s="284">
        <v>479288.75</v>
      </c>
      <c r="M308" s="283">
        <v>46548</v>
      </c>
      <c r="N308" s="272">
        <f>IF(L308&lt;&gt;0,L308/M308,"")</f>
        <v>10.2966561398986</v>
      </c>
      <c r="O308" s="262">
        <v>1</v>
      </c>
    </row>
    <row r="309" spans="1:15" ht="12" customHeight="1">
      <c r="A309" s="228">
        <v>306</v>
      </c>
      <c r="B309" s="245" t="s">
        <v>351</v>
      </c>
      <c r="C309" s="265">
        <v>40123</v>
      </c>
      <c r="D309" s="247" t="s">
        <v>444</v>
      </c>
      <c r="E309" s="276">
        <v>58</v>
      </c>
      <c r="F309" s="276">
        <v>1</v>
      </c>
      <c r="G309" s="276">
        <v>20</v>
      </c>
      <c r="H309" s="267">
        <v>252</v>
      </c>
      <c r="I309" s="268">
        <v>42</v>
      </c>
      <c r="J309" s="269">
        <f>IF(H309&lt;&gt;0,I309/F309,"")</f>
        <v>42</v>
      </c>
      <c r="K309" s="270">
        <f>IF(H309&lt;&gt;0,H309/I309,"")</f>
        <v>6</v>
      </c>
      <c r="L309" s="271">
        <v>479012.75</v>
      </c>
      <c r="M309" s="269">
        <v>46502</v>
      </c>
      <c r="N309" s="272">
        <f>IF(L309&lt;&gt;0,L309/M309,"")</f>
        <v>10.300906412627414</v>
      </c>
      <c r="O309" s="262">
        <v>1</v>
      </c>
    </row>
    <row r="310" spans="1:15" ht="12" customHeight="1">
      <c r="A310" s="228">
        <v>307</v>
      </c>
      <c r="B310" s="324" t="s">
        <v>351</v>
      </c>
      <c r="C310" s="246">
        <v>40123</v>
      </c>
      <c r="D310" s="286" t="s">
        <v>444</v>
      </c>
      <c r="E310" s="248">
        <v>58</v>
      </c>
      <c r="F310" s="248">
        <v>1</v>
      </c>
      <c r="G310" s="248">
        <v>19</v>
      </c>
      <c r="H310" s="294">
        <v>122</v>
      </c>
      <c r="I310" s="300">
        <v>20</v>
      </c>
      <c r="J310" s="301">
        <f>IF(H310&lt;&gt;0,I310/F310,"")</f>
        <v>20</v>
      </c>
      <c r="K310" s="297">
        <f>IF(H310&lt;&gt;0,H310/I310,"")</f>
        <v>6.1</v>
      </c>
      <c r="L310" s="298">
        <v>478760.75</v>
      </c>
      <c r="M310" s="283">
        <v>46460</v>
      </c>
      <c r="N310" s="299">
        <f>IF(L310&lt;&gt;0,L310/M310,"")</f>
        <v>10.304794446835988</v>
      </c>
      <c r="O310" s="340">
        <v>1</v>
      </c>
    </row>
    <row r="311" spans="1:15" ht="12" customHeight="1">
      <c r="A311" s="228">
        <v>308</v>
      </c>
      <c r="B311" s="245" t="s">
        <v>351</v>
      </c>
      <c r="C311" s="265">
        <v>40123</v>
      </c>
      <c r="D311" s="247" t="s">
        <v>444</v>
      </c>
      <c r="E311" s="276">
        <v>58</v>
      </c>
      <c r="F311" s="276">
        <v>1</v>
      </c>
      <c r="G311" s="276">
        <v>22</v>
      </c>
      <c r="H311" s="267">
        <v>120</v>
      </c>
      <c r="I311" s="268">
        <v>20</v>
      </c>
      <c r="J311" s="269">
        <f>IF(H311&lt;&gt;0,I311/F311,"")</f>
        <v>20</v>
      </c>
      <c r="K311" s="270">
        <f>IF(H311&lt;&gt;0,H311/I311,"")</f>
        <v>6</v>
      </c>
      <c r="L311" s="271">
        <f>479288.75+H311</f>
        <v>479408.75</v>
      </c>
      <c r="M311" s="269">
        <f>46548+I311</f>
        <v>46568</v>
      </c>
      <c r="N311" s="272">
        <f>IF(L311&lt;&gt;0,L311/M311,"")</f>
        <v>10.294810814293077</v>
      </c>
      <c r="O311" s="341">
        <v>1</v>
      </c>
    </row>
    <row r="312" spans="1:15" ht="12" customHeight="1">
      <c r="A312" s="228">
        <v>309</v>
      </c>
      <c r="B312" s="245" t="s">
        <v>351</v>
      </c>
      <c r="C312" s="246">
        <v>40123</v>
      </c>
      <c r="D312" s="247" t="s">
        <v>444</v>
      </c>
      <c r="E312" s="248">
        <v>58</v>
      </c>
      <c r="F312" s="248">
        <v>1</v>
      </c>
      <c r="G312" s="248">
        <v>18</v>
      </c>
      <c r="H312" s="249">
        <v>80</v>
      </c>
      <c r="I312" s="250">
        <v>13</v>
      </c>
      <c r="J312" s="251">
        <f>I312/F312</f>
        <v>13</v>
      </c>
      <c r="K312" s="260">
        <f aca="true" t="shared" si="29" ref="K312:K317">H312/I312</f>
        <v>6.153846153846154</v>
      </c>
      <c r="L312" s="253">
        <v>478638.75</v>
      </c>
      <c r="M312" s="254">
        <v>46440</v>
      </c>
      <c r="N312" s="255">
        <f>+L312/M312</f>
        <v>10.306605297157622</v>
      </c>
      <c r="O312" s="273"/>
    </row>
    <row r="313" spans="1:15" ht="12" customHeight="1">
      <c r="A313" s="228">
        <v>310</v>
      </c>
      <c r="B313" s="324" t="s">
        <v>491</v>
      </c>
      <c r="C313" s="265">
        <v>39472</v>
      </c>
      <c r="D313" s="275" t="s">
        <v>349</v>
      </c>
      <c r="E313" s="287">
        <v>59</v>
      </c>
      <c r="F313" s="287">
        <v>1</v>
      </c>
      <c r="G313" s="287">
        <v>36</v>
      </c>
      <c r="H313" s="288">
        <v>2398</v>
      </c>
      <c r="I313" s="289">
        <v>399</v>
      </c>
      <c r="J313" s="283">
        <f>I313/F313</f>
        <v>399</v>
      </c>
      <c r="K313" s="285">
        <f t="shared" si="29"/>
        <v>6.010025062656641</v>
      </c>
      <c r="L313" s="284">
        <f>395290.5+262822+75939+23709.5+4083+1327+9321+1445+1267+2173+4575+201+1748+3343+728+28+948+1329+163+182+173+15521.5+171+40+110+75+183.5+127+124.5+1976+312+180+12+2398</f>
        <v>812025.5</v>
      </c>
      <c r="M313" s="283">
        <f>47426+32442+9866+4010+887+225+2185+263+226+460+1077+33+367+887+230+4+139+355+32+35+32+3859+49+8+22+15+68+46+45+659+52+30+2+399</f>
        <v>106435</v>
      </c>
      <c r="N313" s="290">
        <f>+L313/M313</f>
        <v>7.62930896791469</v>
      </c>
      <c r="O313" s="274"/>
    </row>
    <row r="314" spans="1:15" ht="12" customHeight="1">
      <c r="A314" s="228">
        <v>311</v>
      </c>
      <c r="B314" s="245" t="s">
        <v>491</v>
      </c>
      <c r="C314" s="265">
        <v>39472</v>
      </c>
      <c r="D314" s="247" t="s">
        <v>333</v>
      </c>
      <c r="E314" s="276">
        <v>59</v>
      </c>
      <c r="F314" s="276">
        <v>1</v>
      </c>
      <c r="G314" s="276">
        <v>38</v>
      </c>
      <c r="H314" s="267">
        <v>1799</v>
      </c>
      <c r="I314" s="268">
        <v>300</v>
      </c>
      <c r="J314" s="269">
        <f>I314/F314</f>
        <v>300</v>
      </c>
      <c r="K314" s="270">
        <f t="shared" si="29"/>
        <v>5.996666666666667</v>
      </c>
      <c r="L314" s="271">
        <f>395290.5+262822+75939+23709.5+4083+1327+9321+1445+1267+2173+4575+201+1748+3343+728+28+948+1329+163+182+173+15521.5+171+40+110+75+183.5+127+124.5+1976+312+180+12+2398+1799+1799</f>
        <v>815623.5</v>
      </c>
      <c r="M314" s="269">
        <f>47426+32442+9866+4010+887+225+2185+263+226+460+1077+33+367+887+230+4+139+355+32+35+32+3859+49+8+22+15+68+46+45+659+52+30+2+399+300+300</f>
        <v>107035</v>
      </c>
      <c r="N314" s="272">
        <f>+L314/M314</f>
        <v>7.620156958004391</v>
      </c>
      <c r="O314" s="262"/>
    </row>
    <row r="315" spans="1:15" ht="12" customHeight="1">
      <c r="A315" s="228">
        <v>312</v>
      </c>
      <c r="B315" s="245" t="s">
        <v>491</v>
      </c>
      <c r="C315" s="265">
        <v>39472</v>
      </c>
      <c r="D315" s="275" t="s">
        <v>333</v>
      </c>
      <c r="E315" s="276">
        <v>59</v>
      </c>
      <c r="F315" s="276">
        <v>1</v>
      </c>
      <c r="G315" s="276">
        <v>37</v>
      </c>
      <c r="H315" s="263">
        <v>1799</v>
      </c>
      <c r="I315" s="258">
        <v>300</v>
      </c>
      <c r="J315" s="269">
        <f>I315/F315</f>
        <v>300</v>
      </c>
      <c r="K315" s="270">
        <f t="shared" si="29"/>
        <v>5.996666666666667</v>
      </c>
      <c r="L315" s="271">
        <f>395290.5+262822+75939+23709.5+4083+1327+9321+1445+1267+2173+4575+201+1748+3343+728+28+948+1329+163+182+173+15521.5+171+40+110+75+183.5+127+124.5+1976+312+180+12+2398+1799</f>
        <v>813824.5</v>
      </c>
      <c r="M315" s="269">
        <f>47426+32442+9866+4010+887+225+2185+263+226+460+1077+33+367+887+230+4+139+355+32+35+32+3859+49+8+22+15+68+46+45+659+52+30+2+399+300</f>
        <v>106735</v>
      </c>
      <c r="N315" s="272">
        <f>+L315/M315</f>
        <v>7.624720101185178</v>
      </c>
      <c r="O315" s="262"/>
    </row>
    <row r="316" spans="1:15" ht="12" customHeight="1">
      <c r="A316" s="228">
        <v>313</v>
      </c>
      <c r="B316" s="281" t="s">
        <v>356</v>
      </c>
      <c r="C316" s="265">
        <v>40151</v>
      </c>
      <c r="D316" s="275" t="s">
        <v>322</v>
      </c>
      <c r="E316" s="276">
        <v>8</v>
      </c>
      <c r="F316" s="276">
        <v>7</v>
      </c>
      <c r="G316" s="276">
        <v>6</v>
      </c>
      <c r="H316" s="249">
        <v>4958.5</v>
      </c>
      <c r="I316" s="250">
        <v>693</v>
      </c>
      <c r="J316" s="251">
        <f>(I316/F316)</f>
        <v>99</v>
      </c>
      <c r="K316" s="252">
        <f t="shared" si="29"/>
        <v>7.155122655122655</v>
      </c>
      <c r="L316" s="253">
        <f>69195.5+29540+2797+8009+1473.5+4958.5</f>
        <v>115973.5</v>
      </c>
      <c r="M316" s="254">
        <f>5170+2208+292+904+296+693</f>
        <v>9563</v>
      </c>
      <c r="N316" s="255">
        <f>L317/M317</f>
        <v>11.478786149162861</v>
      </c>
      <c r="O316" s="345"/>
    </row>
    <row r="317" spans="1:15" ht="12" customHeight="1">
      <c r="A317" s="228">
        <v>314</v>
      </c>
      <c r="B317" s="304" t="s">
        <v>356</v>
      </c>
      <c r="C317" s="305">
        <v>40151</v>
      </c>
      <c r="D317" s="275" t="s">
        <v>322</v>
      </c>
      <c r="E317" s="306">
        <v>8</v>
      </c>
      <c r="F317" s="306">
        <v>6</v>
      </c>
      <c r="G317" s="306">
        <v>7</v>
      </c>
      <c r="H317" s="249">
        <v>4691.5</v>
      </c>
      <c r="I317" s="258">
        <v>949</v>
      </c>
      <c r="J317" s="259">
        <f>(I317/F317)</f>
        <v>158.16666666666666</v>
      </c>
      <c r="K317" s="260">
        <f t="shared" si="29"/>
        <v>4.943624868282402</v>
      </c>
      <c r="L317" s="253">
        <f>69195.5+29540+2797+8009+1473.5+4958.5+4691.5</f>
        <v>120665</v>
      </c>
      <c r="M317" s="261">
        <f>5170+2208+292+904+296+693+949</f>
        <v>10512</v>
      </c>
      <c r="N317" s="272">
        <f>L318/M318</f>
        <v>11.078535891968729</v>
      </c>
      <c r="O317" s="262"/>
    </row>
    <row r="318" spans="1:15" ht="12" customHeight="1">
      <c r="A318" s="228">
        <v>315</v>
      </c>
      <c r="B318" s="281" t="s">
        <v>356</v>
      </c>
      <c r="C318" s="265">
        <v>40151</v>
      </c>
      <c r="D318" s="275" t="s">
        <v>322</v>
      </c>
      <c r="E318" s="276">
        <v>8</v>
      </c>
      <c r="F318" s="276">
        <v>4</v>
      </c>
      <c r="G318" s="276">
        <v>10</v>
      </c>
      <c r="H318" s="267">
        <v>3228</v>
      </c>
      <c r="I318" s="268">
        <v>613</v>
      </c>
      <c r="J318" s="269">
        <f>I318/F318</f>
        <v>153.25</v>
      </c>
      <c r="K318" s="270">
        <f>+H318/I318</f>
        <v>5.265905383360522</v>
      </c>
      <c r="L318" s="271">
        <f>69195.5+29540+2797+8009+1473.5+4958.5+4691.5+45+762+3228</f>
        <v>124700</v>
      </c>
      <c r="M318" s="269">
        <f>5170+2208+292+904+296+693+949+9+122+613</f>
        <v>11256</v>
      </c>
      <c r="N318" s="255">
        <f>L319/M319</f>
        <v>10.809332535680712</v>
      </c>
      <c r="O318" s="244"/>
    </row>
    <row r="319" spans="1:15" ht="12" customHeight="1">
      <c r="A319" s="228">
        <v>316</v>
      </c>
      <c r="B319" s="245" t="s">
        <v>356</v>
      </c>
      <c r="C319" s="246">
        <v>40151</v>
      </c>
      <c r="D319" s="275" t="s">
        <v>322</v>
      </c>
      <c r="E319" s="248">
        <v>8</v>
      </c>
      <c r="F319" s="248">
        <v>1</v>
      </c>
      <c r="G319" s="248">
        <v>11</v>
      </c>
      <c r="H319" s="249">
        <v>1780</v>
      </c>
      <c r="I319" s="258">
        <v>445</v>
      </c>
      <c r="J319" s="259">
        <f aca="true" t="shared" si="30" ref="J319:J326">(I319/F319)</f>
        <v>445</v>
      </c>
      <c r="K319" s="260">
        <f>H319/I319</f>
        <v>4</v>
      </c>
      <c r="L319" s="253">
        <f>69195.5+29540+2797+8009+1473.5+4958.5+4691.5+45+762+3228+1780</f>
        <v>126480</v>
      </c>
      <c r="M319" s="261">
        <f>5170+2208+292+904+296+693+949+9+122+613+445</f>
        <v>11701</v>
      </c>
      <c r="N319" s="255">
        <f>IF(L320&lt;&gt;0,L320/M320,"")</f>
        <v>10.55985509632801</v>
      </c>
      <c r="O319" s="262"/>
    </row>
    <row r="320" spans="1:15" ht="12" customHeight="1">
      <c r="A320" s="228">
        <v>317</v>
      </c>
      <c r="B320" s="245" t="s">
        <v>356</v>
      </c>
      <c r="C320" s="246">
        <v>40151</v>
      </c>
      <c r="D320" s="275" t="s">
        <v>322</v>
      </c>
      <c r="E320" s="248">
        <v>8</v>
      </c>
      <c r="F320" s="248">
        <v>1</v>
      </c>
      <c r="G320" s="248">
        <v>12</v>
      </c>
      <c r="H320" s="249">
        <v>1780</v>
      </c>
      <c r="I320" s="250">
        <v>445</v>
      </c>
      <c r="J320" s="251">
        <f t="shared" si="30"/>
        <v>445</v>
      </c>
      <c r="K320" s="252">
        <f>H320/I320</f>
        <v>4</v>
      </c>
      <c r="L320" s="253">
        <f>69195.5+29540+2797+8009+1473.5+4958.5+4691.5+45+762+3228+1780+1780</f>
        <v>128260</v>
      </c>
      <c r="M320" s="254">
        <f>5170+2208+292+904+296+693+949+9+122+613+445+445</f>
        <v>12146</v>
      </c>
      <c r="N320" s="272">
        <f>+L321/M321</f>
        <v>10.524278534370946</v>
      </c>
      <c r="O320" s="346"/>
    </row>
    <row r="321" spans="1:15" ht="12" customHeight="1">
      <c r="A321" s="228">
        <v>318</v>
      </c>
      <c r="B321" s="245" t="s">
        <v>356</v>
      </c>
      <c r="C321" s="265">
        <v>40151</v>
      </c>
      <c r="D321" s="275" t="s">
        <v>322</v>
      </c>
      <c r="E321" s="287">
        <v>8</v>
      </c>
      <c r="F321" s="287">
        <v>2</v>
      </c>
      <c r="G321" s="287">
        <v>13</v>
      </c>
      <c r="H321" s="288">
        <v>1567.5</v>
      </c>
      <c r="I321" s="289">
        <v>190</v>
      </c>
      <c r="J321" s="283">
        <f t="shared" si="30"/>
        <v>95</v>
      </c>
      <c r="K321" s="285">
        <f>H321/I321</f>
        <v>8.25</v>
      </c>
      <c r="L321" s="284">
        <f>69195.5+29540+2797+8009+1473.5+4958.5+4691.5+45+762+3228+1780+1780+1567.5</f>
        <v>129827.5</v>
      </c>
      <c r="M321" s="283">
        <f>5170+2208+292+904+296+693+949+9+122+613+445+445+190</f>
        <v>12336</v>
      </c>
      <c r="N321" s="290">
        <f>L321/M321</f>
        <v>10.524278534370946</v>
      </c>
      <c r="O321" s="262"/>
    </row>
    <row r="322" spans="1:15" ht="12" customHeight="1">
      <c r="A322" s="228">
        <v>319</v>
      </c>
      <c r="B322" s="281" t="s">
        <v>356</v>
      </c>
      <c r="C322" s="265">
        <v>40151</v>
      </c>
      <c r="D322" s="275" t="s">
        <v>322</v>
      </c>
      <c r="E322" s="276">
        <v>8</v>
      </c>
      <c r="F322" s="276">
        <v>3</v>
      </c>
      <c r="G322" s="276">
        <v>5</v>
      </c>
      <c r="H322" s="249">
        <v>1473.5</v>
      </c>
      <c r="I322" s="250">
        <v>296</v>
      </c>
      <c r="J322" s="251">
        <f t="shared" si="30"/>
        <v>98.66666666666667</v>
      </c>
      <c r="K322" s="260">
        <f>H322/I322</f>
        <v>4.97804054054054</v>
      </c>
      <c r="L322" s="253">
        <f>69195.5+29540+2797+8009+1473.5</f>
        <v>111015</v>
      </c>
      <c r="M322" s="254">
        <f>5170+2208+292+904+296</f>
        <v>8870</v>
      </c>
      <c r="N322" s="255">
        <f>L323/M323</f>
        <v>11.419652092148565</v>
      </c>
      <c r="O322" s="244"/>
    </row>
    <row r="323" spans="1:15" ht="12" customHeight="1">
      <c r="A323" s="228">
        <v>320</v>
      </c>
      <c r="B323" s="304" t="s">
        <v>356</v>
      </c>
      <c r="C323" s="305">
        <v>40151</v>
      </c>
      <c r="D323" s="275" t="s">
        <v>322</v>
      </c>
      <c r="E323" s="306">
        <v>8</v>
      </c>
      <c r="F323" s="306">
        <v>2</v>
      </c>
      <c r="G323" s="306">
        <v>9</v>
      </c>
      <c r="H323" s="263">
        <v>738</v>
      </c>
      <c r="I323" s="258">
        <v>114</v>
      </c>
      <c r="J323" s="259">
        <f t="shared" si="30"/>
        <v>57</v>
      </c>
      <c r="K323" s="270">
        <f>+H323/I323</f>
        <v>6.473684210526316</v>
      </c>
      <c r="L323" s="264">
        <f>69195.5+29540+2797+8009+1473.5+4958.5+4691.5+45+738</f>
        <v>121448</v>
      </c>
      <c r="M323" s="261">
        <f>5170+2208+292+904+296+693+949+9+114</f>
        <v>10635</v>
      </c>
      <c r="N323" s="255">
        <f>L324/M324</f>
        <v>10.490032955550197</v>
      </c>
      <c r="O323" s="341"/>
    </row>
    <row r="324" spans="1:15" ht="12" customHeight="1">
      <c r="A324" s="228">
        <v>321</v>
      </c>
      <c r="B324" s="325" t="s">
        <v>356</v>
      </c>
      <c r="C324" s="265">
        <v>40151</v>
      </c>
      <c r="D324" s="275" t="s">
        <v>322</v>
      </c>
      <c r="E324" s="276">
        <v>8</v>
      </c>
      <c r="F324" s="276">
        <v>1</v>
      </c>
      <c r="G324" s="276">
        <v>15</v>
      </c>
      <c r="H324" s="263">
        <v>496</v>
      </c>
      <c r="I324" s="258">
        <v>75</v>
      </c>
      <c r="J324" s="259">
        <f t="shared" si="30"/>
        <v>75</v>
      </c>
      <c r="K324" s="260">
        <f>H324/I324</f>
        <v>6.613333333333333</v>
      </c>
      <c r="L324" s="264">
        <f>69195.5+29540+2797+8009+1473.5+4958.5+4691.5+45+762+3228+1780+1780+1567.5+183+496</f>
        <v>130506.5</v>
      </c>
      <c r="M324" s="261">
        <f>5170+2208+292+904+296+693+949+9+122+613+445+445+190+30+75</f>
        <v>12441</v>
      </c>
      <c r="N324" s="255">
        <f>L324/M324</f>
        <v>10.490032955550197</v>
      </c>
      <c r="O324" s="262"/>
    </row>
    <row r="325" spans="1:15" ht="12" customHeight="1">
      <c r="A325" s="228">
        <v>322</v>
      </c>
      <c r="B325" s="245" t="s">
        <v>356</v>
      </c>
      <c r="C325" s="265">
        <v>40151</v>
      </c>
      <c r="D325" s="275" t="s">
        <v>322</v>
      </c>
      <c r="E325" s="287">
        <v>8</v>
      </c>
      <c r="F325" s="287">
        <v>1</v>
      </c>
      <c r="G325" s="287">
        <v>14</v>
      </c>
      <c r="H325" s="288">
        <v>183</v>
      </c>
      <c r="I325" s="326">
        <v>30</v>
      </c>
      <c r="J325" s="269">
        <f t="shared" si="30"/>
        <v>30</v>
      </c>
      <c r="K325" s="270">
        <f>H325/I325</f>
        <v>6.1</v>
      </c>
      <c r="L325" s="271">
        <f>69195.5+29540+2797+8009+1473.5+4958.5+4691.5+45+762+3228+1780+1780+1567.5+183</f>
        <v>130010.5</v>
      </c>
      <c r="M325" s="269">
        <f>5170+2208+292+904+296+693+949+9+122+613+445+445+190+30</f>
        <v>12366</v>
      </c>
      <c r="N325" s="272">
        <f>L325/M325</f>
        <v>10.513545204593239</v>
      </c>
      <c r="O325" s="262"/>
    </row>
    <row r="326" spans="1:15" ht="12" customHeight="1">
      <c r="A326" s="228">
        <v>323</v>
      </c>
      <c r="B326" s="281" t="s">
        <v>356</v>
      </c>
      <c r="C326" s="265">
        <v>40151</v>
      </c>
      <c r="D326" s="275" t="s">
        <v>322</v>
      </c>
      <c r="E326" s="276">
        <v>8</v>
      </c>
      <c r="F326" s="276">
        <v>1</v>
      </c>
      <c r="G326" s="276">
        <v>8</v>
      </c>
      <c r="H326" s="263">
        <v>45</v>
      </c>
      <c r="I326" s="258">
        <v>9</v>
      </c>
      <c r="J326" s="259">
        <f t="shared" si="30"/>
        <v>9</v>
      </c>
      <c r="K326" s="260">
        <f>H326/I326</f>
        <v>5</v>
      </c>
      <c r="L326" s="264">
        <f>69195.5+29540+2797+8009+1473.5+4958.5+4691.5+45</f>
        <v>120710</v>
      </c>
      <c r="M326" s="261">
        <f>5170+2208+292+904+296+693+949+9</f>
        <v>10521</v>
      </c>
      <c r="N326" s="255">
        <f>L327/M327</f>
        <v>8.780330260863376</v>
      </c>
      <c r="O326" s="358"/>
    </row>
    <row r="327" spans="1:15" ht="12" customHeight="1">
      <c r="A327" s="228">
        <v>324</v>
      </c>
      <c r="B327" s="281" t="s">
        <v>381</v>
      </c>
      <c r="C327" s="265">
        <v>40102</v>
      </c>
      <c r="D327" s="344" t="s">
        <v>320</v>
      </c>
      <c r="E327" s="276">
        <v>62</v>
      </c>
      <c r="F327" s="276">
        <v>2</v>
      </c>
      <c r="G327" s="276">
        <v>13</v>
      </c>
      <c r="H327" s="280">
        <v>3422</v>
      </c>
      <c r="I327" s="268">
        <v>491</v>
      </c>
      <c r="J327" s="269">
        <f>I327/F327</f>
        <v>245.5</v>
      </c>
      <c r="K327" s="270">
        <f>+H327/I327</f>
        <v>6.969450101832994</v>
      </c>
      <c r="L327" s="284">
        <v>493437</v>
      </c>
      <c r="M327" s="269">
        <v>56198</v>
      </c>
      <c r="N327" s="272">
        <f>+L328/M328</f>
        <v>8.796291309889241</v>
      </c>
      <c r="O327" s="256"/>
    </row>
    <row r="328" spans="1:15" ht="12" customHeight="1">
      <c r="A328" s="228">
        <v>325</v>
      </c>
      <c r="B328" s="281" t="s">
        <v>381</v>
      </c>
      <c r="C328" s="265">
        <v>40102</v>
      </c>
      <c r="D328" s="344" t="s">
        <v>320</v>
      </c>
      <c r="E328" s="276">
        <v>62</v>
      </c>
      <c r="F328" s="276">
        <v>1</v>
      </c>
      <c r="G328" s="276">
        <v>12</v>
      </c>
      <c r="H328" s="280">
        <v>1258</v>
      </c>
      <c r="I328" s="282">
        <v>177</v>
      </c>
      <c r="J328" s="283">
        <f>I328/F328</f>
        <v>177</v>
      </c>
      <c r="K328" s="285">
        <f>+H328/I328</f>
        <v>7.107344632768362</v>
      </c>
      <c r="L328" s="284">
        <v>490015</v>
      </c>
      <c r="M328" s="283">
        <v>55707</v>
      </c>
      <c r="N328" s="272">
        <f>+L329/M329</f>
        <v>8.779054054054054</v>
      </c>
      <c r="O328" s="262"/>
    </row>
    <row r="329" spans="1:15" ht="12" customHeight="1">
      <c r="A329" s="228">
        <v>326</v>
      </c>
      <c r="B329" s="281" t="s">
        <v>381</v>
      </c>
      <c r="C329" s="265">
        <v>40102</v>
      </c>
      <c r="D329" s="344" t="s">
        <v>320</v>
      </c>
      <c r="E329" s="276">
        <v>62</v>
      </c>
      <c r="F329" s="276">
        <v>1</v>
      </c>
      <c r="G329" s="276">
        <v>14</v>
      </c>
      <c r="H329" s="267">
        <v>297</v>
      </c>
      <c r="I329" s="268">
        <v>42</v>
      </c>
      <c r="J329" s="269">
        <f>I329/F329</f>
        <v>42</v>
      </c>
      <c r="K329" s="270">
        <f>+H329/I329</f>
        <v>7.071428571428571</v>
      </c>
      <c r="L329" s="271">
        <v>493734</v>
      </c>
      <c r="M329" s="269">
        <v>56240</v>
      </c>
      <c r="N329" s="272">
        <f>L330/M330</f>
        <v>9.558436863209097</v>
      </c>
      <c r="O329" s="341"/>
    </row>
    <row r="330" spans="1:15" ht="12" customHeight="1">
      <c r="A330" s="228">
        <v>327</v>
      </c>
      <c r="B330" s="281" t="s">
        <v>350</v>
      </c>
      <c r="C330" s="265">
        <v>40116</v>
      </c>
      <c r="D330" s="286" t="s">
        <v>349</v>
      </c>
      <c r="E330" s="276">
        <v>24</v>
      </c>
      <c r="F330" s="276">
        <v>2</v>
      </c>
      <c r="G330" s="276">
        <v>9</v>
      </c>
      <c r="H330" s="267">
        <v>865</v>
      </c>
      <c r="I330" s="268">
        <v>152</v>
      </c>
      <c r="J330" s="269">
        <f>I330/F330</f>
        <v>76</v>
      </c>
      <c r="K330" s="270">
        <f>H330/I330</f>
        <v>5.690789473684211</v>
      </c>
      <c r="L330" s="271">
        <f>87403.25+34862.75+15508.5+2797+944+915+1620+497+865</f>
        <v>145412.5</v>
      </c>
      <c r="M330" s="269">
        <f>14575+405+81+152</f>
        <v>15213</v>
      </c>
      <c r="N330" s="299">
        <f>IF(L331&lt;&gt;0,L331/M331,"")</f>
        <v>9.59747028749751</v>
      </c>
      <c r="O330" s="262"/>
    </row>
    <row r="331" spans="1:15" ht="12" customHeight="1">
      <c r="A331" s="228">
        <v>328</v>
      </c>
      <c r="B331" s="281" t="s">
        <v>350</v>
      </c>
      <c r="C331" s="265">
        <v>40116</v>
      </c>
      <c r="D331" s="266" t="s">
        <v>205</v>
      </c>
      <c r="E331" s="276">
        <v>24</v>
      </c>
      <c r="F331" s="276">
        <v>1</v>
      </c>
      <c r="G331" s="276">
        <v>8</v>
      </c>
      <c r="H331" s="280">
        <v>497</v>
      </c>
      <c r="I331" s="282">
        <v>81</v>
      </c>
      <c r="J331" s="301">
        <f>IF(H331&lt;&gt;0,I331/F331,"")</f>
        <v>81</v>
      </c>
      <c r="K331" s="297">
        <f>IF(H331&lt;&gt;0,H331/I331,"")</f>
        <v>6.135802469135802</v>
      </c>
      <c r="L331" s="284">
        <f>87403.25+34862.75+15508.5+2797+944+915+1620+497</f>
        <v>144547.5</v>
      </c>
      <c r="M331" s="283">
        <f>14575+405+81</f>
        <v>15061</v>
      </c>
      <c r="N331" s="272">
        <f>L332/M332</f>
        <v>9.535270658995817</v>
      </c>
      <c r="O331" s="244"/>
    </row>
    <row r="332" spans="1:15" ht="12" customHeight="1">
      <c r="A332" s="228">
        <v>329</v>
      </c>
      <c r="B332" s="281" t="s">
        <v>350</v>
      </c>
      <c r="C332" s="265">
        <v>40116</v>
      </c>
      <c r="D332" s="286" t="s">
        <v>349</v>
      </c>
      <c r="E332" s="276">
        <v>24</v>
      </c>
      <c r="F332" s="276">
        <v>1</v>
      </c>
      <c r="G332" s="276">
        <v>10</v>
      </c>
      <c r="H332" s="267">
        <v>439</v>
      </c>
      <c r="I332" s="268">
        <v>83</v>
      </c>
      <c r="J332" s="269">
        <f>(I332/F332)</f>
        <v>83</v>
      </c>
      <c r="K332" s="270">
        <f>(J332/G332)</f>
        <v>8.3</v>
      </c>
      <c r="L332" s="271">
        <f>87403.25+34862.75+15508.5+2797+944+915+1620+497+865+439</f>
        <v>145851.5</v>
      </c>
      <c r="M332" s="269">
        <f>14575+405+81+152+83</f>
        <v>15296</v>
      </c>
      <c r="N332" s="255">
        <f>L333/M333</f>
        <v>8.636579572446555</v>
      </c>
      <c r="O332" s="262"/>
    </row>
    <row r="333" spans="1:15" ht="12" customHeight="1">
      <c r="A333" s="228">
        <v>330</v>
      </c>
      <c r="B333" s="281" t="s">
        <v>357</v>
      </c>
      <c r="C333" s="265">
        <v>40151</v>
      </c>
      <c r="D333" s="275" t="s">
        <v>322</v>
      </c>
      <c r="E333" s="276">
        <v>2</v>
      </c>
      <c r="F333" s="276">
        <v>2</v>
      </c>
      <c r="G333" s="276">
        <v>5</v>
      </c>
      <c r="H333" s="249">
        <v>2853</v>
      </c>
      <c r="I333" s="250">
        <v>502</v>
      </c>
      <c r="J333" s="251">
        <f>(I333/F333)</f>
        <v>251</v>
      </c>
      <c r="K333" s="260">
        <f aca="true" t="shared" si="31" ref="K333:K338">H333/I333</f>
        <v>5.683266932270916</v>
      </c>
      <c r="L333" s="253">
        <f>14952+6112+2196+2975+2853</f>
        <v>29088</v>
      </c>
      <c r="M333" s="254">
        <f>1468+666+254+478+502</f>
        <v>3368</v>
      </c>
      <c r="N333" s="255">
        <f>L334/M334</f>
        <v>7.921582563373608</v>
      </c>
      <c r="O333" s="244"/>
    </row>
    <row r="334" spans="1:15" ht="12" customHeight="1">
      <c r="A334" s="228">
        <v>331</v>
      </c>
      <c r="B334" s="324" t="s">
        <v>357</v>
      </c>
      <c r="C334" s="308">
        <v>40151</v>
      </c>
      <c r="D334" s="275" t="s">
        <v>322</v>
      </c>
      <c r="E334" s="287">
        <v>2</v>
      </c>
      <c r="F334" s="287">
        <v>1</v>
      </c>
      <c r="G334" s="287">
        <v>9</v>
      </c>
      <c r="H334" s="288">
        <v>2139</v>
      </c>
      <c r="I334" s="289">
        <v>535</v>
      </c>
      <c r="J334" s="283">
        <f>I334/F334</f>
        <v>535</v>
      </c>
      <c r="K334" s="285">
        <f t="shared" si="31"/>
        <v>3.9981308411214953</v>
      </c>
      <c r="L334" s="284">
        <f>14952+6112+2196+2975+2853+674+1006+530+2139</f>
        <v>33437</v>
      </c>
      <c r="M334" s="283">
        <f>1468+666+254+478+502+81+130+107+535</f>
        <v>4221</v>
      </c>
      <c r="N334" s="272">
        <f>+L335/M335</f>
        <v>8.629167874746303</v>
      </c>
      <c r="O334" s="262"/>
    </row>
    <row r="335" spans="1:15" ht="12" customHeight="1">
      <c r="A335" s="228">
        <v>332</v>
      </c>
      <c r="B335" s="281" t="s">
        <v>357</v>
      </c>
      <c r="C335" s="265">
        <v>40151</v>
      </c>
      <c r="D335" s="275" t="s">
        <v>322</v>
      </c>
      <c r="E335" s="276">
        <v>2</v>
      </c>
      <c r="F335" s="276">
        <v>2</v>
      </c>
      <c r="G335" s="276">
        <v>6</v>
      </c>
      <c r="H335" s="249">
        <v>674</v>
      </c>
      <c r="I335" s="250">
        <v>81</v>
      </c>
      <c r="J335" s="251">
        <f>(I335/F335)</f>
        <v>40.5</v>
      </c>
      <c r="K335" s="252">
        <f t="shared" si="31"/>
        <v>8.320987654320987</v>
      </c>
      <c r="L335" s="253">
        <f>14952+6112+2196+2975+2853+674</f>
        <v>29762</v>
      </c>
      <c r="M335" s="254">
        <f>1468+666+254+478+502+81</f>
        <v>3449</v>
      </c>
      <c r="N335" s="272">
        <f>L336/M336</f>
        <v>8.491047205642973</v>
      </c>
      <c r="O335" s="340"/>
    </row>
    <row r="336" spans="1:15" ht="12" customHeight="1">
      <c r="A336" s="228">
        <v>333</v>
      </c>
      <c r="B336" s="281" t="s">
        <v>357</v>
      </c>
      <c r="C336" s="265">
        <v>40151</v>
      </c>
      <c r="D336" s="275" t="s">
        <v>322</v>
      </c>
      <c r="E336" s="276">
        <v>2</v>
      </c>
      <c r="F336" s="276">
        <v>1</v>
      </c>
      <c r="G336" s="276">
        <v>8</v>
      </c>
      <c r="H336" s="280">
        <v>530</v>
      </c>
      <c r="I336" s="282">
        <v>107</v>
      </c>
      <c r="J336" s="283">
        <f>(I336/F336)</f>
        <v>107</v>
      </c>
      <c r="K336" s="285">
        <f t="shared" si="31"/>
        <v>4.953271028037383</v>
      </c>
      <c r="L336" s="284">
        <f>14952+6112+2196+2975+2853+674+1006+530</f>
        <v>31298</v>
      </c>
      <c r="M336" s="283">
        <f>1468+666+254+478+502+81+130+107</f>
        <v>3686</v>
      </c>
      <c r="N336" s="272">
        <f>+L337/M337</f>
        <v>7.833139845578344</v>
      </c>
      <c r="O336" s="274"/>
    </row>
    <row r="337" spans="1:15" ht="12" customHeight="1">
      <c r="A337" s="228">
        <v>334</v>
      </c>
      <c r="B337" s="324" t="s">
        <v>492</v>
      </c>
      <c r="C337" s="265">
        <v>39710</v>
      </c>
      <c r="D337" s="275" t="s">
        <v>349</v>
      </c>
      <c r="E337" s="287">
        <v>65</v>
      </c>
      <c r="F337" s="287">
        <v>1</v>
      </c>
      <c r="G337" s="287">
        <v>28</v>
      </c>
      <c r="H337" s="288">
        <v>1922</v>
      </c>
      <c r="I337" s="289">
        <v>384</v>
      </c>
      <c r="J337" s="283">
        <f>I337/F337</f>
        <v>384</v>
      </c>
      <c r="K337" s="285">
        <f t="shared" si="31"/>
        <v>5.005208333333333</v>
      </c>
      <c r="L337" s="284">
        <f>152576+127511+68854.5+21974+10111.5+7103+7290+0.5+1014+3149+989+3524+0.5+3768+138+2528+257+351.5+573.5+184+3655+10+15+10+210+156+3603+3603+1922</f>
        <v>425081</v>
      </c>
      <c r="M337" s="283">
        <f>50018+825+47+65+137+67+1215+2+3+2+35+26+721+720+384</f>
        <v>54267</v>
      </c>
      <c r="N337" s="290">
        <f>+L337/M337</f>
        <v>7.833139845578344</v>
      </c>
      <c r="O337" s="262"/>
    </row>
    <row r="338" spans="1:15" ht="12" customHeight="1">
      <c r="A338" s="228">
        <v>335</v>
      </c>
      <c r="B338" s="245" t="s">
        <v>56</v>
      </c>
      <c r="C338" s="246">
        <v>39871</v>
      </c>
      <c r="D338" s="247" t="s">
        <v>322</v>
      </c>
      <c r="E338" s="248">
        <v>1</v>
      </c>
      <c r="F338" s="248">
        <v>1</v>
      </c>
      <c r="G338" s="248">
        <v>23</v>
      </c>
      <c r="H338" s="263">
        <v>1780</v>
      </c>
      <c r="I338" s="258">
        <v>445</v>
      </c>
      <c r="J338" s="259">
        <f>(I338/F338)</f>
        <v>445</v>
      </c>
      <c r="K338" s="260">
        <f t="shared" si="31"/>
        <v>4</v>
      </c>
      <c r="L338" s="264">
        <f>1088+1510+1304+856+387+214+424+106+162+130+476+60.5+118+96+1664+1780+454+259.5+1188+119.5+1188+1780+1780+1780</f>
        <v>18924.5</v>
      </c>
      <c r="M338" s="261">
        <f>267+175+155+102+46+26+51+12+18+16+57+8+22+16+416+445+57+31+297+19+297+445+445+445</f>
        <v>3868</v>
      </c>
      <c r="N338" s="255">
        <f>L338/M338</f>
        <v>4.8925801447776625</v>
      </c>
      <c r="O338" s="244"/>
    </row>
    <row r="339" spans="1:15" ht="12" customHeight="1">
      <c r="A339" s="228">
        <v>336</v>
      </c>
      <c r="B339" s="245" t="s">
        <v>485</v>
      </c>
      <c r="C339" s="265">
        <v>40109</v>
      </c>
      <c r="D339" s="286" t="s">
        <v>270</v>
      </c>
      <c r="E339" s="276">
        <v>27</v>
      </c>
      <c r="F339" s="276">
        <v>3</v>
      </c>
      <c r="G339" s="276">
        <v>7</v>
      </c>
      <c r="H339" s="267">
        <v>1383</v>
      </c>
      <c r="I339" s="268">
        <v>193</v>
      </c>
      <c r="J339" s="269">
        <f>+I339/F339</f>
        <v>64.33333333333333</v>
      </c>
      <c r="K339" s="270">
        <f>+H339/I339</f>
        <v>7.16580310880829</v>
      </c>
      <c r="L339" s="271">
        <v>145394</v>
      </c>
      <c r="M339" s="269">
        <v>12128</v>
      </c>
      <c r="N339" s="255">
        <f>+L340/M340</f>
        <v>12.136046906866078</v>
      </c>
      <c r="O339" s="244"/>
    </row>
    <row r="340" spans="1:15" ht="12" customHeight="1">
      <c r="A340" s="228">
        <v>337</v>
      </c>
      <c r="B340" s="245" t="s">
        <v>485</v>
      </c>
      <c r="C340" s="246">
        <v>40109</v>
      </c>
      <c r="D340" s="257" t="s">
        <v>270</v>
      </c>
      <c r="E340" s="248">
        <v>27</v>
      </c>
      <c r="F340" s="248">
        <v>1</v>
      </c>
      <c r="G340" s="248">
        <v>6</v>
      </c>
      <c r="H340" s="263">
        <v>189</v>
      </c>
      <c r="I340" s="258">
        <v>26</v>
      </c>
      <c r="J340" s="259">
        <f>I340/F340</f>
        <v>26</v>
      </c>
      <c r="K340" s="260">
        <f>H340/I340</f>
        <v>7.269230769230769</v>
      </c>
      <c r="L340" s="264">
        <v>142817</v>
      </c>
      <c r="M340" s="261">
        <v>11768</v>
      </c>
      <c r="N340" s="299">
        <f>IF(L341&lt;&gt;0,L341/M341,"")</f>
        <v>8.073504508215478</v>
      </c>
      <c r="O340" s="341"/>
    </row>
    <row r="341" spans="1:15" ht="12" customHeight="1">
      <c r="A341" s="228">
        <v>338</v>
      </c>
      <c r="B341" s="368" t="s">
        <v>471</v>
      </c>
      <c r="C341" s="246">
        <v>40074</v>
      </c>
      <c r="D341" s="362" t="s">
        <v>372</v>
      </c>
      <c r="E341" s="369" t="s">
        <v>378</v>
      </c>
      <c r="F341" s="369" t="s">
        <v>379</v>
      </c>
      <c r="G341" s="369" t="s">
        <v>380</v>
      </c>
      <c r="H341" s="363">
        <v>1385</v>
      </c>
      <c r="I341" s="370">
        <v>222</v>
      </c>
      <c r="J341" s="371">
        <f>+I341/F341</f>
        <v>222</v>
      </c>
      <c r="K341" s="302">
        <f>IF(H341&lt;&gt;0,H341/I341,"")</f>
        <v>6.238738738738738</v>
      </c>
      <c r="L341" s="365">
        <v>176398</v>
      </c>
      <c r="M341" s="372">
        <v>21849</v>
      </c>
      <c r="N341" s="299">
        <f>IF(L342&lt;&gt;0,L342/M342,"")</f>
        <v>8.05110647560312</v>
      </c>
      <c r="O341" s="274"/>
    </row>
    <row r="342" spans="1:15" ht="12" customHeight="1">
      <c r="A342" s="228">
        <v>339</v>
      </c>
      <c r="B342" s="368" t="s">
        <v>471</v>
      </c>
      <c r="C342" s="246">
        <v>40074</v>
      </c>
      <c r="D342" s="362" t="s">
        <v>372</v>
      </c>
      <c r="E342" s="369" t="s">
        <v>378</v>
      </c>
      <c r="F342" s="369" t="s">
        <v>379</v>
      </c>
      <c r="G342" s="369" t="s">
        <v>472</v>
      </c>
      <c r="H342" s="363">
        <v>1145</v>
      </c>
      <c r="I342" s="364">
        <v>203</v>
      </c>
      <c r="J342" s="373">
        <f>+I342/F342</f>
        <v>203</v>
      </c>
      <c r="K342" s="374"/>
      <c r="L342" s="365">
        <v>177543</v>
      </c>
      <c r="M342" s="366">
        <v>22052</v>
      </c>
      <c r="N342" s="255">
        <f>L343/M343</f>
        <v>5.545890629996802</v>
      </c>
      <c r="O342" s="262"/>
    </row>
    <row r="343" spans="1:15" ht="12" customHeight="1">
      <c r="A343" s="228">
        <v>340</v>
      </c>
      <c r="B343" s="245" t="s">
        <v>476</v>
      </c>
      <c r="C343" s="246">
        <v>39962</v>
      </c>
      <c r="D343" s="247" t="s">
        <v>322</v>
      </c>
      <c r="E343" s="248">
        <v>1</v>
      </c>
      <c r="F343" s="248">
        <v>1</v>
      </c>
      <c r="G343" s="248">
        <v>18</v>
      </c>
      <c r="H343" s="263">
        <v>2020</v>
      </c>
      <c r="I343" s="258">
        <v>505</v>
      </c>
      <c r="J343" s="259">
        <f>(I343/F343)</f>
        <v>505</v>
      </c>
      <c r="K343" s="260">
        <f>H343/I343</f>
        <v>4</v>
      </c>
      <c r="L343" s="264">
        <f>2055+1340+750+709+604+925+1270+1220+776+981+343+858+383+597+2376+84+51+2020</f>
        <v>17342</v>
      </c>
      <c r="M343" s="261">
        <f>411+268+150+85+70+118+161+152+99+144+47+143+48+95+594+20+17+505</f>
        <v>3127</v>
      </c>
      <c r="N343" s="255">
        <f>L343/M343</f>
        <v>5.545890629996802</v>
      </c>
      <c r="O343" s="256"/>
    </row>
    <row r="344" spans="1:15" ht="12" customHeight="1">
      <c r="A344" s="228">
        <v>341</v>
      </c>
      <c r="B344" s="281" t="s">
        <v>476</v>
      </c>
      <c r="C344" s="265">
        <v>39962</v>
      </c>
      <c r="D344" s="275" t="s">
        <v>322</v>
      </c>
      <c r="E344" s="276">
        <v>1</v>
      </c>
      <c r="F344" s="276">
        <v>1</v>
      </c>
      <c r="G344" s="276">
        <v>16</v>
      </c>
      <c r="H344" s="249">
        <v>84</v>
      </c>
      <c r="I344" s="258">
        <v>20</v>
      </c>
      <c r="J344" s="259">
        <f>(I344/F344)</f>
        <v>20</v>
      </c>
      <c r="K344" s="260">
        <f>H344/I344</f>
        <v>4.2</v>
      </c>
      <c r="L344" s="253">
        <f>2055+1340+750+709+604+925+1270+1220+776+981+343+858+383+597+2376+84</f>
        <v>15271</v>
      </c>
      <c r="M344" s="261">
        <f>411+268+150+85+70+118+161+152+99+144+47+143+48+95+594+20</f>
        <v>2605</v>
      </c>
      <c r="N344" s="255">
        <f>L345/M345</f>
        <v>5.843630816170862</v>
      </c>
      <c r="O344" s="262"/>
    </row>
    <row r="345" spans="1:15" ht="12" customHeight="1">
      <c r="A345" s="228">
        <v>342</v>
      </c>
      <c r="B345" s="281" t="s">
        <v>476</v>
      </c>
      <c r="C345" s="265">
        <v>39962</v>
      </c>
      <c r="D345" s="275" t="s">
        <v>322</v>
      </c>
      <c r="E345" s="276">
        <v>1</v>
      </c>
      <c r="F345" s="276">
        <v>1</v>
      </c>
      <c r="G345" s="276">
        <v>17</v>
      </c>
      <c r="H345" s="263">
        <v>51</v>
      </c>
      <c r="I345" s="258">
        <v>17</v>
      </c>
      <c r="J345" s="259">
        <f>(I345/F345)</f>
        <v>17</v>
      </c>
      <c r="K345" s="260">
        <f>H345/I345</f>
        <v>3</v>
      </c>
      <c r="L345" s="264">
        <f>2055+1340+750+709+604+925+1270+1220+776+981+343+858+383+597+2376+84+51</f>
        <v>15322</v>
      </c>
      <c r="M345" s="261">
        <f>411+268+150+85+70+118+161+152+99+144+47+143+48+95+594+20+17</f>
        <v>2622</v>
      </c>
      <c r="N345" s="255">
        <f aca="true" t="shared" si="32" ref="N345:N351">+L346/M346</f>
        <v>10.142659495693518</v>
      </c>
      <c r="O345" s="262"/>
    </row>
    <row r="346" spans="1:15" ht="12" customHeight="1">
      <c r="A346" s="228">
        <v>343</v>
      </c>
      <c r="B346" s="245" t="s">
        <v>484</v>
      </c>
      <c r="C346" s="246">
        <v>40088</v>
      </c>
      <c r="D346" s="257" t="s">
        <v>270</v>
      </c>
      <c r="E346" s="248">
        <v>53</v>
      </c>
      <c r="F346" s="248">
        <v>2</v>
      </c>
      <c r="G346" s="248">
        <v>12</v>
      </c>
      <c r="H346" s="263">
        <v>206</v>
      </c>
      <c r="I346" s="258">
        <v>33</v>
      </c>
      <c r="J346" s="259">
        <f>I346/F346</f>
        <v>16.5</v>
      </c>
      <c r="K346" s="260">
        <f>H346/I346</f>
        <v>6.242424242424242</v>
      </c>
      <c r="L346" s="264">
        <v>520501</v>
      </c>
      <c r="M346" s="261">
        <v>51318</v>
      </c>
      <c r="N346" s="272">
        <f t="shared" si="32"/>
        <v>10.14201379417839</v>
      </c>
      <c r="O346" s="262"/>
    </row>
    <row r="347" spans="1:15" ht="12" customHeight="1">
      <c r="A347" s="228">
        <v>344</v>
      </c>
      <c r="B347" s="245" t="s">
        <v>484</v>
      </c>
      <c r="C347" s="265">
        <v>40088</v>
      </c>
      <c r="D347" s="286" t="s">
        <v>270</v>
      </c>
      <c r="E347" s="276">
        <v>53</v>
      </c>
      <c r="F347" s="276">
        <v>1</v>
      </c>
      <c r="G347" s="276">
        <v>13</v>
      </c>
      <c r="H347" s="267">
        <v>48</v>
      </c>
      <c r="I347" s="268">
        <v>8</v>
      </c>
      <c r="J347" s="269">
        <f>+I347/F347</f>
        <v>8</v>
      </c>
      <c r="K347" s="270">
        <f>+H347/I347</f>
        <v>6</v>
      </c>
      <c r="L347" s="271">
        <v>520549</v>
      </c>
      <c r="M347" s="269">
        <v>51326</v>
      </c>
      <c r="N347" s="299">
        <f t="shared" si="32"/>
        <v>8.517579060205307</v>
      </c>
      <c r="O347" s="338">
        <v>1</v>
      </c>
    </row>
    <row r="348" spans="1:15" ht="12" customHeight="1">
      <c r="A348" s="228">
        <v>345</v>
      </c>
      <c r="B348" s="309" t="s">
        <v>136</v>
      </c>
      <c r="C348" s="246">
        <v>40158</v>
      </c>
      <c r="D348" s="375" t="s">
        <v>270</v>
      </c>
      <c r="E348" s="310">
        <v>148</v>
      </c>
      <c r="F348" s="310">
        <v>91</v>
      </c>
      <c r="G348" s="310">
        <v>4</v>
      </c>
      <c r="H348" s="363">
        <v>119681</v>
      </c>
      <c r="I348" s="370">
        <v>17048</v>
      </c>
      <c r="J348" s="301">
        <f>+I348/F348</f>
        <v>187.34065934065933</v>
      </c>
      <c r="K348" s="297">
        <f>+H348/I348</f>
        <v>7.020236977944627</v>
      </c>
      <c r="L348" s="365">
        <v>2757217</v>
      </c>
      <c r="M348" s="372">
        <v>323709</v>
      </c>
      <c r="N348" s="299">
        <f t="shared" si="32"/>
        <v>8.461495060083312</v>
      </c>
      <c r="O348" s="262"/>
    </row>
    <row r="349" spans="1:15" ht="12" customHeight="1">
      <c r="A349" s="228">
        <v>346</v>
      </c>
      <c r="B349" s="309" t="s">
        <v>137</v>
      </c>
      <c r="C349" s="246">
        <v>40158</v>
      </c>
      <c r="D349" s="362" t="s">
        <v>270</v>
      </c>
      <c r="E349" s="310">
        <v>148</v>
      </c>
      <c r="F349" s="310">
        <v>77</v>
      </c>
      <c r="G349" s="310">
        <v>5</v>
      </c>
      <c r="H349" s="363">
        <v>62188</v>
      </c>
      <c r="I349" s="370">
        <v>9495</v>
      </c>
      <c r="J349" s="301">
        <f>+I349/F349</f>
        <v>123.31168831168831</v>
      </c>
      <c r="K349" s="302">
        <f>+H349/I349</f>
        <v>6.549552395997893</v>
      </c>
      <c r="L349" s="365">
        <v>2819404</v>
      </c>
      <c r="M349" s="372">
        <v>333204</v>
      </c>
      <c r="N349" s="299">
        <f t="shared" si="32"/>
        <v>8.42448688593455</v>
      </c>
      <c r="O349" s="358"/>
    </row>
    <row r="350" spans="1:15" ht="12" customHeight="1">
      <c r="A350" s="228">
        <v>347</v>
      </c>
      <c r="B350" s="309" t="s">
        <v>136</v>
      </c>
      <c r="C350" s="246">
        <v>40158</v>
      </c>
      <c r="D350" s="362" t="s">
        <v>270</v>
      </c>
      <c r="E350" s="310">
        <v>148</v>
      </c>
      <c r="F350" s="310">
        <v>39</v>
      </c>
      <c r="G350" s="310">
        <v>6</v>
      </c>
      <c r="H350" s="363">
        <v>28359</v>
      </c>
      <c r="I350" s="364">
        <v>4830</v>
      </c>
      <c r="J350" s="296">
        <f>+I350/F350</f>
        <v>123.84615384615384</v>
      </c>
      <c r="K350" s="297">
        <f>+H350/I350</f>
        <v>5.871428571428571</v>
      </c>
      <c r="L350" s="365">
        <v>2847763</v>
      </c>
      <c r="M350" s="366">
        <v>338034</v>
      </c>
      <c r="N350" s="255">
        <f t="shared" si="32"/>
        <v>8.40084294001028</v>
      </c>
      <c r="O350" s="244"/>
    </row>
    <row r="351" spans="1:15" ht="12" customHeight="1">
      <c r="A351" s="228">
        <v>348</v>
      </c>
      <c r="B351" s="245" t="s">
        <v>137</v>
      </c>
      <c r="C351" s="246">
        <v>40158</v>
      </c>
      <c r="D351" s="257" t="s">
        <v>270</v>
      </c>
      <c r="E351" s="248">
        <v>148</v>
      </c>
      <c r="F351" s="248">
        <v>16</v>
      </c>
      <c r="G351" s="248">
        <v>7</v>
      </c>
      <c r="H351" s="263">
        <v>12514</v>
      </c>
      <c r="I351" s="258">
        <v>2441</v>
      </c>
      <c r="J351" s="259">
        <f>I351/F351</f>
        <v>152.5625</v>
      </c>
      <c r="K351" s="260">
        <f>H351/I351</f>
        <v>5.126587464154035</v>
      </c>
      <c r="L351" s="264">
        <v>2860277</v>
      </c>
      <c r="M351" s="261">
        <v>340475</v>
      </c>
      <c r="N351" s="272">
        <f t="shared" si="32"/>
        <v>8.39805631580028</v>
      </c>
      <c r="O351" s="256"/>
    </row>
    <row r="352" spans="1:15" ht="12" customHeight="1">
      <c r="A352" s="228">
        <v>349</v>
      </c>
      <c r="B352" s="245" t="s">
        <v>137</v>
      </c>
      <c r="C352" s="265">
        <v>40158</v>
      </c>
      <c r="D352" s="286" t="s">
        <v>270</v>
      </c>
      <c r="E352" s="276">
        <v>148</v>
      </c>
      <c r="F352" s="276">
        <v>6</v>
      </c>
      <c r="G352" s="276">
        <v>8</v>
      </c>
      <c r="H352" s="267">
        <v>2612</v>
      </c>
      <c r="I352" s="268">
        <v>424</v>
      </c>
      <c r="J352" s="269">
        <f>+I352/F352</f>
        <v>70.66666666666667</v>
      </c>
      <c r="K352" s="270">
        <f>+H352/I352</f>
        <v>6.160377358490566</v>
      </c>
      <c r="L352" s="271">
        <v>2862889</v>
      </c>
      <c r="M352" s="269">
        <v>340899</v>
      </c>
      <c r="N352" s="272">
        <f>L353/M353</f>
        <v>8.397404882340004</v>
      </c>
      <c r="O352" s="341"/>
    </row>
    <row r="353" spans="1:15" ht="12" customHeight="1">
      <c r="A353" s="228">
        <v>350</v>
      </c>
      <c r="B353" s="281" t="s">
        <v>136</v>
      </c>
      <c r="C353" s="265">
        <v>40158</v>
      </c>
      <c r="D353" s="286" t="s">
        <v>270</v>
      </c>
      <c r="E353" s="276">
        <v>148</v>
      </c>
      <c r="F353" s="276">
        <v>2</v>
      </c>
      <c r="G353" s="276">
        <v>9</v>
      </c>
      <c r="H353" s="267">
        <v>836</v>
      </c>
      <c r="I353" s="268">
        <v>126</v>
      </c>
      <c r="J353" s="269">
        <f>(I353/F353)</f>
        <v>63</v>
      </c>
      <c r="K353" s="270">
        <f>(J353/G353)</f>
        <v>7</v>
      </c>
      <c r="L353" s="271">
        <v>2863725</v>
      </c>
      <c r="M353" s="269">
        <v>341025</v>
      </c>
      <c r="N353" s="272">
        <f>+L354/M354</f>
        <v>8.394051423867541</v>
      </c>
      <c r="O353" s="262"/>
    </row>
    <row r="354" spans="1:15" ht="12" customHeight="1">
      <c r="A354" s="228">
        <v>351</v>
      </c>
      <c r="B354" s="245" t="s">
        <v>138</v>
      </c>
      <c r="C354" s="265">
        <v>40158</v>
      </c>
      <c r="D354" s="247" t="s">
        <v>335</v>
      </c>
      <c r="E354" s="276">
        <v>148</v>
      </c>
      <c r="F354" s="276">
        <v>2</v>
      </c>
      <c r="G354" s="276">
        <v>12</v>
      </c>
      <c r="H354" s="267">
        <v>511</v>
      </c>
      <c r="I354" s="268">
        <v>98</v>
      </c>
      <c r="J354" s="269">
        <f>+I354/F354</f>
        <v>49</v>
      </c>
      <c r="K354" s="270">
        <f>+H354/I354</f>
        <v>5.214285714285714</v>
      </c>
      <c r="L354" s="271">
        <v>2865385</v>
      </c>
      <c r="M354" s="269">
        <v>341359</v>
      </c>
      <c r="N354" s="272">
        <f>+L354/M354</f>
        <v>8.394051423867541</v>
      </c>
      <c r="O354" s="262"/>
    </row>
    <row r="355" spans="1:15" ht="12" customHeight="1">
      <c r="A355" s="228">
        <v>352</v>
      </c>
      <c r="B355" s="281" t="s">
        <v>137</v>
      </c>
      <c r="C355" s="308">
        <v>40158</v>
      </c>
      <c r="D355" s="336" t="s">
        <v>270</v>
      </c>
      <c r="E355" s="287">
        <v>148</v>
      </c>
      <c r="F355" s="287">
        <v>1</v>
      </c>
      <c r="G355" s="287">
        <v>12</v>
      </c>
      <c r="H355" s="288">
        <v>500</v>
      </c>
      <c r="I355" s="289">
        <v>125</v>
      </c>
      <c r="J355" s="283">
        <f>+I355/F355</f>
        <v>125</v>
      </c>
      <c r="K355" s="285">
        <f>H355/I355</f>
        <v>4</v>
      </c>
      <c r="L355" s="284">
        <v>2864874</v>
      </c>
      <c r="M355" s="283">
        <v>341261</v>
      </c>
      <c r="N355" s="272">
        <f>+L356/M356</f>
        <v>8.396797476444272</v>
      </c>
      <c r="O355" s="341"/>
    </row>
    <row r="356" spans="1:15" ht="12" customHeight="1">
      <c r="A356" s="228">
        <v>353</v>
      </c>
      <c r="B356" s="281" t="s">
        <v>136</v>
      </c>
      <c r="C356" s="265">
        <v>40158</v>
      </c>
      <c r="D356" s="286" t="s">
        <v>270</v>
      </c>
      <c r="E356" s="276">
        <v>148</v>
      </c>
      <c r="F356" s="276">
        <v>1</v>
      </c>
      <c r="G356" s="276">
        <v>10</v>
      </c>
      <c r="H356" s="280">
        <v>473</v>
      </c>
      <c r="I356" s="282">
        <v>81</v>
      </c>
      <c r="J356" s="283">
        <f>+I356/F356</f>
        <v>81</v>
      </c>
      <c r="K356" s="285">
        <f>+H356/I356</f>
        <v>5.839506172839506</v>
      </c>
      <c r="L356" s="284">
        <v>2864198</v>
      </c>
      <c r="M356" s="283">
        <v>341106</v>
      </c>
      <c r="N356" s="272">
        <f>+L357/M357</f>
        <v>8.396574973031283</v>
      </c>
      <c r="O356" s="273"/>
    </row>
    <row r="357" spans="1:15" ht="12" customHeight="1">
      <c r="A357" s="228">
        <v>354</v>
      </c>
      <c r="B357" s="281" t="s">
        <v>136</v>
      </c>
      <c r="C357" s="308">
        <v>40158</v>
      </c>
      <c r="D357" s="336" t="s">
        <v>270</v>
      </c>
      <c r="E357" s="287">
        <v>148</v>
      </c>
      <c r="F357" s="287">
        <v>1</v>
      </c>
      <c r="G357" s="287">
        <v>11</v>
      </c>
      <c r="H357" s="288">
        <v>176</v>
      </c>
      <c r="I357" s="289">
        <v>30</v>
      </c>
      <c r="J357" s="283">
        <f aca="true" t="shared" si="33" ref="J357:J365">I357/F357</f>
        <v>30</v>
      </c>
      <c r="K357" s="285">
        <f>H357/I357</f>
        <v>5.866666666666666</v>
      </c>
      <c r="L357" s="284">
        <v>2864374</v>
      </c>
      <c r="M357" s="283">
        <v>341136</v>
      </c>
      <c r="N357" s="349">
        <f>+L358/M358</f>
        <v>8.393822755739905</v>
      </c>
      <c r="O357" s="262"/>
    </row>
    <row r="358" spans="1:15" ht="12" customHeight="1">
      <c r="A358" s="228">
        <v>355</v>
      </c>
      <c r="B358" s="245" t="s">
        <v>138</v>
      </c>
      <c r="C358" s="265">
        <v>40158</v>
      </c>
      <c r="D358" s="247" t="s">
        <v>335</v>
      </c>
      <c r="E358" s="276">
        <v>148</v>
      </c>
      <c r="F358" s="276">
        <v>1</v>
      </c>
      <c r="G358" s="276">
        <v>13</v>
      </c>
      <c r="H358" s="267">
        <v>115</v>
      </c>
      <c r="I358" s="268">
        <v>23</v>
      </c>
      <c r="J358" s="269">
        <f t="shared" si="33"/>
        <v>23</v>
      </c>
      <c r="K358" s="270">
        <f>+H358/I358</f>
        <v>5</v>
      </c>
      <c r="L358" s="271">
        <v>2865500</v>
      </c>
      <c r="M358" s="269">
        <v>341382</v>
      </c>
      <c r="N358" s="272">
        <f>+L358/M358</f>
        <v>8.393822755739905</v>
      </c>
      <c r="O358" s="262"/>
    </row>
    <row r="359" spans="1:15" ht="12" customHeight="1">
      <c r="A359" s="228">
        <v>356</v>
      </c>
      <c r="B359" s="245" t="s">
        <v>344</v>
      </c>
      <c r="C359" s="246">
        <v>40074</v>
      </c>
      <c r="D359" s="344" t="s">
        <v>320</v>
      </c>
      <c r="E359" s="248">
        <v>61</v>
      </c>
      <c r="F359" s="248">
        <v>1</v>
      </c>
      <c r="G359" s="248">
        <v>28</v>
      </c>
      <c r="H359" s="249">
        <v>5600</v>
      </c>
      <c r="I359" s="250">
        <v>1400</v>
      </c>
      <c r="J359" s="251">
        <f t="shared" si="33"/>
        <v>1400</v>
      </c>
      <c r="K359" s="252">
        <f>+H359/I359</f>
        <v>4</v>
      </c>
      <c r="L359" s="253">
        <v>1023515</v>
      </c>
      <c r="M359" s="254">
        <v>104314</v>
      </c>
      <c r="N359" s="255">
        <f>L360/M360</f>
        <v>9.75012804218753</v>
      </c>
      <c r="O359" s="244"/>
    </row>
    <row r="360" spans="1:15" ht="12" customHeight="1">
      <c r="A360" s="228">
        <v>357</v>
      </c>
      <c r="B360" s="245" t="s">
        <v>344</v>
      </c>
      <c r="C360" s="265">
        <v>40074</v>
      </c>
      <c r="D360" s="344" t="s">
        <v>320</v>
      </c>
      <c r="E360" s="276">
        <v>61</v>
      </c>
      <c r="F360" s="276">
        <v>1</v>
      </c>
      <c r="G360" s="287">
        <v>30</v>
      </c>
      <c r="H360" s="288">
        <v>4480</v>
      </c>
      <c r="I360" s="289">
        <v>1120</v>
      </c>
      <c r="J360" s="283">
        <f t="shared" si="33"/>
        <v>1120</v>
      </c>
      <c r="K360" s="285">
        <f>H360/I360</f>
        <v>4</v>
      </c>
      <c r="L360" s="284">
        <v>1027995</v>
      </c>
      <c r="M360" s="283">
        <v>105434</v>
      </c>
      <c r="N360" s="290">
        <f>+L360/M360</f>
        <v>9.75012804218753</v>
      </c>
      <c r="O360" s="345">
        <v>1</v>
      </c>
    </row>
    <row r="361" spans="1:15" ht="12" customHeight="1">
      <c r="A361" s="228">
        <v>358</v>
      </c>
      <c r="B361" s="245" t="s">
        <v>344</v>
      </c>
      <c r="C361" s="265">
        <v>40074</v>
      </c>
      <c r="D361" s="344" t="s">
        <v>320</v>
      </c>
      <c r="E361" s="287">
        <v>61</v>
      </c>
      <c r="F361" s="287">
        <v>1</v>
      </c>
      <c r="G361" s="287">
        <v>31</v>
      </c>
      <c r="H361" s="288">
        <v>4480</v>
      </c>
      <c r="I361" s="289">
        <v>1120</v>
      </c>
      <c r="J361" s="283">
        <f t="shared" si="33"/>
        <v>1120</v>
      </c>
      <c r="K361" s="285">
        <f>H361/I361</f>
        <v>4</v>
      </c>
      <c r="L361" s="284">
        <v>1032475</v>
      </c>
      <c r="M361" s="283">
        <v>106554</v>
      </c>
      <c r="N361" s="290">
        <f>+L361/M361</f>
        <v>9.6896878577998</v>
      </c>
      <c r="O361" s="244">
        <v>1</v>
      </c>
    </row>
    <row r="362" spans="1:15" ht="12" customHeight="1">
      <c r="A362" s="228">
        <v>359</v>
      </c>
      <c r="B362" s="350" t="s">
        <v>344</v>
      </c>
      <c r="C362" s="351">
        <v>40074</v>
      </c>
      <c r="D362" s="344" t="s">
        <v>320</v>
      </c>
      <c r="E362" s="352">
        <v>61</v>
      </c>
      <c r="F362" s="352">
        <v>1</v>
      </c>
      <c r="G362" s="352">
        <v>15</v>
      </c>
      <c r="H362" s="353">
        <v>1521</v>
      </c>
      <c r="I362" s="354">
        <v>408</v>
      </c>
      <c r="J362" s="355">
        <f t="shared" si="33"/>
        <v>408</v>
      </c>
      <c r="K362" s="356">
        <f>+H362/I362</f>
        <v>3.7279411764705883</v>
      </c>
      <c r="L362" s="357">
        <v>1027374</v>
      </c>
      <c r="M362" s="355">
        <v>103387</v>
      </c>
      <c r="N362" s="272">
        <f>+L363/M363</f>
        <v>9.92814827679364</v>
      </c>
      <c r="O362" s="262">
        <v>1</v>
      </c>
    </row>
    <row r="363" spans="1:15" ht="12" customHeight="1">
      <c r="A363" s="228">
        <v>360</v>
      </c>
      <c r="B363" s="281" t="s">
        <v>344</v>
      </c>
      <c r="C363" s="265">
        <v>40074</v>
      </c>
      <c r="D363" s="344" t="s">
        <v>320</v>
      </c>
      <c r="E363" s="276">
        <v>61</v>
      </c>
      <c r="F363" s="276">
        <v>2</v>
      </c>
      <c r="G363" s="276">
        <v>17</v>
      </c>
      <c r="H363" s="280">
        <v>1503</v>
      </c>
      <c r="I363" s="268">
        <v>241</v>
      </c>
      <c r="J363" s="269">
        <f t="shared" si="33"/>
        <v>120.5</v>
      </c>
      <c r="K363" s="270">
        <f>+H363/I363</f>
        <v>6.236514522821577</v>
      </c>
      <c r="L363" s="284">
        <v>1028993</v>
      </c>
      <c r="M363" s="269">
        <v>103644</v>
      </c>
      <c r="N363" s="272">
        <f>+L364/M364</f>
        <v>9.936752318598106</v>
      </c>
      <c r="O363" s="256">
        <v>1</v>
      </c>
    </row>
    <row r="364" spans="1:15" ht="12" customHeight="1">
      <c r="A364" s="228">
        <v>361</v>
      </c>
      <c r="B364" s="281" t="s">
        <v>344</v>
      </c>
      <c r="C364" s="265">
        <v>40074</v>
      </c>
      <c r="D364" s="344" t="s">
        <v>320</v>
      </c>
      <c r="E364" s="276">
        <v>61</v>
      </c>
      <c r="F364" s="276">
        <v>1</v>
      </c>
      <c r="G364" s="276">
        <v>16</v>
      </c>
      <c r="H364" s="280">
        <v>116</v>
      </c>
      <c r="I364" s="282">
        <v>16</v>
      </c>
      <c r="J364" s="283">
        <f t="shared" si="33"/>
        <v>16</v>
      </c>
      <c r="K364" s="285">
        <f>+H364/I364</f>
        <v>7.25</v>
      </c>
      <c r="L364" s="284">
        <v>1027490</v>
      </c>
      <c r="M364" s="283">
        <v>103403</v>
      </c>
      <c r="N364" s="255">
        <f>IF(L365&lt;&gt;0,L365/M365,"")</f>
        <v>0.05148152385310605</v>
      </c>
      <c r="O364" s="274"/>
    </row>
    <row r="365" spans="1:15" ht="12" customHeight="1">
      <c r="A365" s="228">
        <v>362</v>
      </c>
      <c r="B365" s="245" t="s">
        <v>139</v>
      </c>
      <c r="C365" s="265">
        <v>33564</v>
      </c>
      <c r="D365" s="275" t="s">
        <v>332</v>
      </c>
      <c r="E365" s="276">
        <v>1</v>
      </c>
      <c r="F365" s="276">
        <v>1</v>
      </c>
      <c r="G365" s="276">
        <v>20</v>
      </c>
      <c r="H365" s="263">
        <v>1800</v>
      </c>
      <c r="I365" s="258">
        <v>450</v>
      </c>
      <c r="J365" s="269">
        <f t="shared" si="33"/>
        <v>450</v>
      </c>
      <c r="K365" s="270">
        <f>H365/I365</f>
        <v>4</v>
      </c>
      <c r="L365" s="271">
        <v>1800</v>
      </c>
      <c r="M365" s="269">
        <v>34964</v>
      </c>
      <c r="N365" s="272">
        <f>+L365/M365</f>
        <v>0.05148152385310605</v>
      </c>
      <c r="O365" s="273"/>
    </row>
    <row r="366" spans="1:15" ht="12" customHeight="1">
      <c r="A366" s="228">
        <v>363</v>
      </c>
      <c r="B366" s="245" t="s">
        <v>273</v>
      </c>
      <c r="C366" s="246">
        <v>39878</v>
      </c>
      <c r="D366" s="247" t="s">
        <v>322</v>
      </c>
      <c r="E366" s="248">
        <v>39</v>
      </c>
      <c r="F366" s="248">
        <v>1</v>
      </c>
      <c r="G366" s="248">
        <v>35</v>
      </c>
      <c r="H366" s="263">
        <v>2376</v>
      </c>
      <c r="I366" s="258">
        <v>594</v>
      </c>
      <c r="J366" s="259">
        <f>(I366/F366)</f>
        <v>594</v>
      </c>
      <c r="K366" s="260">
        <f>H366/I366</f>
        <v>4</v>
      </c>
      <c r="L366" s="264">
        <f>143992.5+82756.5+42509+41229+27290.5+16668+27602+17675+4710+8504.5+2403+4164+2272+3469+1997+135+299+674+178+30+240+1413+1006+209+393+680+1780+4040+1780+1780+952+745+2376+2376+2376</f>
        <v>450704</v>
      </c>
      <c r="M366" s="261">
        <f>15320+9228+5096+5970+4485+3115+5134+3946+1139+2307+509+879+411+637+472+29+62+165+32+6+48+348+139+43+54+68+445+1010+445+445+238+149+594+594+594</f>
        <v>64156</v>
      </c>
      <c r="N366" s="255">
        <f>L366/M366</f>
        <v>7.025126254754037</v>
      </c>
      <c r="O366" s="274"/>
    </row>
    <row r="367" spans="1:15" ht="12" customHeight="1">
      <c r="A367" s="228">
        <v>364</v>
      </c>
      <c r="B367" s="245" t="s">
        <v>273</v>
      </c>
      <c r="C367" s="265">
        <v>39878</v>
      </c>
      <c r="D367" s="247" t="s">
        <v>322</v>
      </c>
      <c r="E367" s="276">
        <v>39</v>
      </c>
      <c r="F367" s="276">
        <v>1</v>
      </c>
      <c r="G367" s="276">
        <v>34</v>
      </c>
      <c r="H367" s="267">
        <v>2376</v>
      </c>
      <c r="I367" s="268">
        <v>594</v>
      </c>
      <c r="J367" s="269">
        <f>(I367/F367)</f>
        <v>594</v>
      </c>
      <c r="K367" s="270">
        <f>H367/I367</f>
        <v>4</v>
      </c>
      <c r="L367" s="271">
        <f>143992.5+82756.5+42509+41229+27290.5+16668+27602+17675+4710+8504.5+2403+4164+2272+3469+1997+135+299+674+178+30+240+1413+1006+209+393+680+1780+4040+1780+1780+952+745+2376+2376</f>
        <v>448328</v>
      </c>
      <c r="M367" s="269">
        <f>15320+9228+5096+5970+4485+3115+5134+3946+1139+2307+509+879+411+637+472+29+62+165+32+6+48+348+139+43+54+68+445+1010+445+445+238+149+594+594</f>
        <v>63562</v>
      </c>
      <c r="N367" s="272">
        <f>L367/M367</f>
        <v>7.053396683553066</v>
      </c>
      <c r="O367" s="341">
        <v>1</v>
      </c>
    </row>
    <row r="368" spans="1:15" ht="12" customHeight="1">
      <c r="A368" s="228">
        <v>365</v>
      </c>
      <c r="B368" s="245" t="s">
        <v>273</v>
      </c>
      <c r="C368" s="265">
        <v>39878</v>
      </c>
      <c r="D368" s="275" t="s">
        <v>322</v>
      </c>
      <c r="E368" s="276">
        <v>39</v>
      </c>
      <c r="F368" s="276">
        <v>1</v>
      </c>
      <c r="G368" s="276">
        <v>33</v>
      </c>
      <c r="H368" s="263">
        <v>2376</v>
      </c>
      <c r="I368" s="258">
        <v>594</v>
      </c>
      <c r="J368" s="269">
        <f>(I368/F368)</f>
        <v>594</v>
      </c>
      <c r="K368" s="270">
        <f>H368/I368</f>
        <v>4</v>
      </c>
      <c r="L368" s="271">
        <f>143992.5+82756.5+42509+41229+27290.5+16668+27602+17675+4710+8504.5+2403+4164+2272+3469+1997+135+299+674+178+30+240+1413+1006+209+393+680+1780+4040+1780+1780+952+745+2376</f>
        <v>445952</v>
      </c>
      <c r="M368" s="269">
        <f>15320+9228+5096+5970+4485+3115+5134+3946+1139+2307+509+879+411+637+472+29+62+165+32+6+48+348+139+43+54+68+445+1010+445+445+238+149+594</f>
        <v>62968</v>
      </c>
      <c r="N368" s="272">
        <f>L368/M368</f>
        <v>7.0822004827849065</v>
      </c>
      <c r="O368" s="262">
        <v>1</v>
      </c>
    </row>
    <row r="369" spans="1:15" ht="12" customHeight="1">
      <c r="A369" s="228">
        <v>366</v>
      </c>
      <c r="B369" s="304" t="s">
        <v>273</v>
      </c>
      <c r="C369" s="305">
        <v>39878</v>
      </c>
      <c r="D369" s="275" t="s">
        <v>322</v>
      </c>
      <c r="E369" s="306">
        <v>39</v>
      </c>
      <c r="F369" s="306">
        <v>1</v>
      </c>
      <c r="G369" s="306">
        <v>29</v>
      </c>
      <c r="H369" s="263">
        <v>1780</v>
      </c>
      <c r="I369" s="258">
        <v>445</v>
      </c>
      <c r="J369" s="259">
        <f>(I369/F369)</f>
        <v>445</v>
      </c>
      <c r="K369" s="270">
        <f>+H369/I369</f>
        <v>4</v>
      </c>
      <c r="L369" s="264">
        <f>143992.5+82756.5+42509+41229+27290.5+16668+27602+17675+4710+8504.5+2403+4164+2272+3469+1997+135+299+674+178+30+240+1413+1006+209+393+680+1780+4040+1780</f>
        <v>440099</v>
      </c>
      <c r="M369" s="261">
        <f>15320+9228+5096+5970+4485+3115+5134+3946+1139+2307+509+879+411+637+472+29+62+165+32+6+48+348+139+43+54+68+445+1010+445</f>
        <v>61542</v>
      </c>
      <c r="N369" s="272">
        <f>L370/M370</f>
        <v>7.1285753464436095</v>
      </c>
      <c r="O369" s="262">
        <v>1</v>
      </c>
    </row>
    <row r="370" spans="1:15" ht="12" customHeight="1">
      <c r="A370" s="228">
        <v>367</v>
      </c>
      <c r="B370" s="281" t="s">
        <v>273</v>
      </c>
      <c r="C370" s="265">
        <v>39878</v>
      </c>
      <c r="D370" s="275" t="s">
        <v>322</v>
      </c>
      <c r="E370" s="276">
        <v>39</v>
      </c>
      <c r="F370" s="276">
        <v>1</v>
      </c>
      <c r="G370" s="276">
        <v>30</v>
      </c>
      <c r="H370" s="267">
        <v>1780</v>
      </c>
      <c r="I370" s="268">
        <v>445</v>
      </c>
      <c r="J370" s="269">
        <f>I370/F370</f>
        <v>445</v>
      </c>
      <c r="K370" s="270">
        <f>+H370/I370</f>
        <v>4</v>
      </c>
      <c r="L370" s="271">
        <f>143992.5+82756.5+42509+41229+27290.5+16668+27602+17675+4710+8504.5+2403+4164+2272+3469+1997+135+299+674+178+30+240+1413+1006+209+393+680+1780+4040+1780+1780</f>
        <v>441879</v>
      </c>
      <c r="M370" s="269">
        <f>15320+9228+5096+5970+4485+3115+5134+3946+1139+2307+509+879+411+637+472+29+62+165+32+6+48+348+139+43+54+68+445+1010+445+445</f>
        <v>61987</v>
      </c>
      <c r="N370" s="272">
        <f>L371/M371</f>
        <v>7.116609079951788</v>
      </c>
      <c r="O370" s="262">
        <v>1</v>
      </c>
    </row>
    <row r="371" spans="1:15" ht="12" customHeight="1">
      <c r="A371" s="228">
        <v>368</v>
      </c>
      <c r="B371" s="324" t="s">
        <v>273</v>
      </c>
      <c r="C371" s="265">
        <v>39878</v>
      </c>
      <c r="D371" s="275" t="s">
        <v>322</v>
      </c>
      <c r="E371" s="287">
        <v>39</v>
      </c>
      <c r="F371" s="287">
        <v>1</v>
      </c>
      <c r="G371" s="287">
        <v>31</v>
      </c>
      <c r="H371" s="288">
        <v>952</v>
      </c>
      <c r="I371" s="289">
        <v>238</v>
      </c>
      <c r="J371" s="283">
        <f>I371/F371</f>
        <v>238</v>
      </c>
      <c r="K371" s="285">
        <f>H371/I371</f>
        <v>4</v>
      </c>
      <c r="L371" s="284">
        <f>143992.5+82756.5+42509+41229+27290.5+16668+27602+17675+4710+8504.5+2403+4164+2272+3469+1997+135+299+674+178+30+240+1413+1006+209+393+680+1780+4040+1780+1780+952</f>
        <v>442831</v>
      </c>
      <c r="M371" s="283">
        <f>15320+9228+5096+5970+4485+3115+5134+3946+1139+2307+509+879+411+637+472+29+62+165+32+6+48+348+139+43+54+68+445+1010+445+445+238</f>
        <v>62225</v>
      </c>
      <c r="N371" s="290">
        <f>+L371/M371</f>
        <v>7.116609079951788</v>
      </c>
      <c r="O371" s="244">
        <v>1</v>
      </c>
    </row>
    <row r="372" spans="1:15" ht="12" customHeight="1">
      <c r="A372" s="228">
        <v>369</v>
      </c>
      <c r="B372" s="245" t="s">
        <v>273</v>
      </c>
      <c r="C372" s="246">
        <v>39878</v>
      </c>
      <c r="D372" s="247" t="s">
        <v>322</v>
      </c>
      <c r="E372" s="248">
        <v>39</v>
      </c>
      <c r="F372" s="248">
        <v>1</v>
      </c>
      <c r="G372" s="248">
        <v>32</v>
      </c>
      <c r="H372" s="263">
        <v>745</v>
      </c>
      <c r="I372" s="258">
        <v>149</v>
      </c>
      <c r="J372" s="259">
        <f>(I372/F372)</f>
        <v>149</v>
      </c>
      <c r="K372" s="260">
        <f>H372/I372</f>
        <v>5</v>
      </c>
      <c r="L372" s="264">
        <f>143992.5+82756.5+42509+41229+27290.5+16668+27602+17675+4710+8504.5+2403+4164+2272+3469+1997+135+299+674+178+30+240+1413+1006+209+393+680+1780+4040+1780+1780+952+745</f>
        <v>443576</v>
      </c>
      <c r="M372" s="261">
        <f>15320+9228+5096+5970+4485+3115+5134+3946+1139+2307+509+879+411+637+472+29+62+165+32+6+48+348+139+43+54+68+445+1010+445+445+238+149</f>
        <v>62374</v>
      </c>
      <c r="N372" s="255">
        <f>L372/M372</f>
        <v>7.111552890627505</v>
      </c>
      <c r="O372" s="262"/>
    </row>
    <row r="373" spans="1:15" ht="12" customHeight="1">
      <c r="A373" s="228">
        <v>370</v>
      </c>
      <c r="B373" s="281" t="s">
        <v>140</v>
      </c>
      <c r="C373" s="265">
        <v>39884</v>
      </c>
      <c r="D373" s="286" t="s">
        <v>270</v>
      </c>
      <c r="E373" s="276">
        <v>355</v>
      </c>
      <c r="F373" s="276">
        <v>1</v>
      </c>
      <c r="G373" s="276">
        <v>14</v>
      </c>
      <c r="H373" s="267">
        <v>1500</v>
      </c>
      <c r="I373" s="268">
        <v>300</v>
      </c>
      <c r="J373" s="269">
        <f>(I373/F373)</f>
        <v>300</v>
      </c>
      <c r="K373" s="270">
        <f>(J373/G373)</f>
        <v>21.428571428571427</v>
      </c>
      <c r="L373" s="271">
        <v>19045225</v>
      </c>
      <c r="M373" s="269">
        <v>2491754</v>
      </c>
      <c r="N373" s="272">
        <f>L374/M374</f>
        <v>6.99578682254905</v>
      </c>
      <c r="O373" s="262"/>
    </row>
    <row r="374" spans="1:15" ht="12" customHeight="1">
      <c r="A374" s="228">
        <v>371</v>
      </c>
      <c r="B374" s="245" t="s">
        <v>141</v>
      </c>
      <c r="C374" s="246">
        <v>39759</v>
      </c>
      <c r="D374" s="247" t="s">
        <v>322</v>
      </c>
      <c r="E374" s="248">
        <v>93</v>
      </c>
      <c r="F374" s="248">
        <v>1</v>
      </c>
      <c r="G374" s="248">
        <v>19</v>
      </c>
      <c r="H374" s="249">
        <v>1424</v>
      </c>
      <c r="I374" s="250">
        <v>356</v>
      </c>
      <c r="J374" s="251">
        <f>(I374/F374)</f>
        <v>356</v>
      </c>
      <c r="K374" s="252">
        <f>H374/I374</f>
        <v>4</v>
      </c>
      <c r="L374" s="253">
        <f>224223+136351+27895+24212+1274+3482+7147+2804+5279+2025+2635+2196+1188+832+2140+360+2140+2376+1424</f>
        <v>449983</v>
      </c>
      <c r="M374" s="254">
        <f>27969+18593+4268+4646+311+857+1472+745+1285+386+636+549+297+208+535+80+535+594+356</f>
        <v>64322</v>
      </c>
      <c r="N374" s="255">
        <f>L374/M374</f>
        <v>6.99578682254905</v>
      </c>
      <c r="O374" s="348"/>
    </row>
    <row r="375" spans="1:15" ht="12" customHeight="1">
      <c r="A375" s="228">
        <v>372</v>
      </c>
      <c r="B375" s="245" t="s">
        <v>142</v>
      </c>
      <c r="C375" s="265">
        <v>39836</v>
      </c>
      <c r="D375" s="247" t="s">
        <v>333</v>
      </c>
      <c r="E375" s="276">
        <v>180</v>
      </c>
      <c r="F375" s="276">
        <v>2</v>
      </c>
      <c r="G375" s="276">
        <v>22</v>
      </c>
      <c r="H375" s="267">
        <v>797</v>
      </c>
      <c r="I375" s="268">
        <v>89</v>
      </c>
      <c r="J375" s="269">
        <f>+I375/F375</f>
        <v>44.5</v>
      </c>
      <c r="K375" s="270">
        <f>+H375/I375</f>
        <v>8.955056179775282</v>
      </c>
      <c r="L375" s="271">
        <f>1758644.5+1323710+941534+309534.5+197920+55019+28515+10481.5+9376+0.5+7127+5202+0.5+4667+2669+85+805+2472+228+108+1372+272+347+797</f>
        <v>4660886.5</v>
      </c>
      <c r="M375" s="269">
        <f>205635+158652+117576+43365+28181+9066+4843+2243+2345+1225+998+716+401+17+161+412+38+18+343+46+58+89</f>
        <v>576428</v>
      </c>
      <c r="N375" s="272">
        <f>+L375/M375</f>
        <v>8.085808635250196</v>
      </c>
      <c r="O375" s="262"/>
    </row>
    <row r="376" spans="1:15" ht="12" customHeight="1">
      <c r="A376" s="228">
        <v>373</v>
      </c>
      <c r="B376" s="245" t="s">
        <v>71</v>
      </c>
      <c r="C376" s="265">
        <v>39899</v>
      </c>
      <c r="D376" s="275" t="s">
        <v>322</v>
      </c>
      <c r="E376" s="287">
        <v>16</v>
      </c>
      <c r="F376" s="287">
        <v>1</v>
      </c>
      <c r="G376" s="287">
        <v>19</v>
      </c>
      <c r="H376" s="288">
        <v>669.28</v>
      </c>
      <c r="I376" s="289">
        <v>150</v>
      </c>
      <c r="J376" s="283">
        <f>I376/F376</f>
        <v>150</v>
      </c>
      <c r="K376" s="285">
        <f>+H376/I376</f>
        <v>4.461866666666666</v>
      </c>
      <c r="L376" s="284">
        <f>31480+15536+8716+2149+2897+1360+2390+1251+322+381+329+492+928+436+1103+1913+46+240+669.28</f>
        <v>72638.28</v>
      </c>
      <c r="M376" s="283">
        <f>3450+1778+1361+440+508+248+548+290+68+72+58+96+96+70+137+309+9+48+150</f>
        <v>9736</v>
      </c>
      <c r="N376" s="290">
        <f>+L376/M376</f>
        <v>7.460792933442892</v>
      </c>
      <c r="O376" s="341"/>
    </row>
    <row r="377" spans="1:15" ht="12" customHeight="1">
      <c r="A377" s="228">
        <v>374</v>
      </c>
      <c r="B377" s="245" t="s">
        <v>71</v>
      </c>
      <c r="C377" s="265">
        <v>39899</v>
      </c>
      <c r="D377" s="275" t="s">
        <v>322</v>
      </c>
      <c r="E377" s="287">
        <v>16</v>
      </c>
      <c r="F377" s="287">
        <v>1</v>
      </c>
      <c r="G377" s="287">
        <v>20</v>
      </c>
      <c r="H377" s="288">
        <v>648.46</v>
      </c>
      <c r="I377" s="289">
        <v>151</v>
      </c>
      <c r="J377" s="283">
        <f>(I377/F377)</f>
        <v>151</v>
      </c>
      <c r="K377" s="285">
        <f>H377/I377</f>
        <v>4.2944370860927155</v>
      </c>
      <c r="L377" s="284">
        <f>31480+15536+8716+2149+2897+1360+2390+1251+322+381+329+492+928+436+1103+1913+46+240+669.28+648.46</f>
        <v>73286.74</v>
      </c>
      <c r="M377" s="283">
        <f>3450+1778+1361+440+508+248+548+290+68+72+58+96+96+70+137+309+9+48+150+151</f>
        <v>9887</v>
      </c>
      <c r="N377" s="290">
        <f>L377/M377</f>
        <v>7.412434509962577</v>
      </c>
      <c r="O377" s="262"/>
    </row>
    <row r="378" spans="1:15" ht="12" customHeight="1">
      <c r="A378" s="228">
        <v>375</v>
      </c>
      <c r="B378" s="245" t="s">
        <v>71</v>
      </c>
      <c r="C378" s="265">
        <v>39899</v>
      </c>
      <c r="D378" s="275" t="s">
        <v>322</v>
      </c>
      <c r="E378" s="287">
        <v>16</v>
      </c>
      <c r="F378" s="287">
        <v>1</v>
      </c>
      <c r="G378" s="287">
        <v>21</v>
      </c>
      <c r="H378" s="288">
        <v>226</v>
      </c>
      <c r="I378" s="326">
        <v>48</v>
      </c>
      <c r="J378" s="269">
        <f>(I378/F378)</f>
        <v>48</v>
      </c>
      <c r="K378" s="270">
        <f>H378/I378</f>
        <v>4.708333333333333</v>
      </c>
      <c r="L378" s="271">
        <f>31480+15536+8716+2149+2897+1360+2390+1251+322+381+329+492+928+436+1103+1913+46+240+669.28+648.46+226</f>
        <v>73512.74</v>
      </c>
      <c r="M378" s="269">
        <f>3450+1778+1361+440+508+248+548+290+68+72+58+96+96+70+137+309+9+48+150+151+48</f>
        <v>9935</v>
      </c>
      <c r="N378" s="272">
        <f>L378/M378</f>
        <v>7.39936990437846</v>
      </c>
      <c r="O378" s="273"/>
    </row>
    <row r="379" spans="1:15" ht="12" customHeight="1">
      <c r="A379" s="228">
        <v>376</v>
      </c>
      <c r="B379" s="245" t="s">
        <v>72</v>
      </c>
      <c r="C379" s="265">
        <v>40060</v>
      </c>
      <c r="D379" s="275" t="s">
        <v>322</v>
      </c>
      <c r="E379" s="287">
        <v>3</v>
      </c>
      <c r="F379" s="287">
        <v>1</v>
      </c>
      <c r="G379" s="287">
        <v>9</v>
      </c>
      <c r="H379" s="288">
        <v>2830.46</v>
      </c>
      <c r="I379" s="289">
        <v>698</v>
      </c>
      <c r="J379" s="283">
        <f>(I379/F379)</f>
        <v>698</v>
      </c>
      <c r="K379" s="285">
        <f>H379/I379</f>
        <v>4.0551002865329515</v>
      </c>
      <c r="L379" s="284">
        <f>7317+3809.25+1860+639+729+966+238+668+2830.46</f>
        <v>19056.71</v>
      </c>
      <c r="M379" s="283">
        <f>792+424+238+115+144+202+40+134+698</f>
        <v>2787</v>
      </c>
      <c r="N379" s="290">
        <f>L379/M379</f>
        <v>6.837714388231072</v>
      </c>
      <c r="O379" s="274"/>
    </row>
    <row r="380" spans="1:15" ht="12" customHeight="1">
      <c r="A380" s="228">
        <v>377</v>
      </c>
      <c r="B380" s="245" t="s">
        <v>72</v>
      </c>
      <c r="C380" s="265">
        <v>40060</v>
      </c>
      <c r="D380" s="275" t="s">
        <v>322</v>
      </c>
      <c r="E380" s="287">
        <v>3</v>
      </c>
      <c r="F380" s="287">
        <v>1</v>
      </c>
      <c r="G380" s="287">
        <v>10</v>
      </c>
      <c r="H380" s="288">
        <v>53.64</v>
      </c>
      <c r="I380" s="326">
        <v>14</v>
      </c>
      <c r="J380" s="269">
        <f>(I380/F380)</f>
        <v>14</v>
      </c>
      <c r="K380" s="270">
        <f>H380/I380</f>
        <v>3.8314285714285714</v>
      </c>
      <c r="L380" s="271">
        <f>7317+3809.25+1860+639+729+966+238+668+2830.46+53.64</f>
        <v>19110.35</v>
      </c>
      <c r="M380" s="269">
        <f>792+424+238+115+144+202+40+134+698+14</f>
        <v>2801</v>
      </c>
      <c r="N380" s="272">
        <f>L380/M380</f>
        <v>6.822688325598</v>
      </c>
      <c r="O380" s="338"/>
    </row>
    <row r="381" spans="1:15" ht="12" customHeight="1">
      <c r="A381" s="228">
        <v>378</v>
      </c>
      <c r="B381" s="245" t="s">
        <v>256</v>
      </c>
      <c r="C381" s="265">
        <v>38800</v>
      </c>
      <c r="D381" s="247" t="s">
        <v>444</v>
      </c>
      <c r="E381" s="276">
        <v>58</v>
      </c>
      <c r="F381" s="276">
        <v>1</v>
      </c>
      <c r="G381" s="276">
        <v>36</v>
      </c>
      <c r="H381" s="267">
        <v>187</v>
      </c>
      <c r="I381" s="268">
        <v>26</v>
      </c>
      <c r="J381" s="269">
        <f>IF(H381&lt;&gt;0,I381/F381,"")</f>
        <v>26</v>
      </c>
      <c r="K381" s="270">
        <f>IF(H381&lt;&gt;0,H381/I381,"")</f>
        <v>7.1923076923076925</v>
      </c>
      <c r="L381" s="271">
        <f>887325.4+H381</f>
        <v>887512.4</v>
      </c>
      <c r="M381" s="269">
        <f>136390+I381</f>
        <v>136416</v>
      </c>
      <c r="N381" s="272">
        <v>6.51</v>
      </c>
      <c r="O381" s="338"/>
    </row>
    <row r="382" spans="1:15" ht="12" customHeight="1">
      <c r="A382" s="228">
        <v>379</v>
      </c>
      <c r="B382" s="245" t="s">
        <v>256</v>
      </c>
      <c r="C382" s="265">
        <v>38800</v>
      </c>
      <c r="D382" s="247" t="s">
        <v>444</v>
      </c>
      <c r="E382" s="276">
        <v>58</v>
      </c>
      <c r="F382" s="276">
        <v>1</v>
      </c>
      <c r="G382" s="276">
        <v>37</v>
      </c>
      <c r="H382" s="267">
        <v>167</v>
      </c>
      <c r="I382" s="268">
        <v>26</v>
      </c>
      <c r="J382" s="269">
        <f>I382/F382</f>
        <v>26</v>
      </c>
      <c r="K382" s="270">
        <f>H382/I382</f>
        <v>6.423076923076923</v>
      </c>
      <c r="L382" s="271">
        <f>887512.4+H382</f>
        <v>887679.4</v>
      </c>
      <c r="M382" s="269">
        <f>136416+I382</f>
        <v>136442</v>
      </c>
      <c r="N382" s="272">
        <f>+L382/M382</f>
        <v>6.505910203602996</v>
      </c>
      <c r="O382" s="274"/>
    </row>
    <row r="383" spans="1:15" ht="12" customHeight="1">
      <c r="A383" s="228">
        <v>380</v>
      </c>
      <c r="B383" s="245" t="s">
        <v>256</v>
      </c>
      <c r="C383" s="265">
        <v>38800</v>
      </c>
      <c r="D383" s="247" t="s">
        <v>444</v>
      </c>
      <c r="E383" s="276">
        <v>58</v>
      </c>
      <c r="F383" s="276">
        <v>1</v>
      </c>
      <c r="G383" s="276">
        <v>40</v>
      </c>
      <c r="H383" s="267">
        <v>120</v>
      </c>
      <c r="I383" s="268">
        <v>17</v>
      </c>
      <c r="J383" s="269">
        <f>IF(H383&lt;&gt;0,I383/F383,"")</f>
        <v>17</v>
      </c>
      <c r="K383" s="270">
        <f>IF(H383&lt;&gt;0,H383/I383,"")</f>
        <v>7.0588235294117645</v>
      </c>
      <c r="L383" s="271">
        <f>887873.4+H383</f>
        <v>887993.4</v>
      </c>
      <c r="M383" s="269">
        <f>136470+I383</f>
        <v>136487</v>
      </c>
      <c r="N383" s="272">
        <v>6.51</v>
      </c>
      <c r="O383" s="338"/>
    </row>
    <row r="384" spans="1:15" ht="12" customHeight="1">
      <c r="A384" s="228">
        <v>381</v>
      </c>
      <c r="B384" s="245" t="s">
        <v>256</v>
      </c>
      <c r="C384" s="265">
        <v>38800</v>
      </c>
      <c r="D384" s="275" t="s">
        <v>444</v>
      </c>
      <c r="E384" s="276">
        <v>58</v>
      </c>
      <c r="F384" s="276">
        <v>1</v>
      </c>
      <c r="G384" s="276">
        <v>38</v>
      </c>
      <c r="H384" s="263">
        <v>105</v>
      </c>
      <c r="I384" s="258">
        <v>15</v>
      </c>
      <c r="J384" s="269">
        <f>IF(H384&lt;&gt;0,I384/F384,"")</f>
        <v>15</v>
      </c>
      <c r="K384" s="270">
        <f>IF(H384&lt;&gt;0,H384/I384,"")</f>
        <v>7</v>
      </c>
      <c r="L384" s="271">
        <f>887679.4+H384</f>
        <v>887784.4</v>
      </c>
      <c r="M384" s="269">
        <f>136442+I384</f>
        <v>136457</v>
      </c>
      <c r="N384" s="272">
        <v>6.51</v>
      </c>
      <c r="O384" s="262">
        <v>1</v>
      </c>
    </row>
    <row r="385" spans="1:15" ht="12" customHeight="1">
      <c r="A385" s="228">
        <v>382</v>
      </c>
      <c r="B385" s="245" t="s">
        <v>256</v>
      </c>
      <c r="C385" s="265">
        <v>38800</v>
      </c>
      <c r="D385" s="247" t="s">
        <v>444</v>
      </c>
      <c r="E385" s="276">
        <v>58</v>
      </c>
      <c r="F385" s="276">
        <v>1</v>
      </c>
      <c r="G385" s="276">
        <v>39</v>
      </c>
      <c r="H385" s="267">
        <v>89</v>
      </c>
      <c r="I385" s="268">
        <v>13</v>
      </c>
      <c r="J385" s="269">
        <f>IF(H385&lt;&gt;0,I385/F385,"")</f>
        <v>13</v>
      </c>
      <c r="K385" s="270">
        <f>IF(H385&lt;&gt;0,H385/I385,"")</f>
        <v>6.846153846153846</v>
      </c>
      <c r="L385" s="271">
        <f>887784.4+H385</f>
        <v>887873.4</v>
      </c>
      <c r="M385" s="269">
        <f>136457+I385</f>
        <v>136470</v>
      </c>
      <c r="N385" s="272">
        <v>6.51</v>
      </c>
      <c r="O385" s="262"/>
    </row>
    <row r="386" spans="1:15" ht="12" customHeight="1">
      <c r="A386" s="228">
        <v>383</v>
      </c>
      <c r="B386" s="324" t="s">
        <v>423</v>
      </c>
      <c r="C386" s="308">
        <v>39892</v>
      </c>
      <c r="D386" s="275" t="s">
        <v>322</v>
      </c>
      <c r="E386" s="287">
        <v>5</v>
      </c>
      <c r="F386" s="287">
        <v>1</v>
      </c>
      <c r="G386" s="287">
        <v>23</v>
      </c>
      <c r="H386" s="288">
        <v>2376</v>
      </c>
      <c r="I386" s="289">
        <v>594</v>
      </c>
      <c r="J386" s="283">
        <f>I386/F386</f>
        <v>594</v>
      </c>
      <c r="K386" s="285">
        <f aca="true" t="shared" si="34" ref="K386:K395">H386/I386</f>
        <v>4</v>
      </c>
      <c r="L386" s="284">
        <f>18881.5+13473+6553+4173.5+2378+3269+2172+792+240+60+1236+552+1321+1757+465+884+565+65+261+952+114+51+2376</f>
        <v>62591</v>
      </c>
      <c r="M386" s="283">
        <f>2268+1745+795+568+579+610+541+209+80+20+215+68+169+337+93+144+93+15+56+238+23+20+594</f>
        <v>9480</v>
      </c>
      <c r="N386" s="272">
        <f>+L387/M387</f>
        <v>6.785923753665689</v>
      </c>
      <c r="O386" s="338">
        <v>1</v>
      </c>
    </row>
    <row r="387" spans="1:15" ht="12" customHeight="1">
      <c r="A387" s="228">
        <v>384</v>
      </c>
      <c r="B387" s="281" t="s">
        <v>423</v>
      </c>
      <c r="C387" s="265">
        <v>39892</v>
      </c>
      <c r="D387" s="275" t="s">
        <v>322</v>
      </c>
      <c r="E387" s="276">
        <v>5</v>
      </c>
      <c r="F387" s="276">
        <v>1</v>
      </c>
      <c r="G387" s="276">
        <v>20</v>
      </c>
      <c r="H387" s="267">
        <v>114</v>
      </c>
      <c r="I387" s="268">
        <v>23</v>
      </c>
      <c r="J387" s="269">
        <f>(I387/F387)</f>
        <v>23</v>
      </c>
      <c r="K387" s="270">
        <f t="shared" si="34"/>
        <v>4.956521739130435</v>
      </c>
      <c r="L387" s="271">
        <f>18881.5+13473+6553+4173.5+2378+3269+2172+792+240+60+1236+552+1321+1757+465+884+565+65+261+952+114</f>
        <v>60164</v>
      </c>
      <c r="M387" s="269">
        <f>2268+1745+795+568+579+610+541+209+80+20+215+68+169+337+93+144+93+15+56+238+23</f>
        <v>8866</v>
      </c>
      <c r="N387" s="272">
        <f>L388/M388</f>
        <v>6.776389826693675</v>
      </c>
      <c r="O387" s="376"/>
    </row>
    <row r="388" spans="1:15" ht="12" customHeight="1">
      <c r="A388" s="228">
        <v>385</v>
      </c>
      <c r="B388" s="281" t="s">
        <v>423</v>
      </c>
      <c r="C388" s="265">
        <v>39892</v>
      </c>
      <c r="D388" s="275" t="s">
        <v>322</v>
      </c>
      <c r="E388" s="276">
        <v>5</v>
      </c>
      <c r="F388" s="276">
        <v>1</v>
      </c>
      <c r="G388" s="276">
        <v>22</v>
      </c>
      <c r="H388" s="280">
        <v>51</v>
      </c>
      <c r="I388" s="282">
        <v>20</v>
      </c>
      <c r="J388" s="283">
        <f>(I388/F388)</f>
        <v>20</v>
      </c>
      <c r="K388" s="285">
        <f t="shared" si="34"/>
        <v>2.55</v>
      </c>
      <c r="L388" s="284">
        <f>18881.5+13473+6553+4173.5+2378+3269+2172+792+240+60+1236+552+1321+1757+465+884+565+65+261+952+114+51</f>
        <v>60215</v>
      </c>
      <c r="M388" s="283">
        <f>2268+1745+795+568+579+610+541+209+80+20+215+68+169+337+93+144+93+15+56+238+23+20</f>
        <v>8886</v>
      </c>
      <c r="N388" s="272">
        <f>+L389/M389</f>
        <v>11.431905774470064</v>
      </c>
      <c r="O388" s="341">
        <v>1</v>
      </c>
    </row>
    <row r="389" spans="1:15" ht="12" customHeight="1">
      <c r="A389" s="228">
        <v>386</v>
      </c>
      <c r="B389" s="324" t="s">
        <v>276</v>
      </c>
      <c r="C389" s="308">
        <v>40088</v>
      </c>
      <c r="D389" s="275" t="s">
        <v>322</v>
      </c>
      <c r="E389" s="287">
        <v>22</v>
      </c>
      <c r="F389" s="287">
        <v>22</v>
      </c>
      <c r="G389" s="287">
        <v>12</v>
      </c>
      <c r="H389" s="288">
        <v>126229.75</v>
      </c>
      <c r="I389" s="289">
        <v>10017</v>
      </c>
      <c r="J389" s="283">
        <f>I389/F389</f>
        <v>455.3181818181818</v>
      </c>
      <c r="K389" s="285">
        <f t="shared" si="34"/>
        <v>12.601552360986323</v>
      </c>
      <c r="L389" s="284">
        <f>25195+10013.5+1152+270+83.5+141+48+709.5+1424+1356+5416.5+126229.75</f>
        <v>172038.75</v>
      </c>
      <c r="M389" s="283">
        <f>2139+1282+178+44+14+26+8+240+356+299+446+10017</f>
        <v>15049</v>
      </c>
      <c r="N389" s="272">
        <f>+L390/M390</f>
        <v>11.586625265071191</v>
      </c>
      <c r="O389" s="338"/>
    </row>
    <row r="390" spans="1:15" ht="12" customHeight="1">
      <c r="A390" s="228">
        <v>387</v>
      </c>
      <c r="B390" s="324" t="s">
        <v>276</v>
      </c>
      <c r="C390" s="308">
        <v>40088</v>
      </c>
      <c r="D390" s="275" t="s">
        <v>322</v>
      </c>
      <c r="E390" s="287">
        <v>22</v>
      </c>
      <c r="F390" s="287">
        <v>9</v>
      </c>
      <c r="G390" s="287">
        <v>13</v>
      </c>
      <c r="H390" s="288">
        <v>19198.5</v>
      </c>
      <c r="I390" s="289">
        <v>1456</v>
      </c>
      <c r="J390" s="283">
        <f>I390/F390</f>
        <v>161.77777777777777</v>
      </c>
      <c r="K390" s="285">
        <f t="shared" si="34"/>
        <v>13.185782967032967</v>
      </c>
      <c r="L390" s="284">
        <f>25195+10013.5+1152+270+83.5+141+48+709.5+1424+1356+5416.5+126229.75+19198.5</f>
        <v>191237.25</v>
      </c>
      <c r="M390" s="283">
        <f>2139+1282+178+44+14+26+8+240+356+299+446+10017+1456</f>
        <v>16505</v>
      </c>
      <c r="N390" s="255">
        <f>L391/M391</f>
        <v>11.143923620623527</v>
      </c>
      <c r="O390" s="262">
        <v>1</v>
      </c>
    </row>
    <row r="391" spans="1:15" ht="12" customHeight="1">
      <c r="A391" s="228">
        <v>388</v>
      </c>
      <c r="B391" s="245" t="s">
        <v>276</v>
      </c>
      <c r="C391" s="246">
        <v>40088</v>
      </c>
      <c r="D391" s="275" t="s">
        <v>322</v>
      </c>
      <c r="E391" s="248">
        <v>22</v>
      </c>
      <c r="F391" s="248">
        <v>8</v>
      </c>
      <c r="G391" s="248">
        <v>15</v>
      </c>
      <c r="H391" s="249">
        <v>6475.5</v>
      </c>
      <c r="I391" s="250">
        <v>877</v>
      </c>
      <c r="J391" s="251">
        <f>(I391/F391)</f>
        <v>109.625</v>
      </c>
      <c r="K391" s="252">
        <f t="shared" si="34"/>
        <v>7.38369441277081</v>
      </c>
      <c r="L391" s="253">
        <f>25195+10013.5+1152+270+83.5+141+48+709.5+1424+1356+5416.5+126229.75+19059.5+5814+6475.5</f>
        <v>203387.75</v>
      </c>
      <c r="M391" s="254">
        <f>2139+1282+178+44+14+26+8+240+356+299+446+10017+1456+869+877</f>
        <v>18251</v>
      </c>
      <c r="N391" s="255">
        <f>L392/M392</f>
        <v>10.935685965536521</v>
      </c>
      <c r="O391" s="262">
        <v>1</v>
      </c>
    </row>
    <row r="392" spans="1:15" ht="12" customHeight="1">
      <c r="A392" s="228">
        <v>389</v>
      </c>
      <c r="B392" s="324" t="s">
        <v>276</v>
      </c>
      <c r="C392" s="265">
        <v>40088</v>
      </c>
      <c r="D392" s="275" t="s">
        <v>322</v>
      </c>
      <c r="E392" s="287">
        <v>22</v>
      </c>
      <c r="F392" s="287">
        <v>3</v>
      </c>
      <c r="G392" s="287">
        <v>17</v>
      </c>
      <c r="H392" s="288">
        <v>6300</v>
      </c>
      <c r="I392" s="289">
        <v>776</v>
      </c>
      <c r="J392" s="283">
        <f>I392/F392</f>
        <v>258.6666666666667</v>
      </c>
      <c r="K392" s="285">
        <f t="shared" si="34"/>
        <v>8.118556701030927</v>
      </c>
      <c r="L392" s="284">
        <f>25195+10013.5+1152+270+83.5+141+48+709.5+1424+1356+5416.5+126229.75+19059.5+5814+6475.5+5450+6300</f>
        <v>215137.75</v>
      </c>
      <c r="M392" s="283">
        <f>2139+1282+178+44+14+26+8+240+356+299+446+10017+1456+869+877+646+776</f>
        <v>19673</v>
      </c>
      <c r="N392" s="290">
        <f>+L392/M392</f>
        <v>10.935685965536521</v>
      </c>
      <c r="O392" s="262">
        <v>1</v>
      </c>
    </row>
    <row r="393" spans="1:15" ht="12" customHeight="1">
      <c r="A393" s="228">
        <v>390</v>
      </c>
      <c r="B393" s="245" t="s">
        <v>276</v>
      </c>
      <c r="C393" s="246">
        <v>40088</v>
      </c>
      <c r="D393" s="275" t="s">
        <v>322</v>
      </c>
      <c r="E393" s="248">
        <v>22</v>
      </c>
      <c r="F393" s="248">
        <v>6</v>
      </c>
      <c r="G393" s="248">
        <v>14</v>
      </c>
      <c r="H393" s="249">
        <v>5814</v>
      </c>
      <c r="I393" s="258">
        <v>869</v>
      </c>
      <c r="J393" s="259">
        <f>(I393/F393)</f>
        <v>144.83333333333334</v>
      </c>
      <c r="K393" s="260">
        <f t="shared" si="34"/>
        <v>6.690448791714615</v>
      </c>
      <c r="L393" s="253">
        <f>25195+10013.5+1152+270+83.5+141+48+709.5+1424+1356+5416.5+126229.75+19059.5+5814</f>
        <v>196912.25</v>
      </c>
      <c r="M393" s="261">
        <f>2139+1282+178+44+14+26+8+240+356+299+446+10017+1456+869</f>
        <v>17374</v>
      </c>
      <c r="N393" s="255">
        <f>IF(L394&lt;&gt;0,L394/M394,"")</f>
        <v>11.051370587924009</v>
      </c>
      <c r="O393" s="274">
        <v>1</v>
      </c>
    </row>
    <row r="394" spans="1:15" ht="12" customHeight="1">
      <c r="A394" s="228">
        <v>391</v>
      </c>
      <c r="B394" s="324" t="s">
        <v>276</v>
      </c>
      <c r="C394" s="265">
        <v>40088</v>
      </c>
      <c r="D394" s="275" t="s">
        <v>322</v>
      </c>
      <c r="E394" s="287">
        <v>22</v>
      </c>
      <c r="F394" s="287">
        <v>6</v>
      </c>
      <c r="G394" s="287">
        <v>16</v>
      </c>
      <c r="H394" s="288">
        <v>5450</v>
      </c>
      <c r="I394" s="289">
        <v>646</v>
      </c>
      <c r="J394" s="283">
        <f>(I394/F394)</f>
        <v>107.66666666666667</v>
      </c>
      <c r="K394" s="285">
        <f t="shared" si="34"/>
        <v>8.436532507739939</v>
      </c>
      <c r="L394" s="284">
        <f>25195+10013.5+1152+270+83.5+141+48+709.5+1424+1356+5416.5+126229.75+19059.5+5814+6475.5+5450</f>
        <v>208837.75</v>
      </c>
      <c r="M394" s="283">
        <f>2139+1282+178+44+14+26+8+240+356+299+446+10017+1456+869+877+646</f>
        <v>18897</v>
      </c>
      <c r="N394" s="290">
        <f>L394/M394</f>
        <v>11.051370587924009</v>
      </c>
      <c r="O394" s="262">
        <v>1</v>
      </c>
    </row>
    <row r="395" spans="1:15" ht="12" customHeight="1">
      <c r="A395" s="228">
        <v>392</v>
      </c>
      <c r="B395" s="281" t="s">
        <v>276</v>
      </c>
      <c r="C395" s="308">
        <v>40088</v>
      </c>
      <c r="D395" s="275" t="s">
        <v>322</v>
      </c>
      <c r="E395" s="287">
        <v>22</v>
      </c>
      <c r="F395" s="287">
        <v>2</v>
      </c>
      <c r="G395" s="287">
        <v>11</v>
      </c>
      <c r="H395" s="288">
        <v>5416.5</v>
      </c>
      <c r="I395" s="289">
        <v>446</v>
      </c>
      <c r="J395" s="283">
        <f>(I395/F395)</f>
        <v>223</v>
      </c>
      <c r="K395" s="285">
        <f t="shared" si="34"/>
        <v>12.144618834080717</v>
      </c>
      <c r="L395" s="284">
        <f>25195+10013.5+1152+270+83.5+141+48+709.5+1424+1356+5416.5</f>
        <v>45809</v>
      </c>
      <c r="M395" s="283">
        <f>2139+1282+178+44+14+26+8+240+356+299+446</f>
        <v>5032</v>
      </c>
      <c r="N395" s="255">
        <f>L396/M396</f>
        <v>10.810243626897195</v>
      </c>
      <c r="O395" s="274">
        <v>1</v>
      </c>
    </row>
    <row r="396" spans="1:15" ht="12" customHeight="1">
      <c r="A396" s="228">
        <v>393</v>
      </c>
      <c r="B396" s="245" t="s">
        <v>276</v>
      </c>
      <c r="C396" s="265">
        <v>40088</v>
      </c>
      <c r="D396" s="275" t="s">
        <v>322</v>
      </c>
      <c r="E396" s="287">
        <v>22</v>
      </c>
      <c r="F396" s="287">
        <v>3</v>
      </c>
      <c r="G396" s="287">
        <v>18</v>
      </c>
      <c r="H396" s="288">
        <v>4948</v>
      </c>
      <c r="I396" s="289">
        <v>686</v>
      </c>
      <c r="J396" s="283">
        <f>I396/F396</f>
        <v>228.66666666666666</v>
      </c>
      <c r="K396" s="285">
        <f>+H396/I396</f>
        <v>7.2128279883381925</v>
      </c>
      <c r="L396" s="284">
        <f>25195+10013.5+1152+270+83.5+141+48+709.5+1424+1356+5416.5+126229.75+19059.5+5814+6475.5+5450+6300+4948</f>
        <v>220085.75</v>
      </c>
      <c r="M396" s="283">
        <f>2139+1282+178+44+14+26+8+240+356+299+446+10017+1456+869+877+646+776+686</f>
        <v>20359</v>
      </c>
      <c r="N396" s="290">
        <f>+L396/M396</f>
        <v>10.810243626897195</v>
      </c>
      <c r="O396" s="262"/>
    </row>
    <row r="397" spans="1:15" ht="12" customHeight="1">
      <c r="A397" s="228">
        <v>394</v>
      </c>
      <c r="B397" s="304" t="s">
        <v>276</v>
      </c>
      <c r="C397" s="305">
        <v>40088</v>
      </c>
      <c r="D397" s="275" t="s">
        <v>322</v>
      </c>
      <c r="E397" s="306">
        <v>22</v>
      </c>
      <c r="F397" s="306">
        <v>1</v>
      </c>
      <c r="G397" s="306">
        <v>9</v>
      </c>
      <c r="H397" s="263">
        <v>1424</v>
      </c>
      <c r="I397" s="258">
        <v>356</v>
      </c>
      <c r="J397" s="259">
        <f aca="true" t="shared" si="35" ref="J397:J402">(I397/F397)</f>
        <v>356</v>
      </c>
      <c r="K397" s="270">
        <f>+H397/I397</f>
        <v>4</v>
      </c>
      <c r="L397" s="264">
        <f>25195+10013.5+1152+270+83.5+141+48+709.5+1424</f>
        <v>39036.5</v>
      </c>
      <c r="M397" s="261">
        <f>2139+1282+178+44+14+26+8+240+356</f>
        <v>4287</v>
      </c>
      <c r="N397" s="272">
        <f>L398/M398</f>
        <v>8.807784561709552</v>
      </c>
      <c r="O397" s="262"/>
    </row>
    <row r="398" spans="1:15" ht="12" customHeight="1">
      <c r="A398" s="228">
        <v>395</v>
      </c>
      <c r="B398" s="281" t="s">
        <v>276</v>
      </c>
      <c r="C398" s="265">
        <v>40088</v>
      </c>
      <c r="D398" s="275" t="s">
        <v>322</v>
      </c>
      <c r="E398" s="276">
        <v>22</v>
      </c>
      <c r="F398" s="276">
        <v>3</v>
      </c>
      <c r="G398" s="276">
        <v>10</v>
      </c>
      <c r="H398" s="267">
        <v>1356</v>
      </c>
      <c r="I398" s="268">
        <v>299</v>
      </c>
      <c r="J398" s="269">
        <f t="shared" si="35"/>
        <v>99.66666666666667</v>
      </c>
      <c r="K398" s="270">
        <f>(J398/G398)</f>
        <v>9.966666666666667</v>
      </c>
      <c r="L398" s="271">
        <f>25195+10013.5+1152+270+83.5+141+48+709.5+1424+1356</f>
        <v>40392.5</v>
      </c>
      <c r="M398" s="269">
        <f>2139+1282+178+44+14+26+8+240+356+299</f>
        <v>4586</v>
      </c>
      <c r="N398" s="272">
        <f>+L399/M399</f>
        <v>10.660764736867309</v>
      </c>
      <c r="O398" s="262"/>
    </row>
    <row r="399" spans="1:15" ht="12" customHeight="1">
      <c r="A399" s="228">
        <v>396</v>
      </c>
      <c r="B399" s="245" t="s">
        <v>276</v>
      </c>
      <c r="C399" s="265">
        <v>40088</v>
      </c>
      <c r="D399" s="247" t="s">
        <v>322</v>
      </c>
      <c r="E399" s="276">
        <v>22</v>
      </c>
      <c r="F399" s="276">
        <v>1</v>
      </c>
      <c r="G399" s="276">
        <v>21</v>
      </c>
      <c r="H399" s="267">
        <v>1188</v>
      </c>
      <c r="I399" s="268">
        <v>297</v>
      </c>
      <c r="J399" s="269">
        <f t="shared" si="35"/>
        <v>297</v>
      </c>
      <c r="K399" s="270">
        <f aca="true" t="shared" si="36" ref="K399:K405">H399/I399</f>
        <v>4</v>
      </c>
      <c r="L399" s="271">
        <f>25195+10013.5+1152+270+83.5+141+48+709.5+1424+1356+5416.5+126229.75+19059.5+5814+6475.5+5450+6300+4948+862+493+1188</f>
        <v>222628.75</v>
      </c>
      <c r="M399" s="269">
        <f>2139+1282+178+44+14+26+8+240+356+299+446+10017+1456+869+877+646+776+686+134+93+297</f>
        <v>20883</v>
      </c>
      <c r="N399" s="272">
        <f>L399/M399</f>
        <v>10.660764736867309</v>
      </c>
      <c r="O399" s="244"/>
    </row>
    <row r="400" spans="1:15" ht="12" customHeight="1">
      <c r="A400" s="228">
        <v>397</v>
      </c>
      <c r="B400" s="245" t="s">
        <v>276</v>
      </c>
      <c r="C400" s="265">
        <v>40088</v>
      </c>
      <c r="D400" s="275" t="s">
        <v>322</v>
      </c>
      <c r="E400" s="287">
        <v>22</v>
      </c>
      <c r="F400" s="287">
        <v>2</v>
      </c>
      <c r="G400" s="287">
        <v>19</v>
      </c>
      <c r="H400" s="288">
        <v>862</v>
      </c>
      <c r="I400" s="289">
        <v>134</v>
      </c>
      <c r="J400" s="283">
        <f t="shared" si="35"/>
        <v>67</v>
      </c>
      <c r="K400" s="285">
        <f t="shared" si="36"/>
        <v>6.432835820895522</v>
      </c>
      <c r="L400" s="284">
        <f>25195+10013.5+1152+270+83.5+141+48+709.5+1424+1356+5416.5+126229.75+19059.5+5814+6475.5+5450+6300+4948+862</f>
        <v>220947.75</v>
      </c>
      <c r="M400" s="283">
        <f>2139+1282+178+44+14+26+8+240+356+299+446+10017+1456+869+877+646+776+686+134</f>
        <v>20493</v>
      </c>
      <c r="N400" s="290">
        <f>L400/M400</f>
        <v>10.781620553359684</v>
      </c>
      <c r="O400" s="340"/>
    </row>
    <row r="401" spans="1:15" ht="12" customHeight="1">
      <c r="A401" s="228">
        <v>398</v>
      </c>
      <c r="B401" s="245" t="s">
        <v>276</v>
      </c>
      <c r="C401" s="265">
        <v>40088</v>
      </c>
      <c r="D401" s="275" t="s">
        <v>322</v>
      </c>
      <c r="E401" s="287">
        <v>22</v>
      </c>
      <c r="F401" s="287">
        <v>1</v>
      </c>
      <c r="G401" s="287">
        <v>20</v>
      </c>
      <c r="H401" s="288">
        <v>493</v>
      </c>
      <c r="I401" s="326">
        <v>93</v>
      </c>
      <c r="J401" s="269">
        <f t="shared" si="35"/>
        <v>93</v>
      </c>
      <c r="K401" s="270">
        <f t="shared" si="36"/>
        <v>5.301075268817204</v>
      </c>
      <c r="L401" s="271">
        <f>25195+10013.5+1152+270+83.5+141+48+709.5+1424+1356+5416.5+126229.75+19059.5+5814+6475.5+5450+6300+4948+862+493</f>
        <v>221440.75</v>
      </c>
      <c r="M401" s="269">
        <f>2139+1282+178+44+14+26+8+240+356+299+446+10017+1456+869+877+646+776+686+134+93</f>
        <v>20586</v>
      </c>
      <c r="N401" s="272">
        <f>L401/M401</f>
        <v>10.756861459244147</v>
      </c>
      <c r="O401" s="262"/>
    </row>
    <row r="402" spans="1:15" ht="12" customHeight="1">
      <c r="A402" s="228">
        <v>399</v>
      </c>
      <c r="B402" s="304" t="s">
        <v>473</v>
      </c>
      <c r="C402" s="305">
        <v>40151</v>
      </c>
      <c r="D402" s="275" t="s">
        <v>322</v>
      </c>
      <c r="E402" s="306">
        <v>2</v>
      </c>
      <c r="F402" s="306">
        <v>2</v>
      </c>
      <c r="G402" s="306">
        <v>7</v>
      </c>
      <c r="H402" s="249">
        <v>1006</v>
      </c>
      <c r="I402" s="258">
        <v>130</v>
      </c>
      <c r="J402" s="259">
        <f t="shared" si="35"/>
        <v>65</v>
      </c>
      <c r="K402" s="260">
        <f t="shared" si="36"/>
        <v>7.7384615384615385</v>
      </c>
      <c r="L402" s="253">
        <f>14952+6112+2196+2975+2853+674+1006</f>
        <v>30768</v>
      </c>
      <c r="M402" s="261">
        <f>1468+666+254+478+502+81+130</f>
        <v>3579</v>
      </c>
      <c r="N402" s="255">
        <f>L403/M403</f>
        <v>8.027516869457708</v>
      </c>
      <c r="O402" s="262"/>
    </row>
    <row r="403" spans="1:15" ht="12" customHeight="1">
      <c r="A403" s="228">
        <v>400</v>
      </c>
      <c r="B403" s="324" t="s">
        <v>341</v>
      </c>
      <c r="C403" s="308">
        <v>39995</v>
      </c>
      <c r="D403" s="275" t="s">
        <v>322</v>
      </c>
      <c r="E403" s="287">
        <v>209</v>
      </c>
      <c r="F403" s="287">
        <v>5</v>
      </c>
      <c r="G403" s="287">
        <v>36</v>
      </c>
      <c r="H403" s="288">
        <v>10448</v>
      </c>
      <c r="I403" s="289">
        <v>2612</v>
      </c>
      <c r="J403" s="283">
        <f>I403/F403</f>
        <v>522.4</v>
      </c>
      <c r="K403" s="285">
        <f t="shared" si="36"/>
        <v>4</v>
      </c>
      <c r="L403" s="284">
        <f>872160.5+3062686.25+2016658.5+1330226.25+943221.5+742732+516667.5+450351.5+331944.75+238834+191406+133484.5+252388.75+88483.5+54821.5+50455.5+10393.5+13219.5+4551+15537+5404+869+4082+1834+3805+1635+750+1385+2821+5898+4584.5+5853+2137+508+960+2260+10448</f>
        <v>11375457</v>
      </c>
      <c r="M403" s="283">
        <f>115039+364710+241056+162109+115810+90639+66180+59650+44695+33272+25508+18324+32600+11489+6695+7353+1723+3013+920+3530+1123+138+968+454+919+396+210+249+551+1381+976+1328+506+127+240+565+2612</f>
        <v>1417058</v>
      </c>
      <c r="N403" s="272">
        <f>+L404/M404</f>
        <v>8.001966145422552</v>
      </c>
      <c r="O403" s="262"/>
    </row>
    <row r="404" spans="1:15" ht="12" customHeight="1">
      <c r="A404" s="228">
        <v>401</v>
      </c>
      <c r="B404" s="245" t="s">
        <v>341</v>
      </c>
      <c r="C404" s="265">
        <v>39995</v>
      </c>
      <c r="D404" s="247" t="s">
        <v>322</v>
      </c>
      <c r="E404" s="276">
        <v>209</v>
      </c>
      <c r="F404" s="276">
        <v>4</v>
      </c>
      <c r="G404" s="276">
        <v>55</v>
      </c>
      <c r="H404" s="267">
        <v>6614</v>
      </c>
      <c r="I404" s="268">
        <v>1638</v>
      </c>
      <c r="J404" s="269">
        <f aca="true" t="shared" si="37" ref="J404:J410">(I404/F404)</f>
        <v>409.5</v>
      </c>
      <c r="K404" s="270">
        <f t="shared" si="36"/>
        <v>4.037851037851038</v>
      </c>
      <c r="L404" s="271">
        <f>11405777.5+385+1188+6614</f>
        <v>11413964.5</v>
      </c>
      <c r="M404" s="269">
        <f>1424397+63+297+1638</f>
        <v>1426395</v>
      </c>
      <c r="N404" s="272">
        <f>L404/M404</f>
        <v>8.001966145422552</v>
      </c>
      <c r="O404" s="345"/>
    </row>
    <row r="405" spans="1:15" ht="12" customHeight="1">
      <c r="A405" s="228">
        <v>402</v>
      </c>
      <c r="B405" s="304" t="s">
        <v>341</v>
      </c>
      <c r="C405" s="305">
        <v>39995</v>
      </c>
      <c r="D405" s="275" t="s">
        <v>322</v>
      </c>
      <c r="E405" s="306">
        <v>209</v>
      </c>
      <c r="F405" s="306">
        <v>4</v>
      </c>
      <c r="G405" s="306">
        <v>29</v>
      </c>
      <c r="H405" s="249">
        <v>5898</v>
      </c>
      <c r="I405" s="258">
        <v>1381</v>
      </c>
      <c r="J405" s="259">
        <f t="shared" si="37"/>
        <v>345.25</v>
      </c>
      <c r="K405" s="260">
        <f t="shared" si="36"/>
        <v>4.270818247646633</v>
      </c>
      <c r="L405" s="253">
        <f>872160.5+3062686.25+2016658.5+1330226.25+943221.5+742732+516667.5+450351.5+331944.75+238834+191406+133484.5+252388.75+88483.5+54821.5+50455.5+10393.5+13219.5+4551+15537+5404+869+4082+1834+3805+1635+750+1385+2821+5898</f>
        <v>11348706.5</v>
      </c>
      <c r="M405" s="261">
        <f>115039+364710+241056+162109+115810+90639+66180+59650+44695+33272+25508+18324+32600+11489+6695+7353+1723+3013+920+3530+1123+138+968+454+919+396+210+249+551+1381</f>
        <v>1410704</v>
      </c>
      <c r="N405" s="255">
        <f>L406/M406</f>
        <v>8.038980671022387</v>
      </c>
      <c r="O405" s="262"/>
    </row>
    <row r="406" spans="1:15" ht="12" customHeight="1">
      <c r="A406" s="228">
        <v>403</v>
      </c>
      <c r="B406" s="304" t="s">
        <v>341</v>
      </c>
      <c r="C406" s="305">
        <v>39995</v>
      </c>
      <c r="D406" s="275" t="s">
        <v>322</v>
      </c>
      <c r="E406" s="306">
        <v>209</v>
      </c>
      <c r="F406" s="306">
        <v>5</v>
      </c>
      <c r="G406" s="306">
        <v>31</v>
      </c>
      <c r="H406" s="263">
        <v>5853</v>
      </c>
      <c r="I406" s="258">
        <v>1328</v>
      </c>
      <c r="J406" s="259">
        <f t="shared" si="37"/>
        <v>265.6</v>
      </c>
      <c r="K406" s="270">
        <f>+H406/I406</f>
        <v>4.407379518072289</v>
      </c>
      <c r="L406" s="264">
        <f>872160.5+3062686.25+2016658.5+1330226.25+943221.5+742732+516667.5+450351.5+331944.75+238834+191406+133484.5+252388.75+88483.5+54821.5+50455.5+10393.5+13219.5+4551+15537+5404+869+4082+1834+3805+1635+750+1385+2821+5898+4584.5+5853</f>
        <v>11359144</v>
      </c>
      <c r="M406" s="261">
        <f>115039+364710+241056+162109+115810+90639+66180+59650+44695+33272+25508+18324+32600+11489+6695+7353+1723+3013+920+3530+1123+138+968+454+919+396+210+249+551+1381+976+1328</f>
        <v>1413008</v>
      </c>
      <c r="N406" s="255">
        <f>L407/M407</f>
        <v>8.009534268860271</v>
      </c>
      <c r="O406" s="376"/>
    </row>
    <row r="407" spans="1:15" ht="12" customHeight="1">
      <c r="A407" s="228">
        <v>404</v>
      </c>
      <c r="B407" s="245" t="s">
        <v>341</v>
      </c>
      <c r="C407" s="265">
        <v>39995</v>
      </c>
      <c r="D407" s="247" t="s">
        <v>334</v>
      </c>
      <c r="E407" s="276">
        <v>209</v>
      </c>
      <c r="F407" s="276">
        <v>4</v>
      </c>
      <c r="G407" s="276">
        <v>51</v>
      </c>
      <c r="H407" s="267">
        <v>4759</v>
      </c>
      <c r="I407" s="268">
        <v>1130</v>
      </c>
      <c r="J407" s="269">
        <f t="shared" si="37"/>
        <v>282.5</v>
      </c>
      <c r="K407" s="270">
        <f>H407/I407</f>
        <v>4.211504424778761</v>
      </c>
      <c r="L407" s="271">
        <f>872160.5+3062686.25+2016658.5+1330226.25+943221.5+742732+516667.5+450351.5+331944.75+238834+191406+133484.5+252388.75+88483.5+54821.5+50455.5+10393.5+13219.5+4551+15537+5404+869+4082+1834+3805+1635+750+1385+2821+5898+4584.5+5853+2137+508+960+2260+10448+960+932+543+451+1939+592+592+592+1545.5+974+2612+2612+3564+4681+4759</f>
        <v>11402805.5</v>
      </c>
      <c r="M407" s="269">
        <f>115039+364710+241056+162109+115810+90639+66180+59650+44695+33272+25508+18324+32600+11489+6695+7353+1723+3013+920+3530+1123+138+968+454+919+396+210+249+551+1381+976+1328+506+127+240+565+2612+240+233+106+87+474+148+148+148+381+237+653+653+891+1067+1130</f>
        <v>1423654</v>
      </c>
      <c r="N407" s="272">
        <f>L407/M407</f>
        <v>8.009534268860271</v>
      </c>
      <c r="O407" s="338"/>
    </row>
    <row r="408" spans="1:15" ht="12" customHeight="1">
      <c r="A408" s="228">
        <v>405</v>
      </c>
      <c r="B408" s="245" t="s">
        <v>341</v>
      </c>
      <c r="C408" s="246">
        <v>39995</v>
      </c>
      <c r="D408" s="247" t="s">
        <v>322</v>
      </c>
      <c r="E408" s="248">
        <v>209</v>
      </c>
      <c r="F408" s="248">
        <v>3</v>
      </c>
      <c r="G408" s="248">
        <v>50</v>
      </c>
      <c r="H408" s="263">
        <v>4681</v>
      </c>
      <c r="I408" s="258">
        <v>1067</v>
      </c>
      <c r="J408" s="259">
        <f t="shared" si="37"/>
        <v>355.6666666666667</v>
      </c>
      <c r="K408" s="260">
        <f>H408/I408</f>
        <v>4.387066541705717</v>
      </c>
      <c r="L408" s="264">
        <f>872160.5+3062686.25+2016658.5+1330226.25+943221.5+742732+516667.5+450351.5+331944.75+238834+191406+133484.5+252388.75+88483.5+54821.5+50455.5+10393.5+13219.5+4551+15537+5404+869+4082+1834+3805+1635+750+1385+2821+5898+4584.5+5853+2137+508+960+2260+10448+960+932+543+451+1939+592+592+592+1545.5+974+2612+2612+3564+4681</f>
        <v>11398046.5</v>
      </c>
      <c r="M408" s="261">
        <f>115039+364710+241056+162109+115810+90639+66180+59650+44695+33272+25508+18324+32600+11489+6695+7353+1723+3013+920+3530+1123+138+968+454+919+396+210+249+551+1381+976+1328+506+127+240+565+2612+240+233+106+87+474+148+148+148+381+237+653+653+891+1067</f>
        <v>1422524</v>
      </c>
      <c r="N408" s="255">
        <f>L408/M408</f>
        <v>8.012551282087331</v>
      </c>
      <c r="O408" s="335"/>
    </row>
    <row r="409" spans="1:15" ht="12" customHeight="1">
      <c r="A409" s="228">
        <v>406</v>
      </c>
      <c r="B409" s="281" t="s">
        <v>341</v>
      </c>
      <c r="C409" s="265">
        <v>39995</v>
      </c>
      <c r="D409" s="275" t="s">
        <v>322</v>
      </c>
      <c r="E409" s="276">
        <v>209</v>
      </c>
      <c r="F409" s="276">
        <v>6</v>
      </c>
      <c r="G409" s="276">
        <v>30</v>
      </c>
      <c r="H409" s="263">
        <v>4584.5</v>
      </c>
      <c r="I409" s="258">
        <v>976</v>
      </c>
      <c r="J409" s="259">
        <f t="shared" si="37"/>
        <v>162.66666666666666</v>
      </c>
      <c r="K409" s="260">
        <f>H409/I409</f>
        <v>4.697233606557377</v>
      </c>
      <c r="L409" s="264">
        <f>872160.5+3062686.25+2016658.5+1330226.25+943221.5+742732+516667.5+450351.5+331944.75+238834+191406+133484.5+252388.75+88483.5+54821.5+50455.5+10393.5+13219.5+4551+15537+5404+869+4082+1834+3805+1635+750+1385+2821+5898+4584.5</f>
        <v>11353291</v>
      </c>
      <c r="M409" s="261">
        <f>115039+364710+241056+162109+115810+90639+66180+59650+44695+33272+25508+18324+32600+11489+6695+7353+1723+3013+920+3530+1123+138+968+454+919+396+210+249+551+1381+976</f>
        <v>1411680</v>
      </c>
      <c r="N409" s="255">
        <f>L410/M410</f>
        <v>8.015272709621184</v>
      </c>
      <c r="O409" s="338"/>
    </row>
    <row r="410" spans="1:15" ht="12" customHeight="1">
      <c r="A410" s="228">
        <v>407</v>
      </c>
      <c r="B410" s="245" t="s">
        <v>341</v>
      </c>
      <c r="C410" s="246">
        <v>39995</v>
      </c>
      <c r="D410" s="247" t="s">
        <v>322</v>
      </c>
      <c r="E410" s="248">
        <v>209</v>
      </c>
      <c r="F410" s="248">
        <v>3</v>
      </c>
      <c r="G410" s="248">
        <v>49</v>
      </c>
      <c r="H410" s="249">
        <v>3564</v>
      </c>
      <c r="I410" s="250">
        <v>891</v>
      </c>
      <c r="J410" s="251">
        <f t="shared" si="37"/>
        <v>297</v>
      </c>
      <c r="K410" s="260">
        <f>H410/I410</f>
        <v>4</v>
      </c>
      <c r="L410" s="253">
        <f>872160.5+3062686.25+2016658.5+1330226.25+943221.5+742732+516667.5+450351.5+331944.75+238834+191406+133484.5+252388.75+88483.5+54821.5+50455.5+10393.5+13219.5+4551+15537+5404+869+4082+1834+3805+1635+750+1385+2821+5898+4584.5+5853+2137+508+960+2260+10448+960+932+543+451+1939+592+592+592+1545.5+974+2612+2612+3564</f>
        <v>11393365.5</v>
      </c>
      <c r="M410" s="254">
        <f>115039+364710+241056+162109+115810+90639+66180+59650+44695+33272+25508+18324+32600+11489+6695+7353+1723+3013+920+3530+1123+138+968+454+919+396+210+249+551+1381+976+1328+506+127+240+565+2612+240+233+106+87+474+148+148+148+381+237+653+653+891</f>
        <v>1421457</v>
      </c>
      <c r="N410" s="255">
        <f>L410/M410</f>
        <v>8.015272709621184</v>
      </c>
      <c r="O410" s="338"/>
    </row>
    <row r="411" spans="1:15" ht="12" customHeight="1">
      <c r="A411" s="228">
        <v>408</v>
      </c>
      <c r="B411" s="281" t="s">
        <v>341</v>
      </c>
      <c r="C411" s="265">
        <v>39995</v>
      </c>
      <c r="D411" s="247" t="s">
        <v>322</v>
      </c>
      <c r="E411" s="276">
        <v>209</v>
      </c>
      <c r="F411" s="276">
        <v>2</v>
      </c>
      <c r="G411" s="276">
        <v>52</v>
      </c>
      <c r="H411" s="280">
        <v>2972</v>
      </c>
      <c r="I411" s="282">
        <v>743</v>
      </c>
      <c r="J411" s="283">
        <v>371.5</v>
      </c>
      <c r="K411" s="285">
        <v>4</v>
      </c>
      <c r="L411" s="284">
        <v>11405777.5</v>
      </c>
      <c r="M411" s="283">
        <v>1424397</v>
      </c>
      <c r="N411" s="272">
        <v>8.007442798601794</v>
      </c>
      <c r="O411" s="335"/>
    </row>
    <row r="412" spans="1:15" ht="12" customHeight="1">
      <c r="A412" s="228">
        <v>409</v>
      </c>
      <c r="B412" s="245" t="s">
        <v>341</v>
      </c>
      <c r="C412" s="265">
        <v>39995</v>
      </c>
      <c r="D412" s="275" t="s">
        <v>322</v>
      </c>
      <c r="E412" s="276">
        <v>209</v>
      </c>
      <c r="F412" s="276">
        <v>1</v>
      </c>
      <c r="G412" s="276">
        <v>56</v>
      </c>
      <c r="H412" s="263">
        <v>2968</v>
      </c>
      <c r="I412" s="258">
        <v>742</v>
      </c>
      <c r="J412" s="269">
        <f>(I412/F412)</f>
        <v>742</v>
      </c>
      <c r="K412" s="270">
        <f>H412/I412</f>
        <v>4</v>
      </c>
      <c r="L412" s="271">
        <f>11405777.5+385+1188+6614+2968</f>
        <v>11416932.5</v>
      </c>
      <c r="M412" s="269">
        <f>1424397+63+297+1638+742</f>
        <v>1427137</v>
      </c>
      <c r="N412" s="272">
        <f>L412/M412</f>
        <v>7.999885434965249</v>
      </c>
      <c r="O412" s="335"/>
    </row>
    <row r="413" spans="1:15" ht="12" customHeight="1">
      <c r="A413" s="228">
        <v>410</v>
      </c>
      <c r="B413" s="281" t="s">
        <v>341</v>
      </c>
      <c r="C413" s="265">
        <v>39995</v>
      </c>
      <c r="D413" s="275" t="s">
        <v>322</v>
      </c>
      <c r="E413" s="276">
        <v>209</v>
      </c>
      <c r="F413" s="276">
        <v>3</v>
      </c>
      <c r="G413" s="276">
        <v>28</v>
      </c>
      <c r="H413" s="249">
        <v>2821</v>
      </c>
      <c r="I413" s="250">
        <v>551</v>
      </c>
      <c r="J413" s="251">
        <f>(I413/F413)</f>
        <v>183.66666666666666</v>
      </c>
      <c r="K413" s="252">
        <f>H413/I413</f>
        <v>5.11978221415608</v>
      </c>
      <c r="L413" s="253">
        <f>872160.5+3062686.25+2016658.5+1330226.25+943221.5+742732+516667.5+450351.5+331944.75+238834+191406+133484.5+252388.75+88483.5+54821.5+50455.5+10393.5+13219.5+4551+15537+5404+869+4082+1834+3805+1635+750+1385+2821</f>
        <v>11342808.5</v>
      </c>
      <c r="M413" s="254">
        <f>115039+364710+241056+162109+115810+90639+66180+59650+44695+33272+25508+18324+32600+11489+6695+7353+1723+3013+920+3530+1123+138+968+454+919+396+210+249+551</f>
        <v>1409323</v>
      </c>
      <c r="N413" s="272">
        <f>+L414/M414</f>
        <v>8.01779114803536</v>
      </c>
      <c r="O413" s="244"/>
    </row>
    <row r="414" spans="1:15" ht="12" customHeight="1">
      <c r="A414" s="228">
        <v>411</v>
      </c>
      <c r="B414" s="245" t="s">
        <v>341</v>
      </c>
      <c r="C414" s="246">
        <v>39995</v>
      </c>
      <c r="D414" s="247" t="s">
        <v>322</v>
      </c>
      <c r="E414" s="248">
        <v>209</v>
      </c>
      <c r="F414" s="248">
        <v>2</v>
      </c>
      <c r="G414" s="248">
        <v>48</v>
      </c>
      <c r="H414" s="263">
        <v>2612</v>
      </c>
      <c r="I414" s="258">
        <v>653</v>
      </c>
      <c r="J414" s="259">
        <f>(I414/F414)</f>
        <v>326.5</v>
      </c>
      <c r="K414" s="260">
        <f>H414/I414</f>
        <v>4</v>
      </c>
      <c r="L414" s="264">
        <f>872160.5+3062686.25+2016658.5+1330226.25+943221.5+742732+516667.5+450351.5+331944.75+238834+191406+133484.5+252388.75+88483.5+54821.5+50455.5+10393.5+13219.5+4551+15537+5404+869+4082+1834+3805+1635+750+1385+2821+5898+4584.5+5853+2137+508+960+2260+10448+960+932+543+451+1939+592+592+592+1545.5+974+2612+2612</f>
        <v>11389801.5</v>
      </c>
      <c r="M414" s="261">
        <f>115039+364710+241056+162109+115810+90639+66180+59650+44695+33272+25508+18324+32600+11489+6695+7353+1723+3013+920+3530+1123+138+968+454+919+396+210+249+551+1381+976+1328+506+127+240+565+2612+240+233+106+87+474+148+148+148+381+237+653+653</f>
        <v>1420566</v>
      </c>
      <c r="N414" s="255">
        <f>L414/M414</f>
        <v>8.01779114803536</v>
      </c>
      <c r="O414" s="262"/>
    </row>
    <row r="415" spans="1:15" ht="12" customHeight="1">
      <c r="A415" s="228">
        <v>412</v>
      </c>
      <c r="B415" s="281" t="s">
        <v>341</v>
      </c>
      <c r="C415" s="308">
        <v>39995</v>
      </c>
      <c r="D415" s="275" t="s">
        <v>322</v>
      </c>
      <c r="E415" s="287">
        <v>209</v>
      </c>
      <c r="F415" s="287">
        <v>2</v>
      </c>
      <c r="G415" s="287">
        <v>35</v>
      </c>
      <c r="H415" s="288">
        <v>2260</v>
      </c>
      <c r="I415" s="289">
        <v>565</v>
      </c>
      <c r="J415" s="283">
        <f>(I415/F415)</f>
        <v>282.5</v>
      </c>
      <c r="K415" s="285">
        <f>H415/I415</f>
        <v>4</v>
      </c>
      <c r="L415" s="284">
        <f>872160.5+3062686.25+2016658.5+1330226.25+943221.5+742732+516667.5+450351.5+331944.75+238834+191406+133484.5+252388.75+88483.5+54821.5+50455.5+10393.5+13219.5+4551+15537+5404+869+4082+1834+3805+1635+750+1385+2821+5898+4584.5+5853+2137+508+960+2260</f>
        <v>11365009</v>
      </c>
      <c r="M415" s="283">
        <f>115039+364710+241056+162109+115810+90639+66180+59650+44695+33272+25508+18324+32600+11489+6695+7353+1723+3013+920+3530+1123+138+968+454+919+396+210+249+551+1381+976+1328+506+127+240+565</f>
        <v>1414446</v>
      </c>
      <c r="N415" s="272">
        <f>L416/M416</f>
        <v>8.037614767168915</v>
      </c>
      <c r="O415" s="274"/>
    </row>
    <row r="416" spans="1:15" ht="12" customHeight="1">
      <c r="A416" s="228">
        <v>413</v>
      </c>
      <c r="B416" s="281" t="s">
        <v>341</v>
      </c>
      <c r="C416" s="265">
        <v>39995</v>
      </c>
      <c r="D416" s="275" t="s">
        <v>322</v>
      </c>
      <c r="E416" s="276">
        <v>209</v>
      </c>
      <c r="F416" s="276">
        <v>3</v>
      </c>
      <c r="G416" s="276">
        <v>32</v>
      </c>
      <c r="H416" s="267">
        <v>2137</v>
      </c>
      <c r="I416" s="268">
        <v>506</v>
      </c>
      <c r="J416" s="269">
        <f>(I416/F416)</f>
        <v>168.66666666666666</v>
      </c>
      <c r="K416" s="270">
        <f>(J416/G416)</f>
        <v>5.270833333333333</v>
      </c>
      <c r="L416" s="271">
        <f>872160.5+3062686.25+2016658.5+1330226.25+943221.5+742732+516667.5+450351.5+331944.75+238834+191406+133484.5+252388.75+88483.5+54821.5+50455.5+10393.5+13219.5+4551+15537+5404+869+4082+1834+3805+1635+750+1385+2821+5898+4584.5+5853+2137</f>
        <v>11361281</v>
      </c>
      <c r="M416" s="269">
        <f>115039+364710+241056+162109+115810+90639+66180+59650+44695+33272+25508+18324+32600+11489+6695+7353+1723+3013+920+3530+1123+138+968+454+919+396+210+249+551+1381+976+1328+506</f>
        <v>1413514</v>
      </c>
      <c r="N416" s="272">
        <f>L418/M418</f>
        <v>8.022141642524469</v>
      </c>
      <c r="O416" s="262"/>
    </row>
    <row r="417" spans="1:15" ht="12" customHeight="1">
      <c r="A417" s="228">
        <v>414</v>
      </c>
      <c r="B417" s="324" t="s">
        <v>341</v>
      </c>
      <c r="C417" s="265">
        <v>39995</v>
      </c>
      <c r="D417" s="275" t="s">
        <v>322</v>
      </c>
      <c r="E417" s="287">
        <v>209</v>
      </c>
      <c r="F417" s="287">
        <v>3</v>
      </c>
      <c r="G417" s="287">
        <v>41</v>
      </c>
      <c r="H417" s="288">
        <v>1939</v>
      </c>
      <c r="I417" s="289">
        <v>474</v>
      </c>
      <c r="J417" s="283">
        <f>I417/F417</f>
        <v>158</v>
      </c>
      <c r="K417" s="285">
        <f aca="true" t="shared" si="38" ref="K417:K425">H417/I417</f>
        <v>4.090717299578059</v>
      </c>
      <c r="L417" s="284">
        <f>872160.5+3062686.25+2016658.5+1330226.25+943221.5+742732+516667.5+450351.5+331944.75+238834+191406+133484.5+252388.75+88483.5+54821.5+50455.5+10393.5+13219.5+4551+15537+5404+869+4082+1834+3805+1635+750+1385+2821+5898+4584.5+5853+2137+508+960+2260+10448+960+932+543+451+1939</f>
        <v>11380282</v>
      </c>
      <c r="M417" s="283">
        <f>115039+364710+241056+162109+115810+90639+66180+59650+44695+33272+25508+18324+32600+11489+6695+7353+1723+3013+920+3530+1123+138+968+454+919+396+210+249+551+1381+976+1328+506+127+240+565+2612+240+233+106+87+474</f>
        <v>1418198</v>
      </c>
      <c r="N417" s="290">
        <f>+L417/M417</f>
        <v>8.024466259295247</v>
      </c>
      <c r="O417" s="335"/>
    </row>
    <row r="418" spans="1:15" ht="12" customHeight="1">
      <c r="A418" s="228">
        <v>415</v>
      </c>
      <c r="B418" s="245" t="s">
        <v>341</v>
      </c>
      <c r="C418" s="246">
        <v>39995</v>
      </c>
      <c r="D418" s="247" t="s">
        <v>322</v>
      </c>
      <c r="E418" s="248">
        <v>209</v>
      </c>
      <c r="F418" s="248">
        <v>1</v>
      </c>
      <c r="G418" s="248">
        <v>45</v>
      </c>
      <c r="H418" s="249">
        <v>1545.5</v>
      </c>
      <c r="I418" s="250">
        <v>381</v>
      </c>
      <c r="J418" s="251">
        <f>(I418/F418)</f>
        <v>381</v>
      </c>
      <c r="K418" s="252">
        <f t="shared" si="38"/>
        <v>4.056430446194225</v>
      </c>
      <c r="L418" s="253">
        <f>872160.5+3062686.25+2016658.5+1330226.25+943221.5+742732+516667.5+450351.5+331944.75+238834+191406+133484.5+252388.75+88483.5+54821.5+50455.5+10393.5+13219.5+4551+15537+5404+869+4082+1834+3805+1635+750+1385+2821+5898+4584.5+5853+2137+508+960+2260+10448+960+932+543+451+1939+592+592+592+1545.5</f>
        <v>11383603.5</v>
      </c>
      <c r="M418" s="254">
        <f>115039+364710+241056+162109+115810+90639+66180+59650+44695+33272+25508+18324+32600+11489+6695+7353+1723+3013+920+3530+1123+138+968+454+919+396+210+249+551+1381+976+1328+506+127+240+565+2612+240+233+106+87+474+148+148+148+381</f>
        <v>1419023</v>
      </c>
      <c r="N418" s="255">
        <f>L418/M418</f>
        <v>8.022141642524469</v>
      </c>
      <c r="O418" s="274"/>
    </row>
    <row r="419" spans="1:15" ht="12" customHeight="1">
      <c r="A419" s="228">
        <v>416</v>
      </c>
      <c r="B419" s="281" t="s">
        <v>341</v>
      </c>
      <c r="C419" s="308">
        <v>39995</v>
      </c>
      <c r="D419" s="275" t="s">
        <v>322</v>
      </c>
      <c r="E419" s="287">
        <v>209</v>
      </c>
      <c r="F419" s="287">
        <v>1</v>
      </c>
      <c r="G419" s="287">
        <v>34</v>
      </c>
      <c r="H419" s="288">
        <v>1440</v>
      </c>
      <c r="I419" s="289">
        <v>240</v>
      </c>
      <c r="J419" s="283">
        <f>(I419/F419)</f>
        <v>240</v>
      </c>
      <c r="K419" s="285">
        <f t="shared" si="38"/>
        <v>6</v>
      </c>
      <c r="L419" s="284">
        <f>872160.5+3062686.25+2016658.5+1330226.25+943221.5+742732+516667.5+450351.5+331944.75+238834+191406+133484.5+252388.75+88483.5+54821.5+50455.5+10393.5+13219.5+4551+15537+5404+869+4082+1834+3805+1635+750+1385+2821+5898+4584.5+5853+2137+508+1440</f>
        <v>11363229</v>
      </c>
      <c r="M419" s="283">
        <f>115039+364710+241056+162109+115810+90639+66180+59650+44695+33272+25508+18324+32600+11489+6695+7353+1723+3013+920+3530+1123+138+968+454+919+396+210+249+551+1381+976+1328+506+127+240</f>
        <v>1413881</v>
      </c>
      <c r="N419" s="255">
        <f>L420/M420</f>
        <v>7.99883817944786</v>
      </c>
      <c r="O419" s="340"/>
    </row>
    <row r="420" spans="1:15" ht="12" customHeight="1">
      <c r="A420" s="228">
        <v>417</v>
      </c>
      <c r="B420" s="245" t="s">
        <v>341</v>
      </c>
      <c r="C420" s="246">
        <v>39995</v>
      </c>
      <c r="D420" s="247" t="s">
        <v>322</v>
      </c>
      <c r="E420" s="248">
        <v>209</v>
      </c>
      <c r="F420" s="248">
        <v>2</v>
      </c>
      <c r="G420" s="248">
        <v>57</v>
      </c>
      <c r="H420" s="263">
        <v>1417</v>
      </c>
      <c r="I420" s="258">
        <v>364</v>
      </c>
      <c r="J420" s="259">
        <f>(I420/F420)</f>
        <v>182</v>
      </c>
      <c r="K420" s="260">
        <f t="shared" si="38"/>
        <v>3.892857142857143</v>
      </c>
      <c r="L420" s="264">
        <f>11405777.5+385+1188+6614+2968+1417</f>
        <v>11418349.5</v>
      </c>
      <c r="M420" s="261">
        <f>1424397+63+297+1638+742+364</f>
        <v>1427501</v>
      </c>
      <c r="N420" s="255">
        <f>L420/M420</f>
        <v>7.99883817944786</v>
      </c>
      <c r="O420" s="262"/>
    </row>
    <row r="421" spans="1:15" ht="12" customHeight="1">
      <c r="A421" s="228">
        <v>418</v>
      </c>
      <c r="B421" s="281" t="s">
        <v>341</v>
      </c>
      <c r="C421" s="265">
        <v>39995</v>
      </c>
      <c r="D421" s="275" t="s">
        <v>322</v>
      </c>
      <c r="E421" s="276">
        <v>209</v>
      </c>
      <c r="F421" s="276">
        <v>2</v>
      </c>
      <c r="G421" s="276">
        <v>27</v>
      </c>
      <c r="H421" s="249">
        <v>1385</v>
      </c>
      <c r="I421" s="250">
        <v>249</v>
      </c>
      <c r="J421" s="251">
        <f>(I421/F421)</f>
        <v>124.5</v>
      </c>
      <c r="K421" s="260">
        <f t="shared" si="38"/>
        <v>5.562248995983936</v>
      </c>
      <c r="L421" s="253">
        <f>872160.5+3062686.25+2016658.5+1330226.25+943221.5+742732+516667.5+450351.5+331944.75+238834+191406+133484.5+252388.75+88483.5+54821.5+50455.5+10393.5+13219.5+4551+15537+5404+869+4082+1834+3805+1635+750+1385</f>
        <v>11339987.5</v>
      </c>
      <c r="M421" s="254">
        <f>115039+364710+241056+162109+115810+90639+66180+59650+44695+33272+25508+18324+32600+11489+6695+7353+1723+3013+920+3530+1123+138+968+454+919+396+210+249</f>
        <v>1408772</v>
      </c>
      <c r="N421" s="272">
        <f>+L422/M422</f>
        <v>8.006523568580466</v>
      </c>
      <c r="O421" s="273"/>
    </row>
    <row r="422" spans="1:15" ht="12" customHeight="1">
      <c r="A422" s="228">
        <v>419</v>
      </c>
      <c r="B422" s="245" t="s">
        <v>341</v>
      </c>
      <c r="C422" s="265">
        <v>39995</v>
      </c>
      <c r="D422" s="247" t="s">
        <v>322</v>
      </c>
      <c r="E422" s="276">
        <v>209</v>
      </c>
      <c r="F422" s="276">
        <v>1</v>
      </c>
      <c r="G422" s="276">
        <v>54</v>
      </c>
      <c r="H422" s="267">
        <v>1188</v>
      </c>
      <c r="I422" s="268">
        <v>297</v>
      </c>
      <c r="J422" s="269">
        <f>(I422/F422)</f>
        <v>297</v>
      </c>
      <c r="K422" s="270">
        <f t="shared" si="38"/>
        <v>4</v>
      </c>
      <c r="L422" s="271">
        <f>11405777.5+385+1188</f>
        <v>11407350.5</v>
      </c>
      <c r="M422" s="269">
        <f>1424397+63+297</f>
        <v>1424757</v>
      </c>
      <c r="N422" s="272">
        <f>L422/M422</f>
        <v>8.006523568580466</v>
      </c>
      <c r="O422" s="244"/>
    </row>
    <row r="423" spans="1:15" ht="12" customHeight="1">
      <c r="A423" s="228">
        <v>420</v>
      </c>
      <c r="B423" s="245" t="s">
        <v>341</v>
      </c>
      <c r="C423" s="265">
        <v>39995</v>
      </c>
      <c r="D423" s="275" t="s">
        <v>322</v>
      </c>
      <c r="E423" s="276">
        <v>209</v>
      </c>
      <c r="F423" s="276">
        <v>2</v>
      </c>
      <c r="G423" s="276">
        <v>46</v>
      </c>
      <c r="H423" s="263">
        <v>974</v>
      </c>
      <c r="I423" s="258">
        <v>237</v>
      </c>
      <c r="J423" s="269">
        <f>I423/F423</f>
        <v>118.5</v>
      </c>
      <c r="K423" s="270">
        <f t="shared" si="38"/>
        <v>4.109704641350211</v>
      </c>
      <c r="L423" s="271">
        <f>872160.5+3062686.25+2016658.5+1330226.25+943221.5+742732+516667.5+450351.5+331944.75+238834+191406+133484.5+252388.75+88483.5+54821.5+50455.5+10393.5+13219.5+4551+15537+5404+869+4082+1834+3805+1635+750+1385+2821+5898+4584.5+5853+2137+508+960+2260+10448+960+932+543+451+1939+592+592+592+1545.5+974</f>
        <v>11384577.5</v>
      </c>
      <c r="M423" s="269">
        <f>115039+364710+241056+162109+115810+90639+66180+59650+44695+33272+25508+18324+32600+11489+6695+7353+1723+3013+920+3530+1123+138+968+454+919+396+210+249+551+1381+976+1328+506+127+240+565+2612+240+233+106+87+474+148+148+148+381+237</f>
        <v>1419260</v>
      </c>
      <c r="N423" s="272">
        <f>+L423/M423</f>
        <v>8.02148831080986</v>
      </c>
      <c r="O423" s="262"/>
    </row>
    <row r="424" spans="1:15" ht="12" customHeight="1">
      <c r="A424" s="228">
        <v>421</v>
      </c>
      <c r="B424" s="324" t="s">
        <v>341</v>
      </c>
      <c r="C424" s="308">
        <v>39995</v>
      </c>
      <c r="D424" s="275" t="s">
        <v>322</v>
      </c>
      <c r="E424" s="287">
        <v>209</v>
      </c>
      <c r="F424" s="287">
        <v>1</v>
      </c>
      <c r="G424" s="287">
        <v>37</v>
      </c>
      <c r="H424" s="288">
        <v>960</v>
      </c>
      <c r="I424" s="289">
        <v>240</v>
      </c>
      <c r="J424" s="283">
        <f>I424/F424</f>
        <v>240</v>
      </c>
      <c r="K424" s="285">
        <f t="shared" si="38"/>
        <v>4</v>
      </c>
      <c r="L424" s="284">
        <f>872160.5+3062686.25+2016658.5+1330226.25+943221.5+742732+516667.5+450351.5+331944.75+238834+191406+133484.5+252388.75+88483.5+54821.5+50455.5+10393.5+13219.5+4551+15537+5404+869+4082+1834+3805+1635+750+1385+2821+5898+4584.5+5853+2137+508+960+2260+10448+960</f>
        <v>11376417</v>
      </c>
      <c r="M424" s="283">
        <f>115039+364710+241056+162109+115810+90639+66180+59650+44695+33272+25508+18324+32600+11489+6695+7353+1723+3013+920+3530+1123+138+968+454+919+396+210+249+551+1381+976+1328+506+127+240+565+2612+240</f>
        <v>1417298</v>
      </c>
      <c r="N424" s="255">
        <f>L425/M425</f>
        <v>8.026172972584021</v>
      </c>
      <c r="O424" s="262"/>
    </row>
    <row r="425" spans="1:15" ht="12" customHeight="1">
      <c r="A425" s="228">
        <v>422</v>
      </c>
      <c r="B425" s="245" t="s">
        <v>341</v>
      </c>
      <c r="C425" s="246">
        <v>39995</v>
      </c>
      <c r="D425" s="275" t="s">
        <v>322</v>
      </c>
      <c r="E425" s="248">
        <v>209</v>
      </c>
      <c r="F425" s="248">
        <v>1</v>
      </c>
      <c r="G425" s="248">
        <v>38</v>
      </c>
      <c r="H425" s="249">
        <v>932</v>
      </c>
      <c r="I425" s="258">
        <v>233</v>
      </c>
      <c r="J425" s="259">
        <f>(I425/F425)</f>
        <v>233</v>
      </c>
      <c r="K425" s="260">
        <f t="shared" si="38"/>
        <v>4</v>
      </c>
      <c r="L425" s="253">
        <f>872160.5+3062686.25+2016658.5+1330226.25+943221.5+742732+516667.5+450351.5+331944.75+238834+191406+133484.5+252388.75+88483.5+54821.5+50455.5+10393.5+13219.5+4551+15537+5404+869+4082+1834+3805+1635+750+1385+2821+5898+4584.5+5853+2137+508+960+2260+10448+960+932</f>
        <v>11377349</v>
      </c>
      <c r="M425" s="261">
        <f>115039+364710+241056+162109+115810+90639+66180+59650+44695+33272+25508+18324+32600+11489+6695+7353+1723+3013+920+3530+1123+138+968+454+919+396+210+249+551+1381+976+1328+506+127+240+565+2612+240+233</f>
        <v>1417531</v>
      </c>
      <c r="N425" s="255">
        <f>IF(L426&lt;&gt;0,L426/M426,"")</f>
        <v>8.024046318740279</v>
      </c>
      <c r="O425" s="244"/>
    </row>
    <row r="426" spans="1:15" ht="12" customHeight="1">
      <c r="A426" s="228">
        <v>423</v>
      </c>
      <c r="B426" s="245" t="s">
        <v>341</v>
      </c>
      <c r="C426" s="265">
        <v>39995</v>
      </c>
      <c r="D426" s="275" t="s">
        <v>322</v>
      </c>
      <c r="E426" s="287">
        <v>209</v>
      </c>
      <c r="F426" s="287">
        <v>1</v>
      </c>
      <c r="G426" s="287">
        <v>42</v>
      </c>
      <c r="H426" s="288">
        <v>592</v>
      </c>
      <c r="I426" s="289">
        <v>148</v>
      </c>
      <c r="J426" s="283">
        <f>I426/F426</f>
        <v>148</v>
      </c>
      <c r="K426" s="285">
        <f>+H426/I426</f>
        <v>4</v>
      </c>
      <c r="L426" s="284">
        <f>872160.5+3062686.25+2016658.5+1330226.25+943221.5+742732+516667.5+450351.5+331944.75+238834+191406+133484.5+252388.75+88483.5+54821.5+50455.5+10393.5+13219.5+4551+15537+5404+869+4082+1834+3805+1635+750+1385+2821+5898+4584.5+5853+2137+508+960+2260+10448+960+932+543+451+1939+592</f>
        <v>11380874</v>
      </c>
      <c r="M426" s="283">
        <f>115039+364710+241056+162109+115810+90639+66180+59650+44695+33272+25508+18324+32600+11489+6695+7353+1723+3013+920+3530+1123+138+968+454+919+396+210+249+551+1381+976+1328+506+127+240+565+2612+240+233+106+87+474+148</f>
        <v>1418346</v>
      </c>
      <c r="N426" s="290">
        <f>+L426/M426</f>
        <v>8.024046318740279</v>
      </c>
      <c r="O426" s="262"/>
    </row>
    <row r="427" spans="1:15" ht="12" customHeight="1">
      <c r="A427" s="228">
        <v>424</v>
      </c>
      <c r="B427" s="245" t="s">
        <v>341</v>
      </c>
      <c r="C427" s="265">
        <v>39995</v>
      </c>
      <c r="D427" s="275" t="s">
        <v>322</v>
      </c>
      <c r="E427" s="287">
        <v>209</v>
      </c>
      <c r="F427" s="287">
        <v>1</v>
      </c>
      <c r="G427" s="287">
        <v>43</v>
      </c>
      <c r="H427" s="288">
        <v>592</v>
      </c>
      <c r="I427" s="289">
        <v>148</v>
      </c>
      <c r="J427" s="283">
        <f>(I427/F427)</f>
        <v>148</v>
      </c>
      <c r="K427" s="285">
        <f aca="true" t="shared" si="39" ref="K427:K432">H427/I427</f>
        <v>4</v>
      </c>
      <c r="L427" s="284">
        <f>872160.5+3062686.25+2016658.5+1330226.25+943221.5+742732+516667.5+450351.5+331944.75+238834+191406+133484.5+252388.75+88483.5+54821.5+50455.5+10393.5+13219.5+4551+15537+5404+869+4082+1834+3805+1635+750+1385+2821+5898+4584.5+5853+2137+508+960+2260+10448+960+932+543+451+1939+592+592</f>
        <v>11381466</v>
      </c>
      <c r="M427" s="283">
        <f>115039+364710+241056+162109+115810+90639+66180+59650+44695+33272+25508+18324+32600+11489+6695+7353+1723+3013+920+3530+1123+138+968+454+919+396+210+249+551+1381+976+1328+506+127+240+565+2612+240+233+106+87+474+148+148</f>
        <v>1418494</v>
      </c>
      <c r="N427" s="290">
        <f>L427/M427</f>
        <v>8.023626465815154</v>
      </c>
      <c r="O427" s="244"/>
    </row>
    <row r="428" spans="1:15" ht="12" customHeight="1">
      <c r="A428" s="228">
        <v>425</v>
      </c>
      <c r="B428" s="245" t="s">
        <v>341</v>
      </c>
      <c r="C428" s="265">
        <v>39995</v>
      </c>
      <c r="D428" s="275" t="s">
        <v>322</v>
      </c>
      <c r="E428" s="287">
        <v>209</v>
      </c>
      <c r="F428" s="287">
        <v>1</v>
      </c>
      <c r="G428" s="287">
        <v>44</v>
      </c>
      <c r="H428" s="288">
        <v>592</v>
      </c>
      <c r="I428" s="326">
        <v>148</v>
      </c>
      <c r="J428" s="269">
        <f>(I428/F428)</f>
        <v>148</v>
      </c>
      <c r="K428" s="270">
        <f t="shared" si="39"/>
        <v>4</v>
      </c>
      <c r="L428" s="271">
        <f>872160.5+3062686.25+2016658.5+1330226.25+943221.5+742732+516667.5+450351.5+331944.75+238834+191406+133484.5+252388.75+88483.5+54821.5+50455.5+10393.5+13219.5+4551+15537+5404+869+4082+1834+3805+1635+750+1385+2821+5898+4584.5+5853+2137+508+960+2260+10448+960+932+543+451+1939+592+592+592</f>
        <v>11382058</v>
      </c>
      <c r="M428" s="269">
        <f>115039+364710+241056+162109+115810+90639+66180+59650+44695+33272+25508+18324+32600+11489+6695+7353+1723+3013+920+3530+1123+138+968+454+919+396+210+249+551+1381+976+1328+506+127+240+565+2612+240+233+106+87+474+148+148+148</f>
        <v>1418642</v>
      </c>
      <c r="N428" s="272">
        <f>L428/M428</f>
        <v>8.023206700492443</v>
      </c>
      <c r="O428" s="376"/>
    </row>
    <row r="429" spans="1:15" ht="12" customHeight="1">
      <c r="A429" s="228">
        <v>426</v>
      </c>
      <c r="B429" s="245" t="s">
        <v>341</v>
      </c>
      <c r="C429" s="246">
        <v>39995</v>
      </c>
      <c r="D429" s="275" t="s">
        <v>322</v>
      </c>
      <c r="E429" s="248">
        <v>209</v>
      </c>
      <c r="F429" s="248">
        <v>1</v>
      </c>
      <c r="G429" s="248">
        <v>39</v>
      </c>
      <c r="H429" s="249">
        <v>543</v>
      </c>
      <c r="I429" s="250">
        <v>106</v>
      </c>
      <c r="J429" s="251">
        <f>(I429/F429)</f>
        <v>106</v>
      </c>
      <c r="K429" s="252">
        <f t="shared" si="39"/>
        <v>5.122641509433962</v>
      </c>
      <c r="L429" s="253">
        <f>872160.5+3062686.25+2016658.5+1330226.25+943221.5+742732+516667.5+450351.5+331944.75+238834+191406+133484.5+252388.75+88483.5+54821.5+50455.5+10393.5+13219.5+4551+15537+5404+869+4082+1834+3805+1635+750+1385+2821+5898+4584.5+5853+2137+508+960+2260+10448+960+932+543</f>
        <v>11377892</v>
      </c>
      <c r="M429" s="254">
        <f>115039+364710+241056+162109+115810+90639+66180+59650+44695+33272+25508+18324+32600+11489+6695+7353+1723+3013+920+3530+1123+138+968+454+919+396+210+249+551+1381+976+1328+506+127+240+565+2612+240+233+106</f>
        <v>1417637</v>
      </c>
      <c r="N429" s="272">
        <f>L430/M430</f>
        <v>8.037252032163753</v>
      </c>
      <c r="O429" s="262"/>
    </row>
    <row r="430" spans="1:15" ht="12" customHeight="1">
      <c r="A430" s="228">
        <v>427</v>
      </c>
      <c r="B430" s="281" t="s">
        <v>341</v>
      </c>
      <c r="C430" s="265">
        <v>39995</v>
      </c>
      <c r="D430" s="275" t="s">
        <v>322</v>
      </c>
      <c r="E430" s="276">
        <v>209</v>
      </c>
      <c r="F430" s="276">
        <v>1</v>
      </c>
      <c r="G430" s="276">
        <v>33</v>
      </c>
      <c r="H430" s="280">
        <v>508</v>
      </c>
      <c r="I430" s="282">
        <v>127</v>
      </c>
      <c r="J430" s="283">
        <f>I430/F430</f>
        <v>127</v>
      </c>
      <c r="K430" s="285">
        <f t="shared" si="39"/>
        <v>4</v>
      </c>
      <c r="L430" s="284">
        <f>872160.5+3062686.25+2016658.5+1330226.25+943221.5+742732+516667.5+450351.5+331944.75+238834+191406+133484.5+252388.75+88483.5+54821.5+50455.5+10393.5+13219.5+4551+15537+5404+869+4082+1834+3805+1635+750+1385+2821+5898+4584.5+5853+2137+508</f>
        <v>11361789</v>
      </c>
      <c r="M430" s="283">
        <f>115039+364710+241056+162109+115810+90639+66180+59650+44695+33272+25508+18324+32600+11489+6695+7353+1723+3013+920+3530+1123+138+968+454+919+396+210+249+551+1381+976+1328+506+127</f>
        <v>1413641</v>
      </c>
      <c r="N430" s="272">
        <f>+L431/M431</f>
        <v>8.02578146381101</v>
      </c>
      <c r="O430" s="376"/>
    </row>
    <row r="431" spans="1:15" ht="12" customHeight="1">
      <c r="A431" s="228">
        <v>428</v>
      </c>
      <c r="B431" s="324" t="s">
        <v>341</v>
      </c>
      <c r="C431" s="265">
        <v>39995</v>
      </c>
      <c r="D431" s="275" t="s">
        <v>322</v>
      </c>
      <c r="E431" s="287">
        <v>209</v>
      </c>
      <c r="F431" s="287">
        <v>1</v>
      </c>
      <c r="G431" s="287">
        <v>40</v>
      </c>
      <c r="H431" s="288">
        <v>451</v>
      </c>
      <c r="I431" s="289">
        <v>87</v>
      </c>
      <c r="J431" s="283">
        <f>(I431/F431)</f>
        <v>87</v>
      </c>
      <c r="K431" s="285">
        <f t="shared" si="39"/>
        <v>5.183908045977011</v>
      </c>
      <c r="L431" s="284">
        <f>872160.5+3062686.25+2016658.5+1330226.25+943221.5+742732+516667.5+450351.5+331944.75+238834+191406+133484.5+252388.75+88483.5+54821.5+50455.5+10393.5+13219.5+4551+15537+5404+869+4082+1834+3805+1635+750+1385+2821+5898+4584.5+5853+2137+508+960+2260+10448+960+932+543+451</f>
        <v>11378343</v>
      </c>
      <c r="M431" s="283">
        <f>115039+364710+241056+162109+115810+90639+66180+59650+44695+33272+25508+18324+32600+11489+6695+7353+1723+3013+920+3530+1123+138+968+454+919+396+210+249+551+1381+976+1328+506+127+240+565+2612+240+233+106+87</f>
        <v>1417724</v>
      </c>
      <c r="N431" s="290">
        <f>L431/M431</f>
        <v>8.02578146381101</v>
      </c>
      <c r="O431" s="262"/>
    </row>
    <row r="432" spans="1:15" ht="12" customHeight="1">
      <c r="A432" s="228">
        <v>429</v>
      </c>
      <c r="B432" s="245" t="s">
        <v>341</v>
      </c>
      <c r="C432" s="265">
        <v>39995</v>
      </c>
      <c r="D432" s="247" t="s">
        <v>322</v>
      </c>
      <c r="E432" s="276">
        <v>209</v>
      </c>
      <c r="F432" s="276">
        <v>1</v>
      </c>
      <c r="G432" s="276">
        <v>53</v>
      </c>
      <c r="H432" s="267">
        <v>385</v>
      </c>
      <c r="I432" s="268">
        <v>63</v>
      </c>
      <c r="J432" s="269">
        <f>(I432/F432)</f>
        <v>63</v>
      </c>
      <c r="K432" s="270">
        <f t="shared" si="39"/>
        <v>6.111111111111111</v>
      </c>
      <c r="L432" s="271">
        <f>11405777.5+385</f>
        <v>11406162.5</v>
      </c>
      <c r="M432" s="269">
        <f>1424397+63</f>
        <v>1424460</v>
      </c>
      <c r="N432" s="272">
        <f>L432/M432</f>
        <v>8.007358928997656</v>
      </c>
      <c r="O432" s="274"/>
    </row>
    <row r="433" spans="1:15" ht="12" customHeight="1">
      <c r="A433" s="228">
        <v>430</v>
      </c>
      <c r="B433" s="281" t="s">
        <v>341</v>
      </c>
      <c r="C433" s="265">
        <v>39995</v>
      </c>
      <c r="D433" s="275" t="s">
        <v>322</v>
      </c>
      <c r="E433" s="276">
        <v>209</v>
      </c>
      <c r="F433" s="276">
        <v>1</v>
      </c>
      <c r="G433" s="276">
        <v>58</v>
      </c>
      <c r="H433" s="267">
        <v>277</v>
      </c>
      <c r="I433" s="268">
        <v>66</v>
      </c>
      <c r="J433" s="269">
        <f>(I433/F433)</f>
        <v>66</v>
      </c>
      <c r="K433" s="270">
        <f>(J433/G433)</f>
        <v>1.1379310344827587</v>
      </c>
      <c r="L433" s="271">
        <v>11418626.5</v>
      </c>
      <c r="M433" s="269">
        <v>1427567</v>
      </c>
      <c r="N433" s="272"/>
      <c r="O433" s="256"/>
    </row>
    <row r="434" spans="1:15" ht="12" customHeight="1">
      <c r="A434" s="228">
        <v>431</v>
      </c>
      <c r="B434" s="245" t="s">
        <v>73</v>
      </c>
      <c r="C434" s="265">
        <v>39871</v>
      </c>
      <c r="D434" s="275" t="s">
        <v>322</v>
      </c>
      <c r="E434" s="287">
        <v>6</v>
      </c>
      <c r="F434" s="287">
        <v>1</v>
      </c>
      <c r="G434" s="287">
        <v>13</v>
      </c>
      <c r="H434" s="288">
        <v>396.58</v>
      </c>
      <c r="I434" s="289">
        <v>88</v>
      </c>
      <c r="J434" s="283">
        <f>I434/F434</f>
        <v>88</v>
      </c>
      <c r="K434" s="285">
        <f>+H434/I434</f>
        <v>4.506590909090909</v>
      </c>
      <c r="L434" s="284">
        <f>10784+5573+660+1421+910+383+1328+245+1176.5+396+237+184+396.58</f>
        <v>23694.08</v>
      </c>
      <c r="M434" s="283">
        <f>1170+612+72+185+145+72+129+49+165+72+54+44+88</f>
        <v>2857</v>
      </c>
      <c r="N434" s="290">
        <f>+L434/M434</f>
        <v>8.293342667133357</v>
      </c>
      <c r="O434" s="341"/>
    </row>
    <row r="435" spans="1:15" ht="12" customHeight="1">
      <c r="A435" s="228">
        <v>432</v>
      </c>
      <c r="B435" s="245" t="s">
        <v>73</v>
      </c>
      <c r="C435" s="265">
        <v>39871</v>
      </c>
      <c r="D435" s="275" t="s">
        <v>322</v>
      </c>
      <c r="E435" s="287">
        <v>6</v>
      </c>
      <c r="F435" s="287">
        <v>1</v>
      </c>
      <c r="G435" s="287">
        <v>14</v>
      </c>
      <c r="H435" s="288">
        <v>72</v>
      </c>
      <c r="I435" s="289">
        <v>15</v>
      </c>
      <c r="J435" s="283">
        <f aca="true" t="shared" si="40" ref="J435:J440">(I435/F435)</f>
        <v>15</v>
      </c>
      <c r="K435" s="285">
        <f aca="true" t="shared" si="41" ref="K435:K440">H435/I435</f>
        <v>4.8</v>
      </c>
      <c r="L435" s="284">
        <f>10784+5573+660+1421+910+383+1328+245+1176.5+396+237+184+396.58+72</f>
        <v>23766.08</v>
      </c>
      <c r="M435" s="283">
        <f>1170+612+72+185+145+72+129+49+165+72+54+44+88+15</f>
        <v>2872</v>
      </c>
      <c r="N435" s="290">
        <f>L435/M435</f>
        <v>8.275097493036212</v>
      </c>
      <c r="O435" s="262"/>
    </row>
    <row r="436" spans="1:15" ht="12" customHeight="1">
      <c r="A436" s="228">
        <v>433</v>
      </c>
      <c r="B436" s="245" t="s">
        <v>73</v>
      </c>
      <c r="C436" s="265">
        <v>39871</v>
      </c>
      <c r="D436" s="275" t="s">
        <v>322</v>
      </c>
      <c r="E436" s="287">
        <v>6</v>
      </c>
      <c r="F436" s="287">
        <v>1</v>
      </c>
      <c r="G436" s="287">
        <v>15</v>
      </c>
      <c r="H436" s="288">
        <v>25.76</v>
      </c>
      <c r="I436" s="326">
        <v>7</v>
      </c>
      <c r="J436" s="269">
        <f t="shared" si="40"/>
        <v>7</v>
      </c>
      <c r="K436" s="270">
        <f t="shared" si="41"/>
        <v>3.68</v>
      </c>
      <c r="L436" s="271">
        <f>10784+5573+660+1421+910+383+1328+245+1176.5+396+237+184+396.58+72+25.76</f>
        <v>23791.84</v>
      </c>
      <c r="M436" s="269">
        <f>1170+612+72+185+145+72+129+49+165+72+54+44+88+15+7</f>
        <v>2879</v>
      </c>
      <c r="N436" s="272">
        <f>L436/M436</f>
        <v>8.263924973949289</v>
      </c>
      <c r="O436" s="262"/>
    </row>
    <row r="437" spans="1:15" ht="12" customHeight="1">
      <c r="A437" s="228">
        <v>434</v>
      </c>
      <c r="B437" s="245" t="s">
        <v>294</v>
      </c>
      <c r="C437" s="246">
        <v>40109</v>
      </c>
      <c r="D437" s="247" t="s">
        <v>322</v>
      </c>
      <c r="E437" s="248">
        <v>25</v>
      </c>
      <c r="F437" s="248">
        <v>1</v>
      </c>
      <c r="G437" s="248">
        <v>23</v>
      </c>
      <c r="H437" s="263">
        <v>1780</v>
      </c>
      <c r="I437" s="258">
        <v>445</v>
      </c>
      <c r="J437" s="259">
        <f t="shared" si="40"/>
        <v>445</v>
      </c>
      <c r="K437" s="260">
        <f t="shared" si="41"/>
        <v>4</v>
      </c>
      <c r="L437" s="264">
        <f>198009+121514.5+95148.5+66495+23091+12092+17648.5+7279+6352.5+7838.5+3895+13931+9479.5+3364+826.5+1019+54+36+440+715.04+552.7+2964+1780</f>
        <v>594525.24</v>
      </c>
      <c r="M437" s="261">
        <f>27092+16078+14204+10980+3903+1664+3329+1236+1212+1399+730+2457+1696+753+144+178+18+12+96+166+108+741+445</f>
        <v>88641</v>
      </c>
      <c r="N437" s="255">
        <f>L437/M437</f>
        <v>6.707113412529191</v>
      </c>
      <c r="O437" s="244"/>
    </row>
    <row r="438" spans="1:15" ht="12" customHeight="1">
      <c r="A438" s="228">
        <v>435</v>
      </c>
      <c r="B438" s="245" t="s">
        <v>74</v>
      </c>
      <c r="C438" s="265">
        <v>40109</v>
      </c>
      <c r="D438" s="247" t="s">
        <v>322</v>
      </c>
      <c r="E438" s="276">
        <v>25</v>
      </c>
      <c r="F438" s="276">
        <v>1</v>
      </c>
      <c r="G438" s="276">
        <v>24</v>
      </c>
      <c r="H438" s="267">
        <v>2972</v>
      </c>
      <c r="I438" s="268">
        <v>743</v>
      </c>
      <c r="J438" s="269">
        <f t="shared" si="40"/>
        <v>743</v>
      </c>
      <c r="K438" s="270">
        <f t="shared" si="41"/>
        <v>4</v>
      </c>
      <c r="L438" s="271">
        <f>198009+121514.5+95148.5+66495+23091+12092+17648.5+7279+6352.5+7838.5+3895+13931+9479.5+3364+826.5+1019+54+36+440+715.04+552.7+2964+1780+2972</f>
        <v>597497.24</v>
      </c>
      <c r="M438" s="269">
        <f>27092+16078+14204+10980+3903+1664+3329+1236+1212+1399+730+2457+1696+753+144+178+18+12+96+166+108+741+445+743</f>
        <v>89384</v>
      </c>
      <c r="N438" s="272">
        <f>L438/M438</f>
        <v>6.684610668576031</v>
      </c>
      <c r="O438" s="376"/>
    </row>
    <row r="439" spans="1:15" ht="12" customHeight="1">
      <c r="A439" s="228">
        <v>436</v>
      </c>
      <c r="B439" s="281" t="s">
        <v>75</v>
      </c>
      <c r="C439" s="265">
        <v>40109</v>
      </c>
      <c r="D439" s="275" t="s">
        <v>322</v>
      </c>
      <c r="E439" s="276">
        <v>25</v>
      </c>
      <c r="F439" s="276">
        <v>8</v>
      </c>
      <c r="G439" s="276">
        <v>12</v>
      </c>
      <c r="H439" s="249">
        <v>13931</v>
      </c>
      <c r="I439" s="250">
        <v>2457</v>
      </c>
      <c r="J439" s="251">
        <f t="shared" si="40"/>
        <v>307.125</v>
      </c>
      <c r="K439" s="252">
        <f t="shared" si="41"/>
        <v>5.66992266992267</v>
      </c>
      <c r="L439" s="253">
        <f>198009+121514.5+95148.5+66495+23091+12092+17648.5+7279+6352.5+7838.5+3895+13931</f>
        <v>573294.5</v>
      </c>
      <c r="M439" s="254">
        <f>27092+16078+14204+10980+3903+1664+3329+1236+1212+1399+730+2457</f>
        <v>84284</v>
      </c>
      <c r="N439" s="255">
        <f>L440/M440</f>
        <v>6.778036241829305</v>
      </c>
      <c r="O439" s="262"/>
    </row>
    <row r="440" spans="1:15" ht="12" customHeight="1">
      <c r="A440" s="228">
        <v>437</v>
      </c>
      <c r="B440" s="304" t="s">
        <v>75</v>
      </c>
      <c r="C440" s="305">
        <v>40109</v>
      </c>
      <c r="D440" s="275" t="s">
        <v>322</v>
      </c>
      <c r="E440" s="306">
        <v>25</v>
      </c>
      <c r="F440" s="306">
        <v>7</v>
      </c>
      <c r="G440" s="306">
        <v>13</v>
      </c>
      <c r="H440" s="249">
        <v>9467.5</v>
      </c>
      <c r="I440" s="258">
        <v>1694</v>
      </c>
      <c r="J440" s="259">
        <f t="shared" si="40"/>
        <v>242</v>
      </c>
      <c r="K440" s="260">
        <f t="shared" si="41"/>
        <v>5.588842975206612</v>
      </c>
      <c r="L440" s="253">
        <f>198009+121514.5+95148.5+66495+23091+12092+17648.5+7279+6352.5+7838.5+3895+13931+9467.5</f>
        <v>582762</v>
      </c>
      <c r="M440" s="261">
        <f>27092+16078+14204+10980+3903+1664+3329+1236+1212+1399+730+2457+1694</f>
        <v>85978</v>
      </c>
      <c r="N440" s="255">
        <f>L441/M441</f>
        <v>6.653733964434221</v>
      </c>
      <c r="O440" s="262"/>
    </row>
    <row r="441" spans="1:15" ht="12" customHeight="1">
      <c r="A441" s="228">
        <v>438</v>
      </c>
      <c r="B441" s="281" t="s">
        <v>76</v>
      </c>
      <c r="C441" s="265">
        <v>40109</v>
      </c>
      <c r="D441" s="247" t="s">
        <v>322</v>
      </c>
      <c r="E441" s="276">
        <v>25</v>
      </c>
      <c r="F441" s="276">
        <v>1</v>
      </c>
      <c r="G441" s="276">
        <v>25</v>
      </c>
      <c r="H441" s="280">
        <v>4160</v>
      </c>
      <c r="I441" s="282">
        <v>1040</v>
      </c>
      <c r="J441" s="283">
        <v>1040</v>
      </c>
      <c r="K441" s="285">
        <v>4</v>
      </c>
      <c r="L441" s="284">
        <v>601657.24</v>
      </c>
      <c r="M441" s="283">
        <v>90424</v>
      </c>
      <c r="N441" s="272">
        <v>6.653733964434221</v>
      </c>
      <c r="O441" s="262"/>
    </row>
    <row r="442" spans="1:15" ht="12" customHeight="1">
      <c r="A442" s="228">
        <v>439</v>
      </c>
      <c r="B442" s="281" t="s">
        <v>75</v>
      </c>
      <c r="C442" s="265">
        <v>40109</v>
      </c>
      <c r="D442" s="275" t="s">
        <v>322</v>
      </c>
      <c r="E442" s="276">
        <v>25</v>
      </c>
      <c r="F442" s="276">
        <v>5</v>
      </c>
      <c r="G442" s="276">
        <v>11</v>
      </c>
      <c r="H442" s="249">
        <v>3895</v>
      </c>
      <c r="I442" s="250">
        <v>730</v>
      </c>
      <c r="J442" s="251">
        <f>(I442/F442)</f>
        <v>146</v>
      </c>
      <c r="K442" s="260">
        <f>H442/I442</f>
        <v>5.335616438356165</v>
      </c>
      <c r="L442" s="253">
        <f>198009+121514.5+95148.5+66495+23091+12092+17648.5+7279+6352.5+7838.5+3895</f>
        <v>559363.5</v>
      </c>
      <c r="M442" s="254">
        <f>27092+16078+14204+10980+3903+1664+3329+1236+1212+1399+730</f>
        <v>81827</v>
      </c>
      <c r="N442" s="255">
        <f>L443/M443</f>
        <v>6.757958331892128</v>
      </c>
      <c r="O442" s="262"/>
    </row>
    <row r="443" spans="1:15" ht="12" customHeight="1">
      <c r="A443" s="228">
        <v>440</v>
      </c>
      <c r="B443" s="281" t="s">
        <v>77</v>
      </c>
      <c r="C443" s="265">
        <v>40109</v>
      </c>
      <c r="D443" s="275" t="s">
        <v>322</v>
      </c>
      <c r="E443" s="276">
        <v>25</v>
      </c>
      <c r="F443" s="276">
        <v>3</v>
      </c>
      <c r="G443" s="276">
        <v>14</v>
      </c>
      <c r="H443" s="263">
        <v>3364</v>
      </c>
      <c r="I443" s="258">
        <v>753</v>
      </c>
      <c r="J443" s="259">
        <f>(I443/F443)</f>
        <v>251</v>
      </c>
      <c r="K443" s="260">
        <f>H443/I443</f>
        <v>4.46746347941567</v>
      </c>
      <c r="L443" s="264">
        <f>198009+121514.5+95148.5+66495+23091+12092+17648.5+7279+6352.5+7838.5+3895+13931+9479.5+3364</f>
        <v>586138</v>
      </c>
      <c r="M443" s="261">
        <f>27092+16078+14204+10980+3903+1664+3329+1236+1212+1399+730+2457+1696+753</f>
        <v>86733</v>
      </c>
      <c r="N443" s="272">
        <f>L444/M444</f>
        <v>6.754161162483488</v>
      </c>
      <c r="O443" s="273">
        <v>1</v>
      </c>
    </row>
    <row r="444" spans="1:15" ht="12" customHeight="1">
      <c r="A444" s="228">
        <v>441</v>
      </c>
      <c r="B444" s="281" t="s">
        <v>75</v>
      </c>
      <c r="C444" s="265">
        <v>40109</v>
      </c>
      <c r="D444" s="275" t="s">
        <v>322</v>
      </c>
      <c r="E444" s="276">
        <v>25</v>
      </c>
      <c r="F444" s="276">
        <v>1</v>
      </c>
      <c r="G444" s="276">
        <v>16</v>
      </c>
      <c r="H444" s="267">
        <v>1019</v>
      </c>
      <c r="I444" s="268">
        <v>178</v>
      </c>
      <c r="J444" s="269">
        <f>I444/F444</f>
        <v>178</v>
      </c>
      <c r="K444" s="270">
        <f>+H444/I444</f>
        <v>5.724719101123595</v>
      </c>
      <c r="L444" s="271">
        <f>198009+121514.5+95148.5+66495+23091+12092+17648.5+7279+6352.5+7838.5+3895+13931+9479.5+3364+826.5+1019</f>
        <v>587983.5</v>
      </c>
      <c r="M444" s="269">
        <f>27092+16078+14204+10980+3903+1664+3329+1236+1212+1399+730+2457+1696+753+144+178</f>
        <v>87055</v>
      </c>
      <c r="N444" s="255">
        <f>L445/M445</f>
        <v>6.756270359243528</v>
      </c>
      <c r="O444" s="335">
        <v>1</v>
      </c>
    </row>
    <row r="445" spans="1:15" ht="12" customHeight="1">
      <c r="A445" s="228">
        <v>442</v>
      </c>
      <c r="B445" s="281" t="s">
        <v>77</v>
      </c>
      <c r="C445" s="305">
        <v>40109</v>
      </c>
      <c r="D445" s="275" t="s">
        <v>322</v>
      </c>
      <c r="E445" s="306">
        <v>25</v>
      </c>
      <c r="F445" s="306">
        <v>1</v>
      </c>
      <c r="G445" s="306">
        <v>15</v>
      </c>
      <c r="H445" s="263">
        <v>826.5</v>
      </c>
      <c r="I445" s="258">
        <v>144</v>
      </c>
      <c r="J445" s="259">
        <f>(I445/F445)</f>
        <v>144</v>
      </c>
      <c r="K445" s="270">
        <f>+H445/I445</f>
        <v>5.739583333333333</v>
      </c>
      <c r="L445" s="264">
        <f>198009+121514.5+95148.5+66495+23091+12092+17648.5+7279+6352.5+7838.5+3895+13931+9479.5+3364+826.5</f>
        <v>586964.5</v>
      </c>
      <c r="M445" s="261">
        <f>27092+16078+14204+10980+3903+1664+3329+1236+1212+1399+730+2457+1696+753+144</f>
        <v>86877</v>
      </c>
      <c r="N445" s="255">
        <f>IF(L446&lt;&gt;0,L446/M446,"")</f>
        <v>6.7458360332925</v>
      </c>
      <c r="O445" s="244"/>
    </row>
    <row r="446" spans="1:15" ht="12" customHeight="1">
      <c r="A446" s="228">
        <v>443</v>
      </c>
      <c r="B446" s="245" t="s">
        <v>75</v>
      </c>
      <c r="C446" s="265">
        <v>40109</v>
      </c>
      <c r="D446" s="275" t="s">
        <v>322</v>
      </c>
      <c r="E446" s="287">
        <v>25</v>
      </c>
      <c r="F446" s="287">
        <v>1</v>
      </c>
      <c r="G446" s="287">
        <v>20</v>
      </c>
      <c r="H446" s="288">
        <v>715.04</v>
      </c>
      <c r="I446" s="289">
        <v>166</v>
      </c>
      <c r="J446" s="283">
        <f>(I446/F446)</f>
        <v>166</v>
      </c>
      <c r="K446" s="285">
        <f>H446/I446</f>
        <v>4.307469879518072</v>
      </c>
      <c r="L446" s="284">
        <f>198009+121514.5+95148.5+66495+23091+12092+17648.5+7279+6352.5+7838.5+3895+13931+9479.5+3364+826.5+1019+54+36+440+715.04</f>
        <v>589228.54</v>
      </c>
      <c r="M446" s="283">
        <f>27092+16078+14204+10980+3903+1664+3329+1236+1212+1399+730+2457+1696+753+144+178+18+12+96+166</f>
        <v>87347</v>
      </c>
      <c r="N446" s="290">
        <f>L446/M446</f>
        <v>6.7458360332925</v>
      </c>
      <c r="O446" s="262">
        <v>1</v>
      </c>
    </row>
    <row r="447" spans="1:15" ht="12" customHeight="1">
      <c r="A447" s="228">
        <v>444</v>
      </c>
      <c r="B447" s="245" t="s">
        <v>75</v>
      </c>
      <c r="C447" s="265">
        <v>40109</v>
      </c>
      <c r="D447" s="275" t="s">
        <v>322</v>
      </c>
      <c r="E447" s="287">
        <v>25</v>
      </c>
      <c r="F447" s="287">
        <v>2</v>
      </c>
      <c r="G447" s="287">
        <v>21</v>
      </c>
      <c r="H447" s="288">
        <v>552.7</v>
      </c>
      <c r="I447" s="326">
        <v>108</v>
      </c>
      <c r="J447" s="269">
        <f>(I447/F447)</f>
        <v>54</v>
      </c>
      <c r="K447" s="270">
        <f>H447/I447</f>
        <v>5.117592592592593</v>
      </c>
      <c r="L447" s="271">
        <f>198009+121514.5+95148.5+66495+23091+12092+17648.5+7279+6352.5+7838.5+3895+13931+9479.5+3364+826.5+1019+54+36+440+715.04+552.7</f>
        <v>589781.24</v>
      </c>
      <c r="M447" s="269">
        <f>27092+16078+14204+10980+3903+1664+3329+1236+1212+1399+730+2457+1696+753+144+178+18+12+96+166+108</f>
        <v>87455</v>
      </c>
      <c r="N447" s="272">
        <f>L447/M447</f>
        <v>6.743825281573381</v>
      </c>
      <c r="O447" s="262">
        <v>1</v>
      </c>
    </row>
    <row r="448" spans="1:15" ht="12" customHeight="1">
      <c r="A448" s="228">
        <v>445</v>
      </c>
      <c r="B448" s="245" t="s">
        <v>75</v>
      </c>
      <c r="C448" s="265">
        <v>40109</v>
      </c>
      <c r="D448" s="275" t="s">
        <v>322</v>
      </c>
      <c r="E448" s="287">
        <v>25</v>
      </c>
      <c r="F448" s="287">
        <v>1</v>
      </c>
      <c r="G448" s="287">
        <v>19</v>
      </c>
      <c r="H448" s="288">
        <v>440</v>
      </c>
      <c r="I448" s="289">
        <v>96</v>
      </c>
      <c r="J448" s="283">
        <f>I448/F448</f>
        <v>96</v>
      </c>
      <c r="K448" s="285">
        <f>+H448/I448</f>
        <v>4.583333333333333</v>
      </c>
      <c r="L448" s="284">
        <f>198009+121514.5+95148.5+66495+23091+12092+17648.5+7279+6352.5+7838.5+3895+13931+9479.5+3364+826.5+1019+54+36+440</f>
        <v>588513.5</v>
      </c>
      <c r="M448" s="283">
        <f>27092+16078+14204+10980+3903+1664+3329+1236+1212+1399+730+2457+1696+753+144+178+18+12+96</f>
        <v>87181</v>
      </c>
      <c r="N448" s="290">
        <f>+L448/M448</f>
        <v>6.750478888748695</v>
      </c>
      <c r="O448" s="274">
        <v>1</v>
      </c>
    </row>
    <row r="449" spans="1:15" ht="12" customHeight="1">
      <c r="A449" s="228">
        <v>446</v>
      </c>
      <c r="B449" s="245" t="s">
        <v>75</v>
      </c>
      <c r="C449" s="246">
        <v>40109</v>
      </c>
      <c r="D449" s="275" t="s">
        <v>322</v>
      </c>
      <c r="E449" s="248">
        <v>25</v>
      </c>
      <c r="F449" s="248">
        <v>1</v>
      </c>
      <c r="G449" s="248">
        <v>17</v>
      </c>
      <c r="H449" s="249">
        <v>54</v>
      </c>
      <c r="I449" s="250">
        <v>18</v>
      </c>
      <c r="J449" s="251">
        <f>(I449/F449)</f>
        <v>18</v>
      </c>
      <c r="K449" s="252">
        <f>H449/I449</f>
        <v>3</v>
      </c>
      <c r="L449" s="253">
        <f>198009+121514.5+95148.5+66495+23091+12092+17648.5+7279+6352.5+7838.5+3895+13931+9479.5+3364+826.5+1019+54</f>
        <v>588037.5</v>
      </c>
      <c r="M449" s="254">
        <f>27092+16078+14204+10980+3903+1664+3329+1236+1212+1399+730+2457+1696+753+144+178+18</f>
        <v>87073</v>
      </c>
      <c r="N449" s="272">
        <f>+L450/M450</f>
        <v>6.752867887695929</v>
      </c>
      <c r="O449" s="338"/>
    </row>
    <row r="450" spans="1:15" ht="12" customHeight="1">
      <c r="A450" s="228">
        <v>447</v>
      </c>
      <c r="B450" s="324" t="s">
        <v>75</v>
      </c>
      <c r="C450" s="265">
        <v>40109</v>
      </c>
      <c r="D450" s="275" t="s">
        <v>322</v>
      </c>
      <c r="E450" s="287">
        <v>25</v>
      </c>
      <c r="F450" s="287">
        <v>1</v>
      </c>
      <c r="G450" s="287">
        <v>18</v>
      </c>
      <c r="H450" s="288">
        <v>36</v>
      </c>
      <c r="I450" s="289">
        <v>12</v>
      </c>
      <c r="J450" s="283">
        <f>(I450/F450)</f>
        <v>12</v>
      </c>
      <c r="K450" s="285">
        <f>H450/I450</f>
        <v>3</v>
      </c>
      <c r="L450" s="284">
        <f>198009+121514.5+95148.5+66495+23091+12092+17648.5+7279+6352.5+7838.5+3895+13931+9479.5+3364+826.5+1019+54+36</f>
        <v>588073.5</v>
      </c>
      <c r="M450" s="283">
        <f>27092+16078+14204+10980+3903+1664+3329+1236+1212+1399+730+2457+1696+753+144+178+18+12</f>
        <v>87085</v>
      </c>
      <c r="N450" s="290">
        <f>L450/M450</f>
        <v>6.752867887695929</v>
      </c>
      <c r="O450" s="338"/>
    </row>
    <row r="451" spans="1:15" ht="12" customHeight="1">
      <c r="A451" s="228">
        <v>448</v>
      </c>
      <c r="B451" s="245" t="s">
        <v>421</v>
      </c>
      <c r="C451" s="265">
        <v>39738</v>
      </c>
      <c r="D451" s="275" t="s">
        <v>322</v>
      </c>
      <c r="E451" s="276">
        <v>67</v>
      </c>
      <c r="F451" s="276">
        <v>1</v>
      </c>
      <c r="G451" s="276">
        <v>36</v>
      </c>
      <c r="H451" s="263">
        <v>2968</v>
      </c>
      <c r="I451" s="258">
        <v>742</v>
      </c>
      <c r="J451" s="269">
        <v>178</v>
      </c>
      <c r="K451" s="270">
        <v>4</v>
      </c>
      <c r="L451" s="271">
        <f>575413.5+2968</f>
        <v>578381.5</v>
      </c>
      <c r="M451" s="269">
        <f>83313+742</f>
        <v>84055</v>
      </c>
      <c r="N451" s="272">
        <v>6.906647221922149</v>
      </c>
      <c r="O451" s="274"/>
    </row>
    <row r="452" spans="1:15" ht="12" customHeight="1">
      <c r="A452" s="228">
        <v>449</v>
      </c>
      <c r="B452" s="245" t="s">
        <v>421</v>
      </c>
      <c r="C452" s="265">
        <v>39738</v>
      </c>
      <c r="D452" s="247" t="s">
        <v>322</v>
      </c>
      <c r="E452" s="276">
        <v>67</v>
      </c>
      <c r="F452" s="276">
        <v>2</v>
      </c>
      <c r="G452" s="276">
        <v>38</v>
      </c>
      <c r="H452" s="267">
        <v>2737</v>
      </c>
      <c r="I452" s="268">
        <v>635</v>
      </c>
      <c r="J452" s="269">
        <v>178</v>
      </c>
      <c r="K452" s="270">
        <v>4</v>
      </c>
      <c r="L452" s="271">
        <f>575413.5+2968+2376+2737</f>
        <v>583494.5</v>
      </c>
      <c r="M452" s="269">
        <f>83313+742+594+635</f>
        <v>85284</v>
      </c>
      <c r="N452" s="272">
        <v>6.906647221922149</v>
      </c>
      <c r="O452" s="273"/>
    </row>
    <row r="453" spans="1:15" ht="12" customHeight="1">
      <c r="A453" s="228">
        <v>450</v>
      </c>
      <c r="B453" s="245" t="s">
        <v>421</v>
      </c>
      <c r="C453" s="246">
        <v>39738</v>
      </c>
      <c r="D453" s="247" t="s">
        <v>322</v>
      </c>
      <c r="E453" s="248">
        <v>67</v>
      </c>
      <c r="F453" s="248">
        <v>1</v>
      </c>
      <c r="G453" s="248">
        <v>40</v>
      </c>
      <c r="H453" s="263">
        <v>2376</v>
      </c>
      <c r="I453" s="258">
        <v>594</v>
      </c>
      <c r="J453" s="259">
        <f>(I453/F453)</f>
        <v>594</v>
      </c>
      <c r="K453" s="260">
        <f>H453/I453</f>
        <v>4</v>
      </c>
      <c r="L453" s="264">
        <f>575413.5+2968+2376+2737+2376+2376</f>
        <v>588246.5</v>
      </c>
      <c r="M453" s="261">
        <f>83313+742+594+635+594+594</f>
        <v>86472</v>
      </c>
      <c r="N453" s="255">
        <v>6.906647221922149</v>
      </c>
      <c r="O453" s="274"/>
    </row>
    <row r="454" spans="1:15" ht="12" customHeight="1">
      <c r="A454" s="228">
        <v>451</v>
      </c>
      <c r="B454" s="245" t="s">
        <v>421</v>
      </c>
      <c r="C454" s="265">
        <v>39738</v>
      </c>
      <c r="D454" s="247" t="s">
        <v>322</v>
      </c>
      <c r="E454" s="276">
        <v>67</v>
      </c>
      <c r="F454" s="276">
        <v>1</v>
      </c>
      <c r="G454" s="276">
        <v>39</v>
      </c>
      <c r="H454" s="267">
        <v>2376</v>
      </c>
      <c r="I454" s="268">
        <v>594</v>
      </c>
      <c r="J454" s="269">
        <v>178</v>
      </c>
      <c r="K454" s="270">
        <v>4</v>
      </c>
      <c r="L454" s="271">
        <f>575413.5+2968+2376+2737+2376</f>
        <v>585870.5</v>
      </c>
      <c r="M454" s="269">
        <f>83313+742+594+635+594</f>
        <v>85878</v>
      </c>
      <c r="N454" s="272">
        <v>6.906647221922149</v>
      </c>
      <c r="O454" s="262"/>
    </row>
    <row r="455" spans="1:15" ht="12" customHeight="1">
      <c r="A455" s="228">
        <v>452</v>
      </c>
      <c r="B455" s="245" t="s">
        <v>421</v>
      </c>
      <c r="C455" s="265">
        <v>39738</v>
      </c>
      <c r="D455" s="275" t="s">
        <v>322</v>
      </c>
      <c r="E455" s="276">
        <v>67</v>
      </c>
      <c r="F455" s="276">
        <v>1</v>
      </c>
      <c r="G455" s="276">
        <v>37</v>
      </c>
      <c r="H455" s="263">
        <v>2376</v>
      </c>
      <c r="I455" s="258">
        <v>594</v>
      </c>
      <c r="J455" s="269">
        <v>178</v>
      </c>
      <c r="K455" s="270">
        <v>4</v>
      </c>
      <c r="L455" s="271">
        <f>575413.5+2968+2376</f>
        <v>580757.5</v>
      </c>
      <c r="M455" s="269">
        <f>83313+742+594</f>
        <v>84649</v>
      </c>
      <c r="N455" s="272">
        <v>6.906647221922149</v>
      </c>
      <c r="O455" s="262"/>
    </row>
    <row r="456" spans="1:15" ht="12" customHeight="1">
      <c r="A456" s="228">
        <v>453</v>
      </c>
      <c r="B456" s="281" t="s">
        <v>421</v>
      </c>
      <c r="C456" s="265">
        <v>39738</v>
      </c>
      <c r="D456" s="275" t="s">
        <v>322</v>
      </c>
      <c r="E456" s="276">
        <v>67</v>
      </c>
      <c r="F456" s="276">
        <v>1</v>
      </c>
      <c r="G456" s="276">
        <v>31</v>
      </c>
      <c r="H456" s="267">
        <v>1780</v>
      </c>
      <c r="I456" s="268">
        <v>445</v>
      </c>
      <c r="J456" s="269">
        <f>I456/F456</f>
        <v>445</v>
      </c>
      <c r="K456" s="270">
        <f>+H456/I456</f>
        <v>4</v>
      </c>
      <c r="L456" s="271">
        <f>167196+176809+54428+37340+38330.5+23467+11581+5867+4382+2577+3552+2137+545+4006+9422+7992+4936+1547+1147+288+371+2842+1282+168+610+1948+150+3292+132+65+1780</f>
        <v>570189.5</v>
      </c>
      <c r="M456" s="269">
        <f>19168+21164+7719+6215+6404+4964+2339+1306+907+580+859+440+127+905+2170+1822+1050+392+333+56+73+734+411+21+61+466+30+807+26+13+445</f>
        <v>82007</v>
      </c>
      <c r="N456" s="272">
        <f>L457/M457</f>
        <v>6.9369997089215545</v>
      </c>
      <c r="O456" s="262"/>
    </row>
    <row r="457" spans="1:15" ht="12" customHeight="1">
      <c r="A457" s="228">
        <v>454</v>
      </c>
      <c r="B457" s="281" t="s">
        <v>421</v>
      </c>
      <c r="C457" s="265">
        <v>39738</v>
      </c>
      <c r="D457" s="275" t="s">
        <v>322</v>
      </c>
      <c r="E457" s="276">
        <v>67</v>
      </c>
      <c r="F457" s="276">
        <v>1</v>
      </c>
      <c r="G457" s="276">
        <v>32</v>
      </c>
      <c r="H457" s="280">
        <v>1780</v>
      </c>
      <c r="I457" s="282">
        <v>445</v>
      </c>
      <c r="J457" s="283">
        <f>(I457/F457)</f>
        <v>445</v>
      </c>
      <c r="K457" s="285">
        <f>H457/I457</f>
        <v>4</v>
      </c>
      <c r="L457" s="284">
        <f>167196+176809+54428+37340+38330.5+23467+11581+5867+4382+2577+3552+2137+545+4006+9422+7992+4936+1547+1147+288+371+2842+1282+168+610+1948+150+3292+132+65+1780+1780</f>
        <v>571969.5</v>
      </c>
      <c r="M457" s="283">
        <f>19168+21164+7719+6215+6404+4964+2339+1306+907+580+859+440+127+905+2170+1822+1050+392+333+56+73+734+411+21+61+466+30+807+26+13+445+445</f>
        <v>82452</v>
      </c>
      <c r="N457" s="272">
        <f>+L458/M458</f>
        <v>6.921233579019748</v>
      </c>
      <c r="O457" s="262"/>
    </row>
    <row r="458" spans="1:15" ht="12" customHeight="1">
      <c r="A458" s="228">
        <v>455</v>
      </c>
      <c r="B458" s="324" t="s">
        <v>421</v>
      </c>
      <c r="C458" s="265">
        <v>39738</v>
      </c>
      <c r="D458" s="275" t="s">
        <v>322</v>
      </c>
      <c r="E458" s="287">
        <v>67</v>
      </c>
      <c r="F458" s="287">
        <v>1</v>
      </c>
      <c r="G458" s="287">
        <v>33</v>
      </c>
      <c r="H458" s="288">
        <v>1780</v>
      </c>
      <c r="I458" s="289">
        <v>445</v>
      </c>
      <c r="J458" s="283">
        <f>I458/F458</f>
        <v>445</v>
      </c>
      <c r="K458" s="285">
        <f>H458/I458</f>
        <v>4</v>
      </c>
      <c r="L458" s="284">
        <f>167196+176809+54428+37340+38330.5+23467+11581+5867+4382+2577+3552+2137+545+4006+9422+7992+4936+1547+1147+288+371+2842+1282+168+610+1948+150+3292+132+65+1780+1780+1780</f>
        <v>573749.5</v>
      </c>
      <c r="M458" s="283">
        <f>19168+21164+7719+6215+6404+4964+2339+1306+907+580+859+440+127+905+2170+1822+1050+392+333+56+73+734+411+21+61+466+30+807+26+13+445+445+445</f>
        <v>82897</v>
      </c>
      <c r="N458" s="290">
        <f>+L458/M458</f>
        <v>6.921233579019748</v>
      </c>
      <c r="O458" s="262"/>
    </row>
    <row r="459" spans="1:15" ht="12" customHeight="1">
      <c r="A459" s="228">
        <v>456</v>
      </c>
      <c r="B459" s="245" t="s">
        <v>421</v>
      </c>
      <c r="C459" s="265">
        <v>39738</v>
      </c>
      <c r="D459" s="275" t="s">
        <v>322</v>
      </c>
      <c r="E459" s="287">
        <v>67</v>
      </c>
      <c r="F459" s="287">
        <v>1</v>
      </c>
      <c r="G459" s="287">
        <v>34</v>
      </c>
      <c r="H459" s="288">
        <v>952</v>
      </c>
      <c r="I459" s="289">
        <v>238</v>
      </c>
      <c r="J459" s="283">
        <f>I459/F459</f>
        <v>238</v>
      </c>
      <c r="K459" s="285">
        <f>+H459/I459</f>
        <v>4</v>
      </c>
      <c r="L459" s="284">
        <f>167196+176809+54428+37340+38330.5+23467+11581+5867+4382+2577+3552+2137+545+4006+9422+7992+4936+1547+1147+288+371+2842+1282+168+610+1948+150+3292+132+65+1780+1780+1780+952</f>
        <v>574701.5</v>
      </c>
      <c r="M459" s="283">
        <f>19168+21164+7719+6215+6404+4964+2339+1306+907+580+859+440+127+905+2170+1822+1050+392+333+56+73+734+411+21+61+466+30+807+26+13+445+445+445+238</f>
        <v>83135</v>
      </c>
      <c r="N459" s="290">
        <f>+L459/M459</f>
        <v>6.912870632104409</v>
      </c>
      <c r="O459" s="262">
        <v>1</v>
      </c>
    </row>
    <row r="460" spans="1:15" ht="12" customHeight="1">
      <c r="A460" s="228">
        <v>457</v>
      </c>
      <c r="B460" s="281" t="s">
        <v>421</v>
      </c>
      <c r="C460" s="265">
        <v>39738</v>
      </c>
      <c r="D460" s="247" t="s">
        <v>322</v>
      </c>
      <c r="E460" s="276">
        <v>67</v>
      </c>
      <c r="F460" s="276">
        <v>1</v>
      </c>
      <c r="G460" s="276">
        <v>35</v>
      </c>
      <c r="H460" s="280">
        <v>712</v>
      </c>
      <c r="I460" s="282">
        <v>178</v>
      </c>
      <c r="J460" s="283">
        <v>178</v>
      </c>
      <c r="K460" s="285">
        <v>4</v>
      </c>
      <c r="L460" s="284">
        <v>575413.5</v>
      </c>
      <c r="M460" s="283">
        <v>83313</v>
      </c>
      <c r="N460" s="272">
        <v>6.906647221922149</v>
      </c>
      <c r="O460" s="262">
        <v>1</v>
      </c>
    </row>
    <row r="461" spans="1:15" ht="12" customHeight="1">
      <c r="A461" s="228">
        <v>458</v>
      </c>
      <c r="B461" s="281" t="s">
        <v>78</v>
      </c>
      <c r="C461" s="265">
        <v>40074</v>
      </c>
      <c r="D461" s="275" t="s">
        <v>349</v>
      </c>
      <c r="E461" s="276">
        <v>20</v>
      </c>
      <c r="F461" s="276">
        <v>1</v>
      </c>
      <c r="G461" s="276">
        <v>8</v>
      </c>
      <c r="H461" s="280">
        <v>622</v>
      </c>
      <c r="I461" s="282">
        <v>104</v>
      </c>
      <c r="J461" s="283">
        <f>I461/F461</f>
        <v>104</v>
      </c>
      <c r="K461" s="285">
        <f>+H461/I461</f>
        <v>5.980769230769231</v>
      </c>
      <c r="L461" s="284">
        <f>29605.75+13687.5+1715.5+10167+0.5+1482+874+865+622</f>
        <v>59019.25</v>
      </c>
      <c r="M461" s="283">
        <f>2984+1583+274+1724+229+164+167+104</f>
        <v>7229</v>
      </c>
      <c r="N461" s="299">
        <f>+L462/M462</f>
        <v>8.157885651153155</v>
      </c>
      <c r="O461" s="262"/>
    </row>
    <row r="462" spans="1:15" ht="12" customHeight="1">
      <c r="A462" s="228">
        <v>459</v>
      </c>
      <c r="B462" s="281" t="s">
        <v>79</v>
      </c>
      <c r="C462" s="265">
        <v>40074</v>
      </c>
      <c r="D462" s="275" t="s">
        <v>349</v>
      </c>
      <c r="E462" s="276">
        <v>20</v>
      </c>
      <c r="F462" s="276">
        <v>1</v>
      </c>
      <c r="G462" s="276">
        <v>9</v>
      </c>
      <c r="H462" s="280">
        <v>52</v>
      </c>
      <c r="I462" s="268">
        <v>12</v>
      </c>
      <c r="J462" s="296">
        <f>+I462/F462</f>
        <v>12</v>
      </c>
      <c r="K462" s="297">
        <f>+H462/I462</f>
        <v>4.333333333333333</v>
      </c>
      <c r="L462" s="284">
        <f>29605.75+13687.5+1715.5+10167+0.5+1482+874+865+622+52</f>
        <v>59071.25</v>
      </c>
      <c r="M462" s="269">
        <f>2984+1583+274+1724+229+164+167+104+12</f>
        <v>7241</v>
      </c>
      <c r="N462" s="255">
        <f>L463/M463</f>
        <v>10.004815963849179</v>
      </c>
      <c r="O462" s="335">
        <v>1</v>
      </c>
    </row>
    <row r="463" spans="1:15" ht="12" customHeight="1">
      <c r="A463" s="228">
        <v>460</v>
      </c>
      <c r="B463" s="281" t="s">
        <v>481</v>
      </c>
      <c r="C463" s="265">
        <v>40046</v>
      </c>
      <c r="D463" s="344" t="s">
        <v>320</v>
      </c>
      <c r="E463" s="276">
        <v>55</v>
      </c>
      <c r="F463" s="276">
        <v>1</v>
      </c>
      <c r="G463" s="276">
        <v>20</v>
      </c>
      <c r="H463" s="267">
        <v>609</v>
      </c>
      <c r="I463" s="268">
        <v>280</v>
      </c>
      <c r="J463" s="269">
        <f>I463/F463</f>
        <v>280</v>
      </c>
      <c r="K463" s="270">
        <f>+H463/I463</f>
        <v>2.175</v>
      </c>
      <c r="L463" s="271">
        <v>2895934</v>
      </c>
      <c r="M463" s="269">
        <v>289454</v>
      </c>
      <c r="N463" s="255">
        <f>IF(L464&lt;&gt;0,L464/M464,"")</f>
        <v>8.655390407771161</v>
      </c>
      <c r="O463" s="335"/>
    </row>
    <row r="464" spans="1:15" ht="12" customHeight="1">
      <c r="A464" s="228">
        <v>461</v>
      </c>
      <c r="B464" s="281" t="s">
        <v>480</v>
      </c>
      <c r="C464" s="265">
        <v>39836</v>
      </c>
      <c r="D464" s="266" t="s">
        <v>418</v>
      </c>
      <c r="E464" s="276">
        <v>86</v>
      </c>
      <c r="F464" s="276">
        <v>1</v>
      </c>
      <c r="G464" s="276">
        <v>20</v>
      </c>
      <c r="H464" s="263">
        <v>2941</v>
      </c>
      <c r="I464" s="258">
        <v>588</v>
      </c>
      <c r="J464" s="259">
        <f>IF(H464&lt;&gt;0,I464/F464,"")</f>
        <v>588</v>
      </c>
      <c r="K464" s="260">
        <f>IF(H464&lt;&gt;0,H464/I464,"")</f>
        <v>5.0017006802721085</v>
      </c>
      <c r="L464" s="264">
        <v>1450591.5</v>
      </c>
      <c r="M464" s="261">
        <v>167594</v>
      </c>
      <c r="N464" s="255">
        <f>IF(L465&lt;&gt;0,L465/M465,"")</f>
        <v>8.652274095757049</v>
      </c>
      <c r="O464" s="262">
        <v>1</v>
      </c>
    </row>
    <row r="465" spans="1:15" ht="12" customHeight="1">
      <c r="A465" s="228">
        <v>462</v>
      </c>
      <c r="B465" s="245" t="s">
        <v>480</v>
      </c>
      <c r="C465" s="246">
        <v>39836</v>
      </c>
      <c r="D465" s="337" t="s">
        <v>418</v>
      </c>
      <c r="E465" s="248">
        <v>86</v>
      </c>
      <c r="F465" s="248">
        <v>1</v>
      </c>
      <c r="G465" s="248">
        <v>21</v>
      </c>
      <c r="H465" s="249">
        <v>715</v>
      </c>
      <c r="I465" s="258">
        <v>143</v>
      </c>
      <c r="J465" s="259">
        <f>IF(H465&lt;&gt;0,I465/F465,"")</f>
        <v>143</v>
      </c>
      <c r="K465" s="260">
        <f>IF(H465&lt;&gt;0,H465/I465,"")</f>
        <v>5</v>
      </c>
      <c r="L465" s="253">
        <v>1451306.5</v>
      </c>
      <c r="M465" s="261">
        <v>167737</v>
      </c>
      <c r="N465" s="255">
        <f>L466/M466</f>
        <v>9.725345014730966</v>
      </c>
      <c r="O465" s="256">
        <v>1</v>
      </c>
    </row>
    <row r="466" spans="1:15" ht="12" customHeight="1">
      <c r="A466" s="228">
        <v>463</v>
      </c>
      <c r="B466" s="281" t="s">
        <v>347</v>
      </c>
      <c r="C466" s="265">
        <v>40109</v>
      </c>
      <c r="D466" s="275" t="s">
        <v>322</v>
      </c>
      <c r="E466" s="276">
        <v>35</v>
      </c>
      <c r="F466" s="276">
        <v>4</v>
      </c>
      <c r="G466" s="276">
        <v>10</v>
      </c>
      <c r="H466" s="249">
        <v>2698</v>
      </c>
      <c r="I466" s="250">
        <v>403</v>
      </c>
      <c r="J466" s="251">
        <f>(I466/F466)</f>
        <v>100.75</v>
      </c>
      <c r="K466" s="252">
        <f>H466/I466</f>
        <v>6.694789081885856</v>
      </c>
      <c r="L466" s="253">
        <f>138311.75+79345.25+13093+10041+3739+971+1340+254+1082+2698</f>
        <v>250875</v>
      </c>
      <c r="M466" s="254">
        <f>12918+7558+2061+1540+644+195+252+48+177+403</f>
        <v>25796</v>
      </c>
      <c r="N466" s="255">
        <f>L467/M467</f>
        <v>9.696593355890496</v>
      </c>
      <c r="O466" s="262">
        <v>1</v>
      </c>
    </row>
    <row r="467" spans="1:15" ht="12" customHeight="1">
      <c r="A467" s="228">
        <v>464</v>
      </c>
      <c r="B467" s="304" t="s">
        <v>347</v>
      </c>
      <c r="C467" s="305">
        <v>40109</v>
      </c>
      <c r="D467" s="275" t="s">
        <v>322</v>
      </c>
      <c r="E467" s="306">
        <v>35</v>
      </c>
      <c r="F467" s="306">
        <v>2</v>
      </c>
      <c r="G467" s="306">
        <v>11</v>
      </c>
      <c r="H467" s="249">
        <v>1314</v>
      </c>
      <c r="I467" s="258">
        <v>212</v>
      </c>
      <c r="J467" s="259">
        <f>(I467/F467)</f>
        <v>106</v>
      </c>
      <c r="K467" s="260">
        <f>H467/I467</f>
        <v>6.19811320754717</v>
      </c>
      <c r="L467" s="253">
        <f>138311.75+79345.25+13093+10041+3739+971+1340+254+1082+2698+1314</f>
        <v>252189</v>
      </c>
      <c r="M467" s="261">
        <f>12918+7558+2061+1540+644+195+252+48+177+403+212</f>
        <v>26008</v>
      </c>
      <c r="N467" s="255">
        <f>L468/M468</f>
        <v>9.77344149962588</v>
      </c>
      <c r="O467" s="262">
        <v>1</v>
      </c>
    </row>
    <row r="468" spans="1:15" ht="12" customHeight="1">
      <c r="A468" s="228">
        <v>465</v>
      </c>
      <c r="B468" s="281" t="s">
        <v>347</v>
      </c>
      <c r="C468" s="265">
        <v>40109</v>
      </c>
      <c r="D468" s="275" t="s">
        <v>322</v>
      </c>
      <c r="E468" s="276">
        <v>35</v>
      </c>
      <c r="F468" s="276">
        <v>1</v>
      </c>
      <c r="G468" s="276">
        <v>9</v>
      </c>
      <c r="H468" s="249">
        <v>1082</v>
      </c>
      <c r="I468" s="250">
        <v>177</v>
      </c>
      <c r="J468" s="251">
        <f>(I468/F468)</f>
        <v>177</v>
      </c>
      <c r="K468" s="260">
        <f>H468/I468</f>
        <v>6.112994350282486</v>
      </c>
      <c r="L468" s="253">
        <f>138311.75+79345.25+13093+10041+3739+971+1340+254+1082</f>
        <v>248177</v>
      </c>
      <c r="M468" s="254">
        <f>12918+7558+2061+1540+644+195+252+48+177</f>
        <v>25393</v>
      </c>
      <c r="N468" s="272">
        <f>L469/M469</f>
        <v>9.630330854454394</v>
      </c>
      <c r="O468" s="262">
        <v>1</v>
      </c>
    </row>
    <row r="469" spans="1:15" ht="12" customHeight="1">
      <c r="A469" s="228">
        <v>466</v>
      </c>
      <c r="B469" s="281" t="s">
        <v>347</v>
      </c>
      <c r="C469" s="265">
        <v>40109</v>
      </c>
      <c r="D469" s="275" t="s">
        <v>322</v>
      </c>
      <c r="E469" s="276">
        <v>35</v>
      </c>
      <c r="F469" s="276">
        <v>1</v>
      </c>
      <c r="G469" s="276">
        <v>13</v>
      </c>
      <c r="H469" s="267">
        <v>952</v>
      </c>
      <c r="I469" s="268">
        <v>238</v>
      </c>
      <c r="J469" s="269">
        <f>(I469/F469)</f>
        <v>238</v>
      </c>
      <c r="K469" s="270">
        <f>(J469/G469)</f>
        <v>18.307692307692307</v>
      </c>
      <c r="L469" s="271">
        <f>138311.75+79345.25+13093+10041+3739+971+1340+254+1082+2698+1314+676+952</f>
        <v>253817</v>
      </c>
      <c r="M469" s="269">
        <f>12918+7558+2061+1540+644+195+252+48+177+403+212+110+238</f>
        <v>26356</v>
      </c>
      <c r="N469" s="255">
        <f>L470/M470</f>
        <v>9.681637185083085</v>
      </c>
      <c r="O469" s="274">
        <v>1</v>
      </c>
    </row>
    <row r="470" spans="1:15" ht="12" customHeight="1">
      <c r="A470" s="228">
        <v>467</v>
      </c>
      <c r="B470" s="281" t="s">
        <v>347</v>
      </c>
      <c r="C470" s="265">
        <v>40109</v>
      </c>
      <c r="D470" s="275" t="s">
        <v>322</v>
      </c>
      <c r="E470" s="276">
        <v>35</v>
      </c>
      <c r="F470" s="276">
        <v>2</v>
      </c>
      <c r="G470" s="276">
        <v>12</v>
      </c>
      <c r="H470" s="263">
        <v>676</v>
      </c>
      <c r="I470" s="258">
        <v>110</v>
      </c>
      <c r="J470" s="259">
        <f>(I470/F470)</f>
        <v>55</v>
      </c>
      <c r="K470" s="260">
        <f>H470/I470</f>
        <v>6.1454545454545455</v>
      </c>
      <c r="L470" s="264">
        <f>138311.75+79345.25+13093+10041+3739+971+1340+254+1082+2698+1314+676</f>
        <v>252865</v>
      </c>
      <c r="M470" s="261">
        <f>12918+7558+2061+1540+644+195+252+48+177+403+212+110</f>
        <v>26118</v>
      </c>
      <c r="N470" s="299">
        <f>IF(L471&lt;&gt;0,L471/M471,"")</f>
        <v>8.079533056949597</v>
      </c>
      <c r="O470" s="262">
        <v>1</v>
      </c>
    </row>
    <row r="471" spans="1:15" ht="12" customHeight="1">
      <c r="A471" s="228">
        <v>468</v>
      </c>
      <c r="B471" s="245" t="s">
        <v>80</v>
      </c>
      <c r="C471" s="246">
        <v>40088</v>
      </c>
      <c r="D471" s="286" t="s">
        <v>418</v>
      </c>
      <c r="E471" s="248">
        <v>55</v>
      </c>
      <c r="F471" s="248">
        <v>1</v>
      </c>
      <c r="G471" s="248">
        <v>11</v>
      </c>
      <c r="H471" s="294">
        <v>653</v>
      </c>
      <c r="I471" s="295">
        <v>131</v>
      </c>
      <c r="J471" s="296">
        <f>IF(H471&lt;&gt;0,I471/F471,"")</f>
        <v>131</v>
      </c>
      <c r="K471" s="297">
        <f>IF(H471&lt;&gt;0,H471/I471,"")</f>
        <v>4.984732824427481</v>
      </c>
      <c r="L471" s="298">
        <v>148114</v>
      </c>
      <c r="M471" s="269">
        <v>18332</v>
      </c>
      <c r="N471" s="272">
        <f>+L472/M472</f>
        <v>8.066197183098591</v>
      </c>
      <c r="O471" s="256">
        <v>1</v>
      </c>
    </row>
    <row r="472" spans="1:15" ht="12" customHeight="1">
      <c r="A472" s="228">
        <v>469</v>
      </c>
      <c r="B472" s="281" t="s">
        <v>81</v>
      </c>
      <c r="C472" s="265">
        <v>40088</v>
      </c>
      <c r="D472" s="286" t="s">
        <v>418</v>
      </c>
      <c r="E472" s="276">
        <v>55</v>
      </c>
      <c r="F472" s="276">
        <v>1</v>
      </c>
      <c r="G472" s="276">
        <v>13</v>
      </c>
      <c r="H472" s="280">
        <v>518</v>
      </c>
      <c r="I472" s="282">
        <v>90</v>
      </c>
      <c r="J472" s="283">
        <f>I472/F472</f>
        <v>90</v>
      </c>
      <c r="K472" s="285">
        <f>H472/I472</f>
        <v>5.7555555555555555</v>
      </c>
      <c r="L472" s="284">
        <v>148902</v>
      </c>
      <c r="M472" s="283">
        <v>18460</v>
      </c>
      <c r="N472" s="255">
        <f>IF(L473&lt;&gt;0,L473/M473,"")</f>
        <v>8.07751769188895</v>
      </c>
      <c r="O472" s="262">
        <v>1</v>
      </c>
    </row>
    <row r="473" spans="1:15" ht="12" customHeight="1">
      <c r="A473" s="228">
        <v>470</v>
      </c>
      <c r="B473" s="281" t="s">
        <v>80</v>
      </c>
      <c r="C473" s="265">
        <v>40088</v>
      </c>
      <c r="D473" s="266" t="s">
        <v>418</v>
      </c>
      <c r="E473" s="276">
        <v>55</v>
      </c>
      <c r="F473" s="276">
        <v>1</v>
      </c>
      <c r="G473" s="276">
        <v>12</v>
      </c>
      <c r="H473" s="263">
        <v>270</v>
      </c>
      <c r="I473" s="258">
        <v>38</v>
      </c>
      <c r="J473" s="259">
        <f>IF(H473&lt;&gt;0,I473/F473,"")</f>
        <v>38</v>
      </c>
      <c r="K473" s="260">
        <f>IF(H473&lt;&gt;0,H473/I473,"")</f>
        <v>7.105263157894737</v>
      </c>
      <c r="L473" s="264">
        <v>148384</v>
      </c>
      <c r="M473" s="261">
        <v>18370</v>
      </c>
      <c r="N473" s="299">
        <f>IF(L474&lt;&gt;0,L474/M474,"")</f>
        <v>8.101807592989395</v>
      </c>
      <c r="O473" s="262">
        <v>1</v>
      </c>
    </row>
    <row r="474" spans="1:15" ht="12" customHeight="1">
      <c r="A474" s="228">
        <v>471</v>
      </c>
      <c r="B474" s="245" t="s">
        <v>81</v>
      </c>
      <c r="C474" s="246">
        <v>40088</v>
      </c>
      <c r="D474" s="286" t="s">
        <v>444</v>
      </c>
      <c r="E474" s="248">
        <v>55</v>
      </c>
      <c r="F474" s="248">
        <v>1</v>
      </c>
      <c r="G474" s="248">
        <v>10</v>
      </c>
      <c r="H474" s="294">
        <v>210</v>
      </c>
      <c r="I474" s="300">
        <v>42</v>
      </c>
      <c r="J474" s="301">
        <f>IF(H474&lt;&gt;0,I474/F474,"")</f>
        <v>42</v>
      </c>
      <c r="K474" s="302">
        <f>IF(H474&lt;&gt;0,H474/I474,"")</f>
        <v>5</v>
      </c>
      <c r="L474" s="298">
        <v>147461</v>
      </c>
      <c r="M474" s="283">
        <v>18201</v>
      </c>
      <c r="N474" s="255">
        <f>L475/M475</f>
        <v>7.802755492896811</v>
      </c>
      <c r="O474" s="244">
        <v>1</v>
      </c>
    </row>
    <row r="475" spans="1:15" ht="12" customHeight="1">
      <c r="A475" s="228">
        <v>472</v>
      </c>
      <c r="B475" s="324" t="s">
        <v>82</v>
      </c>
      <c r="C475" s="265">
        <v>40109</v>
      </c>
      <c r="D475" s="275" t="s">
        <v>322</v>
      </c>
      <c r="E475" s="287">
        <v>179</v>
      </c>
      <c r="F475" s="287">
        <v>1</v>
      </c>
      <c r="G475" s="287">
        <v>13</v>
      </c>
      <c r="H475" s="288">
        <v>2012</v>
      </c>
      <c r="I475" s="289">
        <v>503</v>
      </c>
      <c r="J475" s="283">
        <f>(I475/F475)</f>
        <v>503</v>
      </c>
      <c r="K475" s="285">
        <f>H475/I475</f>
        <v>4</v>
      </c>
      <c r="L475" s="284">
        <f>1128559+561773+266735+93447+7005+1818+273+24520+599+3199+564+1563+2012</f>
        <v>2092067</v>
      </c>
      <c r="M475" s="283">
        <f>129422+68620+41591+19064+1291+300+35+6130+81+717+91+274+503</f>
        <v>268119</v>
      </c>
      <c r="N475" s="290">
        <f>L475/M475</f>
        <v>7.802755492896811</v>
      </c>
      <c r="O475" s="256"/>
    </row>
    <row r="476" spans="1:15" ht="12" customHeight="1">
      <c r="A476" s="228">
        <v>473</v>
      </c>
      <c r="B476" s="304" t="s">
        <v>82</v>
      </c>
      <c r="C476" s="305">
        <v>40109</v>
      </c>
      <c r="D476" s="275" t="s">
        <v>322</v>
      </c>
      <c r="E476" s="306">
        <v>179</v>
      </c>
      <c r="F476" s="306">
        <v>1</v>
      </c>
      <c r="G476" s="306">
        <v>12</v>
      </c>
      <c r="H476" s="249">
        <v>1563</v>
      </c>
      <c r="I476" s="258">
        <v>274</v>
      </c>
      <c r="J476" s="259">
        <f>(I476/F476)</f>
        <v>274</v>
      </c>
      <c r="K476" s="260">
        <f>H476/I476</f>
        <v>5.704379562043796</v>
      </c>
      <c r="L476" s="253">
        <f>1128559+561773+266735+93447+7005+1818+273+24520+599+3199+564+1563</f>
        <v>2090055</v>
      </c>
      <c r="M476" s="261">
        <f>129422+68620+41591+19064+1291+300+35+6130+81+717+91+274</f>
        <v>267616</v>
      </c>
      <c r="N476" s="255">
        <f>L477/M477</f>
        <v>7.8120609556298675</v>
      </c>
      <c r="O476" s="262"/>
    </row>
    <row r="477" spans="1:15" ht="12" customHeight="1">
      <c r="A477" s="228">
        <v>474</v>
      </c>
      <c r="B477" s="281" t="s">
        <v>82</v>
      </c>
      <c r="C477" s="265">
        <v>40109</v>
      </c>
      <c r="D477" s="275" t="s">
        <v>322</v>
      </c>
      <c r="E477" s="276">
        <v>179</v>
      </c>
      <c r="F477" s="276">
        <v>2</v>
      </c>
      <c r="G477" s="276">
        <v>11</v>
      </c>
      <c r="H477" s="249">
        <v>564</v>
      </c>
      <c r="I477" s="250">
        <v>91</v>
      </c>
      <c r="J477" s="251">
        <f>(I477/F477)</f>
        <v>45.5</v>
      </c>
      <c r="K477" s="260">
        <f>H477/I477</f>
        <v>6.197802197802198</v>
      </c>
      <c r="L477" s="253">
        <f>1128559+561773+266735+93447+7005+1818+273+24520+599+3199+564</f>
        <v>2088492</v>
      </c>
      <c r="M477" s="254">
        <f>129422+68620+41591+19064+1291+300+35+6130+81+717+91</f>
        <v>267342</v>
      </c>
      <c r="N477" s="272">
        <f>+L478/M478</f>
        <v>0.1834276592657089</v>
      </c>
      <c r="O477" s="244"/>
    </row>
    <row r="478" spans="1:15" ht="12" customHeight="1">
      <c r="A478" s="228">
        <v>475</v>
      </c>
      <c r="B478" s="245" t="s">
        <v>83</v>
      </c>
      <c r="C478" s="265">
        <v>37981</v>
      </c>
      <c r="D478" s="275" t="s">
        <v>332</v>
      </c>
      <c r="E478" s="276">
        <v>1</v>
      </c>
      <c r="F478" s="276">
        <v>1</v>
      </c>
      <c r="G478" s="276">
        <v>20</v>
      </c>
      <c r="H478" s="263">
        <v>1264</v>
      </c>
      <c r="I478" s="258">
        <v>316</v>
      </c>
      <c r="J478" s="269">
        <f>I478/F478</f>
        <v>316</v>
      </c>
      <c r="K478" s="270">
        <f>H478/I478</f>
        <v>4</v>
      </c>
      <c r="L478" s="271">
        <v>1264</v>
      </c>
      <c r="M478" s="269">
        <v>6891</v>
      </c>
      <c r="N478" s="272">
        <f>+L478/M478</f>
        <v>0.1834276592657089</v>
      </c>
      <c r="O478" s="244"/>
    </row>
    <row r="479" spans="1:15" ht="12" customHeight="1">
      <c r="A479" s="228">
        <v>476</v>
      </c>
      <c r="B479" s="281" t="s">
        <v>84</v>
      </c>
      <c r="C479" s="265">
        <v>39934</v>
      </c>
      <c r="D479" s="275" t="s">
        <v>349</v>
      </c>
      <c r="E479" s="276">
        <v>125</v>
      </c>
      <c r="F479" s="276">
        <v>1</v>
      </c>
      <c r="G479" s="276">
        <v>11</v>
      </c>
      <c r="H479" s="280">
        <v>1085</v>
      </c>
      <c r="I479" s="282">
        <v>217</v>
      </c>
      <c r="J479" s="283">
        <f>I479/F479</f>
        <v>217</v>
      </c>
      <c r="K479" s="285">
        <f>+H479/I479</f>
        <v>5</v>
      </c>
      <c r="L479" s="284">
        <f>114460.75+42138+22420+8194+3259+329+823+25444.5+546+3853+1085</f>
        <v>222552.25</v>
      </c>
      <c r="M479" s="283">
        <f>15343+6534+4108+1491+680+62+130+4241+100+770+217</f>
        <v>33676</v>
      </c>
      <c r="N479" s="272">
        <f>+L480/M480</f>
        <v>6.601970960492075</v>
      </c>
      <c r="O479" s="262"/>
    </row>
    <row r="480" spans="1:15" ht="12" customHeight="1">
      <c r="A480" s="228">
        <v>477</v>
      </c>
      <c r="B480" s="281" t="s">
        <v>85</v>
      </c>
      <c r="C480" s="265">
        <v>39934</v>
      </c>
      <c r="D480" s="275" t="s">
        <v>349</v>
      </c>
      <c r="E480" s="276">
        <v>125</v>
      </c>
      <c r="F480" s="276">
        <v>1</v>
      </c>
      <c r="G480" s="276">
        <v>12</v>
      </c>
      <c r="H480" s="280">
        <v>700</v>
      </c>
      <c r="I480" s="268">
        <v>140</v>
      </c>
      <c r="J480" s="296">
        <f>+I480/F480</f>
        <v>140</v>
      </c>
      <c r="K480" s="297">
        <f>+H480/I480</f>
        <v>5</v>
      </c>
      <c r="L480" s="284">
        <f>114460.75+42138+22420+8194+3259+329+823+25444.5+546+3853+1085+700</f>
        <v>223252.25</v>
      </c>
      <c r="M480" s="269">
        <f>15343+6534+4108+1491+680+62+130+4241+100+770+217+140</f>
        <v>33816</v>
      </c>
      <c r="N480" s="299">
        <f>IF(L481&lt;&gt;0,L481/M481,"")</f>
        <v>9.888501709077099</v>
      </c>
      <c r="O480" s="256">
        <v>1</v>
      </c>
    </row>
    <row r="481" spans="1:15" ht="12" customHeight="1">
      <c r="A481" s="228">
        <v>478</v>
      </c>
      <c r="B481" s="245" t="s">
        <v>86</v>
      </c>
      <c r="C481" s="246">
        <v>40123</v>
      </c>
      <c r="D481" s="257" t="s">
        <v>418</v>
      </c>
      <c r="E481" s="248">
        <v>40</v>
      </c>
      <c r="F481" s="248">
        <v>3</v>
      </c>
      <c r="G481" s="248">
        <v>8</v>
      </c>
      <c r="H481" s="294">
        <v>2876</v>
      </c>
      <c r="I481" s="300">
        <v>477</v>
      </c>
      <c r="J481" s="301">
        <f>IF(H481&lt;&gt;0,I481/F481,"")</f>
        <v>159</v>
      </c>
      <c r="K481" s="297">
        <f>IF(H481&lt;&gt;0,H481/I481,"")</f>
        <v>6.029350104821803</v>
      </c>
      <c r="L481" s="298">
        <v>260364.25</v>
      </c>
      <c r="M481" s="283">
        <v>26330</v>
      </c>
      <c r="N481" s="272">
        <f>IF(L482&lt;&gt;0,L482/M482,"")</f>
        <v>9.673512900788081</v>
      </c>
      <c r="O481" s="262">
        <v>1</v>
      </c>
    </row>
    <row r="482" spans="1:15" ht="12" customHeight="1">
      <c r="A482" s="228">
        <v>479</v>
      </c>
      <c r="B482" s="281" t="s">
        <v>87</v>
      </c>
      <c r="C482" s="265">
        <v>40123</v>
      </c>
      <c r="D482" s="286" t="s">
        <v>418</v>
      </c>
      <c r="E482" s="276">
        <v>40</v>
      </c>
      <c r="F482" s="276">
        <v>2</v>
      </c>
      <c r="G482" s="276">
        <v>14</v>
      </c>
      <c r="H482" s="280">
        <v>2069</v>
      </c>
      <c r="I482" s="282">
        <v>334</v>
      </c>
      <c r="J482" s="283">
        <f>IF(H482&lt;&gt;0,I482/F482,"")</f>
        <v>167</v>
      </c>
      <c r="K482" s="285">
        <f>IF(H482&lt;&gt;0,H482/I482,"")</f>
        <v>6.1946107784431135</v>
      </c>
      <c r="L482" s="284">
        <v>268817.25</v>
      </c>
      <c r="M482" s="283">
        <v>27789</v>
      </c>
      <c r="N482" s="299">
        <f>IF(L483&lt;&gt;0,L483/M483,"")</f>
        <v>9.518820107294642</v>
      </c>
      <c r="O482" s="256">
        <v>1</v>
      </c>
    </row>
    <row r="483" spans="1:15" ht="12" customHeight="1">
      <c r="A483" s="228">
        <v>480</v>
      </c>
      <c r="B483" s="245" t="s">
        <v>86</v>
      </c>
      <c r="C483" s="265">
        <v>40123</v>
      </c>
      <c r="D483" s="336" t="s">
        <v>418</v>
      </c>
      <c r="E483" s="287">
        <v>40</v>
      </c>
      <c r="F483" s="287">
        <v>2</v>
      </c>
      <c r="G483" s="287">
        <v>19</v>
      </c>
      <c r="H483" s="288">
        <v>1987</v>
      </c>
      <c r="I483" s="326">
        <v>384</v>
      </c>
      <c r="J483" s="269">
        <f>IF(H483&lt;&gt;0,I483/F483,"")</f>
        <v>192</v>
      </c>
      <c r="K483" s="270">
        <f>IF(H483&lt;&gt;0,H483/I483,"")</f>
        <v>5.174479166666667</v>
      </c>
      <c r="L483" s="271">
        <v>273247.25</v>
      </c>
      <c r="M483" s="269">
        <v>28706</v>
      </c>
      <c r="N483" s="272">
        <f>IF(L483&lt;&gt;0,L483/M483,"")</f>
        <v>9.518820107294642</v>
      </c>
      <c r="O483" s="262">
        <v>1</v>
      </c>
    </row>
    <row r="484" spans="1:15" ht="12" customHeight="1">
      <c r="A484" s="228">
        <v>481</v>
      </c>
      <c r="B484" s="245" t="s">
        <v>87</v>
      </c>
      <c r="C484" s="246">
        <v>40123</v>
      </c>
      <c r="D484" s="286" t="s">
        <v>418</v>
      </c>
      <c r="E484" s="248">
        <v>40</v>
      </c>
      <c r="F484" s="248">
        <v>5</v>
      </c>
      <c r="G484" s="248">
        <v>10</v>
      </c>
      <c r="H484" s="294">
        <v>1905</v>
      </c>
      <c r="I484" s="295">
        <v>315</v>
      </c>
      <c r="J484" s="296">
        <f>IF(H484&lt;&gt;0,I484/F484,"")</f>
        <v>63</v>
      </c>
      <c r="K484" s="297">
        <f>IF(H484&lt;&gt;0,H484/I484,"")</f>
        <v>6.0476190476190474</v>
      </c>
      <c r="L484" s="298">
        <v>263941.25</v>
      </c>
      <c r="M484" s="269">
        <v>26959</v>
      </c>
      <c r="N484" s="299">
        <f>IF(L485&lt;&gt;0,L485/M485,"")</f>
        <v>9.834718886053146</v>
      </c>
      <c r="O484" s="376">
        <v>1</v>
      </c>
    </row>
    <row r="485" spans="1:15" ht="12" customHeight="1">
      <c r="A485" s="228">
        <v>482</v>
      </c>
      <c r="B485" s="245" t="s">
        <v>86</v>
      </c>
      <c r="C485" s="246">
        <v>40123</v>
      </c>
      <c r="D485" s="286" t="s">
        <v>418</v>
      </c>
      <c r="E485" s="248">
        <v>40</v>
      </c>
      <c r="F485" s="248">
        <v>4</v>
      </c>
      <c r="G485" s="248">
        <v>9</v>
      </c>
      <c r="H485" s="294">
        <v>1672</v>
      </c>
      <c r="I485" s="300">
        <v>314</v>
      </c>
      <c r="J485" s="301">
        <f>IF(H485&lt;&gt;0,I485/F485,"")</f>
        <v>78.5</v>
      </c>
      <c r="K485" s="302">
        <f>IF(H485&lt;&gt;0,H485/I485,"")</f>
        <v>5.32484076433121</v>
      </c>
      <c r="L485" s="298">
        <v>262036.25</v>
      </c>
      <c r="M485" s="283">
        <v>26644</v>
      </c>
      <c r="N485" s="272">
        <f>L486/M486</f>
        <v>9.715835002731742</v>
      </c>
      <c r="O485" s="262">
        <v>1</v>
      </c>
    </row>
    <row r="486" spans="1:15" ht="12" customHeight="1">
      <c r="A486" s="228">
        <v>483</v>
      </c>
      <c r="B486" s="281" t="s">
        <v>87</v>
      </c>
      <c r="C486" s="265">
        <v>40123</v>
      </c>
      <c r="D486" s="286" t="s">
        <v>418</v>
      </c>
      <c r="E486" s="276">
        <v>40</v>
      </c>
      <c r="F486" s="276">
        <v>2</v>
      </c>
      <c r="G486" s="276">
        <v>13</v>
      </c>
      <c r="H486" s="267">
        <v>1270.5</v>
      </c>
      <c r="I486" s="268">
        <v>209</v>
      </c>
      <c r="J486" s="269">
        <f>I486/F486</f>
        <v>104.5</v>
      </c>
      <c r="K486" s="270">
        <f>+H486/I486</f>
        <v>6.078947368421052</v>
      </c>
      <c r="L486" s="271">
        <v>266748.25</v>
      </c>
      <c r="M486" s="269">
        <v>27455</v>
      </c>
      <c r="N486" s="272">
        <f>+L487/M487</f>
        <v>9.670437851589092</v>
      </c>
      <c r="O486" s="345">
        <v>1</v>
      </c>
    </row>
    <row r="487" spans="1:15" ht="12" customHeight="1">
      <c r="A487" s="228">
        <v>484</v>
      </c>
      <c r="B487" s="281" t="s">
        <v>87</v>
      </c>
      <c r="C487" s="265">
        <v>40123</v>
      </c>
      <c r="D487" s="286" t="s">
        <v>418</v>
      </c>
      <c r="E487" s="276">
        <v>40</v>
      </c>
      <c r="F487" s="276">
        <v>1</v>
      </c>
      <c r="G487" s="276">
        <v>15</v>
      </c>
      <c r="H487" s="280">
        <v>1075</v>
      </c>
      <c r="I487" s="282">
        <v>120</v>
      </c>
      <c r="J487" s="283">
        <f>I487/F487</f>
        <v>120</v>
      </c>
      <c r="K487" s="285">
        <f>H487/I487</f>
        <v>8.958333333333334</v>
      </c>
      <c r="L487" s="284">
        <v>269892.25</v>
      </c>
      <c r="M487" s="283">
        <v>27909</v>
      </c>
      <c r="N487" s="255">
        <f>IF(L488&lt;&gt;0,L488/M488,"")</f>
        <v>9.764483139856274</v>
      </c>
      <c r="O487" s="262">
        <v>1</v>
      </c>
    </row>
    <row r="488" spans="1:15" ht="12" customHeight="1">
      <c r="A488" s="228">
        <v>485</v>
      </c>
      <c r="B488" s="281" t="s">
        <v>86</v>
      </c>
      <c r="C488" s="265">
        <v>40123</v>
      </c>
      <c r="D488" s="266" t="s">
        <v>418</v>
      </c>
      <c r="E488" s="276">
        <v>40</v>
      </c>
      <c r="F488" s="276">
        <v>4</v>
      </c>
      <c r="G488" s="276">
        <v>11</v>
      </c>
      <c r="H488" s="263">
        <v>1018</v>
      </c>
      <c r="I488" s="258">
        <v>176</v>
      </c>
      <c r="J488" s="259">
        <f>IF(H488&lt;&gt;0,I488/F488,"")</f>
        <v>44</v>
      </c>
      <c r="K488" s="260">
        <f>IF(H488&lt;&gt;0,H488/I488,"")</f>
        <v>5.784090909090909</v>
      </c>
      <c r="L488" s="264">
        <v>264959.25</v>
      </c>
      <c r="M488" s="261">
        <v>27135</v>
      </c>
      <c r="N488" s="272">
        <f>+L489/M489</f>
        <v>9.57990847409711</v>
      </c>
      <c r="O488" s="341">
        <v>1</v>
      </c>
    </row>
    <row r="489" spans="1:15" ht="12" customHeight="1">
      <c r="A489" s="228">
        <v>486</v>
      </c>
      <c r="B489" s="281" t="s">
        <v>87</v>
      </c>
      <c r="C489" s="308">
        <v>40123</v>
      </c>
      <c r="D489" s="336" t="s">
        <v>418</v>
      </c>
      <c r="E489" s="287">
        <v>40</v>
      </c>
      <c r="F489" s="287">
        <v>1</v>
      </c>
      <c r="G489" s="287">
        <v>17</v>
      </c>
      <c r="H489" s="288">
        <v>680</v>
      </c>
      <c r="I489" s="289">
        <v>170</v>
      </c>
      <c r="J489" s="283">
        <f>IF(H489&lt;&gt;0,I489/F489,"")</f>
        <v>170</v>
      </c>
      <c r="K489" s="285">
        <f>H489/I489</f>
        <v>4</v>
      </c>
      <c r="L489" s="284">
        <v>271092.25</v>
      </c>
      <c r="M489" s="283">
        <v>28298</v>
      </c>
      <c r="N489" s="272">
        <f>+L490/M490</f>
        <v>9.613632323663253</v>
      </c>
      <c r="O489" s="244">
        <v>1</v>
      </c>
    </row>
    <row r="490" spans="1:15" ht="12" customHeight="1">
      <c r="A490" s="228">
        <v>487</v>
      </c>
      <c r="B490" s="281" t="s">
        <v>87</v>
      </c>
      <c r="C490" s="308">
        <v>40123</v>
      </c>
      <c r="D490" s="286" t="s">
        <v>418</v>
      </c>
      <c r="E490" s="287">
        <v>40</v>
      </c>
      <c r="F490" s="287">
        <v>1</v>
      </c>
      <c r="G490" s="287">
        <v>16</v>
      </c>
      <c r="H490" s="288">
        <v>520</v>
      </c>
      <c r="I490" s="289">
        <v>219</v>
      </c>
      <c r="J490" s="283">
        <f>I490/F490</f>
        <v>219</v>
      </c>
      <c r="K490" s="285">
        <f>H490/I490</f>
        <v>2.374429223744292</v>
      </c>
      <c r="L490" s="284">
        <v>270412.25</v>
      </c>
      <c r="M490" s="283">
        <v>28128</v>
      </c>
      <c r="N490" s="272">
        <f>L491/M491</f>
        <v>9.743733025031197</v>
      </c>
      <c r="O490" s="338">
        <v>1</v>
      </c>
    </row>
    <row r="491" spans="1:15" ht="12" customHeight="1">
      <c r="A491" s="228">
        <v>488</v>
      </c>
      <c r="B491" s="281" t="s">
        <v>86</v>
      </c>
      <c r="C491" s="265">
        <v>40123</v>
      </c>
      <c r="D491" s="286" t="s">
        <v>418</v>
      </c>
      <c r="E491" s="276">
        <v>40</v>
      </c>
      <c r="F491" s="276">
        <v>3</v>
      </c>
      <c r="G491" s="276">
        <v>12</v>
      </c>
      <c r="H491" s="267">
        <v>518.5</v>
      </c>
      <c r="I491" s="268">
        <v>111</v>
      </c>
      <c r="J491" s="269">
        <f>I491/F491</f>
        <v>37</v>
      </c>
      <c r="K491" s="270">
        <f>H491/I491</f>
        <v>4.671171171171171</v>
      </c>
      <c r="L491" s="271">
        <v>265477.75</v>
      </c>
      <c r="M491" s="269">
        <v>27246</v>
      </c>
      <c r="N491" s="299">
        <f>IF(L492&lt;&gt;0,L492/M492,"")</f>
        <v>9.515024184848802</v>
      </c>
      <c r="O491" s="262">
        <v>1</v>
      </c>
    </row>
    <row r="492" spans="1:15" ht="12" customHeight="1">
      <c r="A492" s="228">
        <v>489</v>
      </c>
      <c r="B492" s="245" t="s">
        <v>88</v>
      </c>
      <c r="C492" s="265">
        <v>40123</v>
      </c>
      <c r="D492" s="247" t="s">
        <v>444</v>
      </c>
      <c r="E492" s="276">
        <v>40</v>
      </c>
      <c r="F492" s="276">
        <v>1</v>
      </c>
      <c r="G492" s="276">
        <v>20</v>
      </c>
      <c r="H492" s="267">
        <v>186</v>
      </c>
      <c r="I492" s="268">
        <v>31</v>
      </c>
      <c r="J492" s="269">
        <f>IF(H492&lt;&gt;0,I492/F492,"")</f>
        <v>31</v>
      </c>
      <c r="K492" s="270">
        <f>IF(H492&lt;&gt;0,H492/I492,"")</f>
        <v>6</v>
      </c>
      <c r="L492" s="271">
        <f>273247.25+H492</f>
        <v>273433.25</v>
      </c>
      <c r="M492" s="269">
        <f>28706+I492</f>
        <v>28737</v>
      </c>
      <c r="N492" s="272">
        <f>IF(L492&lt;&gt;0,L492/M492,"")</f>
        <v>9.515024184848802</v>
      </c>
      <c r="O492" s="256">
        <v>1</v>
      </c>
    </row>
    <row r="493" spans="1:15" ht="12" customHeight="1">
      <c r="A493" s="228">
        <v>490</v>
      </c>
      <c r="B493" s="324" t="s">
        <v>86</v>
      </c>
      <c r="C493" s="265">
        <v>40123</v>
      </c>
      <c r="D493" s="336" t="s">
        <v>418</v>
      </c>
      <c r="E493" s="287">
        <v>40</v>
      </c>
      <c r="F493" s="287">
        <v>1</v>
      </c>
      <c r="G493" s="287">
        <v>18</v>
      </c>
      <c r="H493" s="288">
        <v>168</v>
      </c>
      <c r="I493" s="289">
        <v>24</v>
      </c>
      <c r="J493" s="283">
        <f>I493/F493</f>
        <v>24</v>
      </c>
      <c r="K493" s="285">
        <f>H493/I493</f>
        <v>7</v>
      </c>
      <c r="L493" s="284">
        <v>271260.25</v>
      </c>
      <c r="M493" s="283">
        <v>28322</v>
      </c>
      <c r="N493" s="290">
        <f>+L493/M493</f>
        <v>9.577722265376739</v>
      </c>
      <c r="O493" s="274">
        <v>1</v>
      </c>
    </row>
    <row r="494" spans="1:15" ht="12" customHeight="1">
      <c r="A494" s="228">
        <v>491</v>
      </c>
      <c r="B494" s="245" t="s">
        <v>217</v>
      </c>
      <c r="C494" s="265">
        <v>40116</v>
      </c>
      <c r="D494" s="247" t="s">
        <v>333</v>
      </c>
      <c r="E494" s="276">
        <v>252</v>
      </c>
      <c r="F494" s="276">
        <v>1</v>
      </c>
      <c r="G494" s="276">
        <v>14</v>
      </c>
      <c r="H494" s="267">
        <v>313</v>
      </c>
      <c r="I494" s="268">
        <v>34</v>
      </c>
      <c r="J494" s="269">
        <f>+I494/F494</f>
        <v>34</v>
      </c>
      <c r="K494" s="270">
        <f>+H494/I494</f>
        <v>9.205882352941176</v>
      </c>
      <c r="L494" s="271">
        <f>1669127.75+948082.25+584112.75-1430.5+253635+167357+9936+0.5+7987+1963+4065+3546+1275+1470+1922+313</f>
        <v>3653361.75</v>
      </c>
      <c r="M494" s="269">
        <f>200044+117374+72700-112+36636+25117+1706+1163+472+1036+675+224+234+384+34</f>
        <v>457687</v>
      </c>
      <c r="N494" s="272">
        <f>+L494/M494</f>
        <v>7.982227482974173</v>
      </c>
      <c r="O494" s="262">
        <v>1</v>
      </c>
    </row>
    <row r="495" spans="1:15" ht="12" customHeight="1">
      <c r="A495" s="228">
        <v>492</v>
      </c>
      <c r="B495" s="245" t="s">
        <v>89</v>
      </c>
      <c r="C495" s="246">
        <v>40116</v>
      </c>
      <c r="D495" s="247" t="s">
        <v>333</v>
      </c>
      <c r="E495" s="248">
        <v>252</v>
      </c>
      <c r="F495" s="248">
        <v>1</v>
      </c>
      <c r="G495" s="248">
        <v>13</v>
      </c>
      <c r="H495" s="263">
        <v>1922</v>
      </c>
      <c r="I495" s="258">
        <v>384</v>
      </c>
      <c r="J495" s="259">
        <f>I495/F495</f>
        <v>384</v>
      </c>
      <c r="K495" s="260">
        <f>H495/I495</f>
        <v>5.005208333333333</v>
      </c>
      <c r="L495" s="264">
        <f>1669127.75+948082.25+584112.75-1430.5+253635+167357+9936+0.5+7987+1963+4065+3546+1275+1470+1922</f>
        <v>3653048.75</v>
      </c>
      <c r="M495" s="261">
        <f>200044+117374+72700-112+36636+25117+1706+1163+472+1036+675+224+234+384</f>
        <v>457653</v>
      </c>
      <c r="N495" s="255">
        <f>+L495/M495</f>
        <v>7.982136575090735</v>
      </c>
      <c r="O495" s="256">
        <v>1</v>
      </c>
    </row>
    <row r="496" spans="1:15" ht="12" customHeight="1">
      <c r="A496" s="228">
        <v>493</v>
      </c>
      <c r="B496" s="281" t="s">
        <v>90</v>
      </c>
      <c r="C496" s="265">
        <v>40116</v>
      </c>
      <c r="D496" s="266" t="s">
        <v>349</v>
      </c>
      <c r="E496" s="276">
        <v>252</v>
      </c>
      <c r="F496" s="276">
        <v>3</v>
      </c>
      <c r="G496" s="276">
        <v>10</v>
      </c>
      <c r="H496" s="280">
        <v>3546</v>
      </c>
      <c r="I496" s="282">
        <v>675</v>
      </c>
      <c r="J496" s="301">
        <f>IF(H496&lt;&gt;0,I496/F496,"")</f>
        <v>225</v>
      </c>
      <c r="K496" s="297">
        <f>IF(H496&lt;&gt;0,H496/I496,"")</f>
        <v>5.253333333333333</v>
      </c>
      <c r="L496" s="284">
        <f>1669127.75+948082.25+584112.75-1430.5+253635+167357+9936+0.5+7987+1963+4065+3546</f>
        <v>3648381.75</v>
      </c>
      <c r="M496" s="283">
        <f>200044+117374+72700-112+36636+25117+1706+1163+472+1036+675</f>
        <v>456811</v>
      </c>
      <c r="N496" s="272">
        <f>+L497/M497</f>
        <v>7.984636504989404</v>
      </c>
      <c r="O496" s="262">
        <v>1</v>
      </c>
    </row>
    <row r="497" spans="1:15" ht="12" customHeight="1">
      <c r="A497" s="228">
        <v>494</v>
      </c>
      <c r="B497" s="281" t="s">
        <v>190</v>
      </c>
      <c r="C497" s="265">
        <v>40116</v>
      </c>
      <c r="D497" s="275" t="s">
        <v>349</v>
      </c>
      <c r="E497" s="276">
        <v>252</v>
      </c>
      <c r="F497" s="276">
        <v>3</v>
      </c>
      <c r="G497" s="276">
        <v>12</v>
      </c>
      <c r="H497" s="280">
        <v>1470</v>
      </c>
      <c r="I497" s="268">
        <v>234</v>
      </c>
      <c r="J497" s="296">
        <f>+I497/F497</f>
        <v>78</v>
      </c>
      <c r="K497" s="297">
        <f>+H497/I497</f>
        <v>6.282051282051282</v>
      </c>
      <c r="L497" s="284">
        <f>1669127.75+948082.25+584112.75-1430.5+253635+167357+9936+0.5+7987+1963+4065+3546+1275+1470</f>
        <v>3651126.75</v>
      </c>
      <c r="M497" s="269">
        <f>200044+117374+72700-112+36636+25117+1706+1163+472+1036+675+224+234</f>
        <v>457269</v>
      </c>
      <c r="N497" s="272">
        <f>+L498/M498</f>
        <v>7.985508221471004</v>
      </c>
      <c r="O497" s="274">
        <v>1</v>
      </c>
    </row>
    <row r="498" spans="1:15" ht="12" customHeight="1">
      <c r="A498" s="228">
        <v>495</v>
      </c>
      <c r="B498" s="281" t="s">
        <v>190</v>
      </c>
      <c r="C498" s="265">
        <v>40116</v>
      </c>
      <c r="D498" s="275" t="s">
        <v>349</v>
      </c>
      <c r="E498" s="276">
        <v>252</v>
      </c>
      <c r="F498" s="276">
        <v>2</v>
      </c>
      <c r="G498" s="276">
        <v>11</v>
      </c>
      <c r="H498" s="280">
        <v>1275</v>
      </c>
      <c r="I498" s="282">
        <v>224</v>
      </c>
      <c r="J498" s="283">
        <f>I498/F498</f>
        <v>112</v>
      </c>
      <c r="K498" s="285">
        <f>+H498/I498</f>
        <v>5.691964285714286</v>
      </c>
      <c r="L498" s="284">
        <f>1669127.75+948082.25+584112.75-1430.5+253635+167357+9936+0.5+7987+1963+4065+3546+1275</f>
        <v>3649656.75</v>
      </c>
      <c r="M498" s="283">
        <f>200044+117374+72700-112+36636+25117+1706+1163+472+1036+675+224</f>
        <v>457035</v>
      </c>
      <c r="N498" s="255">
        <f>IF(L499&lt;&gt;0,L499/M499,"")</f>
        <v>7.399431061930736</v>
      </c>
      <c r="O498" s="341">
        <v>1</v>
      </c>
    </row>
    <row r="499" spans="1:15" ht="12" customHeight="1">
      <c r="A499" s="228">
        <v>496</v>
      </c>
      <c r="B499" s="245" t="s">
        <v>191</v>
      </c>
      <c r="C499" s="265">
        <v>40116</v>
      </c>
      <c r="D499" s="275" t="s">
        <v>444</v>
      </c>
      <c r="E499" s="276">
        <v>88</v>
      </c>
      <c r="F499" s="276">
        <v>1</v>
      </c>
      <c r="G499" s="276">
        <v>16</v>
      </c>
      <c r="H499" s="263">
        <v>2644</v>
      </c>
      <c r="I499" s="258">
        <v>513</v>
      </c>
      <c r="J499" s="269">
        <f>IF(H499&lt;&gt;0,I499/F499,"")</f>
        <v>513</v>
      </c>
      <c r="K499" s="270">
        <f>IF(H499&lt;&gt;0,H499/I499,"")</f>
        <v>5.153996101364522</v>
      </c>
      <c r="L499" s="271">
        <f>280880+H499</f>
        <v>283524</v>
      </c>
      <c r="M499" s="269">
        <f>37804+I499</f>
        <v>38317</v>
      </c>
      <c r="N499" s="272">
        <f>IF(L499&lt;&gt;0,L499/M499,"")</f>
        <v>7.399431061930736</v>
      </c>
      <c r="O499" s="367">
        <v>1</v>
      </c>
    </row>
    <row r="500" spans="1:15" ht="12" customHeight="1">
      <c r="A500" s="228">
        <v>497</v>
      </c>
      <c r="B500" s="281" t="s">
        <v>192</v>
      </c>
      <c r="C500" s="265">
        <v>40116</v>
      </c>
      <c r="D500" s="266" t="s">
        <v>418</v>
      </c>
      <c r="E500" s="276">
        <v>88</v>
      </c>
      <c r="F500" s="276">
        <v>2</v>
      </c>
      <c r="G500" s="276">
        <v>12</v>
      </c>
      <c r="H500" s="263">
        <v>1492</v>
      </c>
      <c r="I500" s="258">
        <v>303</v>
      </c>
      <c r="J500" s="259">
        <f>IF(H500&lt;&gt;0,I500/F500,"")</f>
        <v>151.5</v>
      </c>
      <c r="K500" s="260">
        <f>IF(H500&lt;&gt;0,H500/I500,"")</f>
        <v>4.924092409240924</v>
      </c>
      <c r="L500" s="264">
        <v>279977</v>
      </c>
      <c r="M500" s="261">
        <v>37673</v>
      </c>
      <c r="N500" s="299">
        <f>IF(L501&lt;&gt;0,L501/M501,"")</f>
        <v>7.458905029132992</v>
      </c>
      <c r="O500" s="338">
        <v>1</v>
      </c>
    </row>
    <row r="501" spans="1:15" ht="12" customHeight="1">
      <c r="A501" s="228">
        <v>498</v>
      </c>
      <c r="B501" s="245" t="s">
        <v>193</v>
      </c>
      <c r="C501" s="246">
        <v>40116</v>
      </c>
      <c r="D501" s="286" t="s">
        <v>418</v>
      </c>
      <c r="E501" s="248">
        <v>88</v>
      </c>
      <c r="F501" s="248">
        <v>3</v>
      </c>
      <c r="G501" s="248">
        <v>10</v>
      </c>
      <c r="H501" s="294">
        <v>720</v>
      </c>
      <c r="I501" s="300">
        <v>126</v>
      </c>
      <c r="J501" s="301">
        <f>IF(H501&lt;&gt;0,I501/F501,"")</f>
        <v>42</v>
      </c>
      <c r="K501" s="302">
        <f>IF(H501&lt;&gt;0,H501/I501,"")</f>
        <v>5.714285714285714</v>
      </c>
      <c r="L501" s="298">
        <v>277792</v>
      </c>
      <c r="M501" s="283">
        <v>37243</v>
      </c>
      <c r="N501" s="299">
        <f>IF(L502&lt;&gt;0,L502/M502,"")</f>
        <v>7.452100615466952</v>
      </c>
      <c r="O501" s="335">
        <v>1</v>
      </c>
    </row>
    <row r="502" spans="1:15" ht="12" customHeight="1">
      <c r="A502" s="228">
        <v>499</v>
      </c>
      <c r="B502" s="245" t="s">
        <v>192</v>
      </c>
      <c r="C502" s="246">
        <v>40116</v>
      </c>
      <c r="D502" s="286" t="s">
        <v>418</v>
      </c>
      <c r="E502" s="248">
        <v>88</v>
      </c>
      <c r="F502" s="248">
        <v>1</v>
      </c>
      <c r="G502" s="248">
        <v>11</v>
      </c>
      <c r="H502" s="294">
        <v>693</v>
      </c>
      <c r="I502" s="295">
        <v>127</v>
      </c>
      <c r="J502" s="296">
        <f>IF(H502&lt;&gt;0,I502/F502,"")</f>
        <v>127</v>
      </c>
      <c r="K502" s="297">
        <f>IF(H502&lt;&gt;0,H502/I502,"")</f>
        <v>5.456692913385827</v>
      </c>
      <c r="L502" s="298">
        <v>278485</v>
      </c>
      <c r="M502" s="269">
        <v>37370</v>
      </c>
      <c r="N502" s="272">
        <f>L503/M503</f>
        <v>7.430544143762093</v>
      </c>
      <c r="O502" s="338">
        <v>1</v>
      </c>
    </row>
    <row r="503" spans="1:15" ht="12" customHeight="1">
      <c r="A503" s="228">
        <v>500</v>
      </c>
      <c r="B503" s="281" t="s">
        <v>192</v>
      </c>
      <c r="C503" s="265">
        <v>40116</v>
      </c>
      <c r="D503" s="286" t="s">
        <v>418</v>
      </c>
      <c r="E503" s="276">
        <v>88</v>
      </c>
      <c r="F503" s="276">
        <v>1</v>
      </c>
      <c r="G503" s="276">
        <v>13</v>
      </c>
      <c r="H503" s="267">
        <v>370</v>
      </c>
      <c r="I503" s="268">
        <v>56</v>
      </c>
      <c r="J503" s="269">
        <f>I503/F503</f>
        <v>56</v>
      </c>
      <c r="K503" s="270">
        <f>H503/I503</f>
        <v>6.607142857142857</v>
      </c>
      <c r="L503" s="271">
        <v>280347</v>
      </c>
      <c r="M503" s="269">
        <v>37729</v>
      </c>
      <c r="N503" s="272">
        <f>+L504/M504</f>
        <v>7.429901597714528</v>
      </c>
      <c r="O503" s="274">
        <v>1</v>
      </c>
    </row>
    <row r="504" spans="1:15" ht="12" customHeight="1">
      <c r="A504" s="228">
        <v>501</v>
      </c>
      <c r="B504" s="245" t="s">
        <v>194</v>
      </c>
      <c r="C504" s="265">
        <v>40116</v>
      </c>
      <c r="D504" s="275" t="s">
        <v>444</v>
      </c>
      <c r="E504" s="276">
        <v>88</v>
      </c>
      <c r="F504" s="276">
        <v>1</v>
      </c>
      <c r="G504" s="276">
        <v>15</v>
      </c>
      <c r="H504" s="263">
        <v>305</v>
      </c>
      <c r="I504" s="258">
        <v>43</v>
      </c>
      <c r="J504" s="269">
        <f>I504/F504</f>
        <v>43</v>
      </c>
      <c r="K504" s="270">
        <f>H504/I504</f>
        <v>7.093023255813954</v>
      </c>
      <c r="L504" s="271">
        <f>280575+H504</f>
        <v>280880</v>
      </c>
      <c r="M504" s="269">
        <f>37761+I504</f>
        <v>37804</v>
      </c>
      <c r="N504" s="272">
        <f>+L504/M504</f>
        <v>7.429901597714528</v>
      </c>
      <c r="O504" s="244">
        <v>1</v>
      </c>
    </row>
    <row r="505" spans="1:15" ht="12" customHeight="1">
      <c r="A505" s="228">
        <v>502</v>
      </c>
      <c r="B505" s="245" t="s">
        <v>191</v>
      </c>
      <c r="C505" s="265">
        <v>40116</v>
      </c>
      <c r="D505" s="247" t="s">
        <v>444</v>
      </c>
      <c r="E505" s="276">
        <v>88</v>
      </c>
      <c r="F505" s="276">
        <v>1</v>
      </c>
      <c r="G505" s="276">
        <v>14</v>
      </c>
      <c r="H505" s="267">
        <v>228</v>
      </c>
      <c r="I505" s="268">
        <v>32</v>
      </c>
      <c r="J505" s="269">
        <f>IF(H505&lt;&gt;0,I505/F505,"")</f>
        <v>32</v>
      </c>
      <c r="K505" s="270">
        <f>IF(H505&lt;&gt;0,H505/I505,"")</f>
        <v>7.125</v>
      </c>
      <c r="L505" s="271">
        <f>280347+H505</f>
        <v>280575</v>
      </c>
      <c r="M505" s="269">
        <f>37729+I505</f>
        <v>37761</v>
      </c>
      <c r="N505" s="272">
        <f>IF(L505&lt;&gt;0,L505/M505,"")</f>
        <v>7.430285214904266</v>
      </c>
      <c r="O505" s="256">
        <v>1</v>
      </c>
    </row>
    <row r="506" spans="1:15" ht="12" customHeight="1">
      <c r="A506" s="228">
        <v>503</v>
      </c>
      <c r="B506" s="281" t="s">
        <v>427</v>
      </c>
      <c r="C506" s="265">
        <v>39633</v>
      </c>
      <c r="D506" s="344" t="s">
        <v>320</v>
      </c>
      <c r="E506" s="276">
        <v>123</v>
      </c>
      <c r="F506" s="276">
        <v>1</v>
      </c>
      <c r="G506" s="276">
        <v>86</v>
      </c>
      <c r="H506" s="280">
        <v>609</v>
      </c>
      <c r="I506" s="282">
        <v>280</v>
      </c>
      <c r="J506" s="283">
        <f>I506/F506</f>
        <v>280</v>
      </c>
      <c r="K506" s="285">
        <f>H506/I506</f>
        <v>2.175</v>
      </c>
      <c r="L506" s="284">
        <v>1546352</v>
      </c>
      <c r="M506" s="283">
        <v>214872</v>
      </c>
      <c r="N506" s="299">
        <f>IF(L507&lt;&gt;0,L507/M507,"")</f>
        <v>7.896602295688655</v>
      </c>
      <c r="O506" s="341">
        <v>1</v>
      </c>
    </row>
    <row r="507" spans="1:15" ht="12" customHeight="1">
      <c r="A507" s="228">
        <v>504</v>
      </c>
      <c r="B507" s="281" t="s">
        <v>195</v>
      </c>
      <c r="C507" s="265">
        <v>40137</v>
      </c>
      <c r="D507" s="266" t="s">
        <v>349</v>
      </c>
      <c r="E507" s="276">
        <v>311</v>
      </c>
      <c r="F507" s="276">
        <v>3</v>
      </c>
      <c r="G507" s="276">
        <v>7</v>
      </c>
      <c r="H507" s="280">
        <v>39718</v>
      </c>
      <c r="I507" s="282">
        <v>6551</v>
      </c>
      <c r="J507" s="301">
        <f>IF(H507&lt;&gt;0,I507/F507,"")</f>
        <v>2183.6666666666665</v>
      </c>
      <c r="K507" s="297">
        <f>IF(H507&lt;&gt;0,H507/I507,"")</f>
        <v>6.06289116165471</v>
      </c>
      <c r="L507" s="284">
        <f>3304754.25+2499078+631694+23+231806.5+262+75092+83827.5+39718+180</f>
        <v>6866435.25</v>
      </c>
      <c r="M507" s="283">
        <f>413699+312050+80320+31253+42+12537-15+13061+6551+45</f>
        <v>869543</v>
      </c>
      <c r="N507" s="272">
        <f>+L508/M508</f>
        <v>7.890849910722461</v>
      </c>
      <c r="O507" s="274">
        <v>1</v>
      </c>
    </row>
    <row r="508" spans="1:15" ht="12" customHeight="1">
      <c r="A508" s="228">
        <v>505</v>
      </c>
      <c r="B508" s="324" t="s">
        <v>195</v>
      </c>
      <c r="C508" s="308">
        <v>40137</v>
      </c>
      <c r="D508" s="336" t="s">
        <v>349</v>
      </c>
      <c r="E508" s="287">
        <v>311</v>
      </c>
      <c r="F508" s="287">
        <v>1</v>
      </c>
      <c r="G508" s="287">
        <v>10</v>
      </c>
      <c r="H508" s="288">
        <v>18992</v>
      </c>
      <c r="I508" s="289">
        <v>2713</v>
      </c>
      <c r="J508" s="283">
        <f>I508/F508</f>
        <v>2713</v>
      </c>
      <c r="K508" s="285">
        <f>H508/I508</f>
        <v>7.0003685956505715</v>
      </c>
      <c r="L508" s="284">
        <f>3304754.25+2499078+631694+23+231806.5+262+75092+83827.5+39718+180+150+8500+0.5+18992</f>
        <v>6894077.75</v>
      </c>
      <c r="M508" s="283">
        <f>413699+312050+80320+31253+42+12537-15+13061+6551+45+15+1409+2713</f>
        <v>873680</v>
      </c>
      <c r="N508" s="299">
        <f>IF(L509&lt;&gt;0,L509/M509,"")</f>
        <v>7.884094330584733</v>
      </c>
      <c r="O508" s="262">
        <v>1</v>
      </c>
    </row>
    <row r="509" spans="1:15" ht="12" customHeight="1">
      <c r="A509" s="228">
        <v>506</v>
      </c>
      <c r="B509" s="245" t="s">
        <v>196</v>
      </c>
      <c r="C509" s="265">
        <v>40137</v>
      </c>
      <c r="D509" s="275" t="s">
        <v>333</v>
      </c>
      <c r="E509" s="276">
        <v>311</v>
      </c>
      <c r="F509" s="276">
        <v>1</v>
      </c>
      <c r="G509" s="276">
        <v>12</v>
      </c>
      <c r="H509" s="263">
        <v>16473</v>
      </c>
      <c r="I509" s="258">
        <v>2791</v>
      </c>
      <c r="J509" s="269">
        <f>I509/F509</f>
        <v>2791</v>
      </c>
      <c r="K509" s="270">
        <f>H509/I509</f>
        <v>5.902185596560373</v>
      </c>
      <c r="L509" s="271">
        <f>3304754.25+2499078+631694+23+231806.5+262+75092+83827.5+39718+180+150+8500+0.5+18992+2032+16743</f>
        <v>6912852.75</v>
      </c>
      <c r="M509" s="269">
        <f>413699+312050+80320+31253+42+12537-15+13061+6551+45+15+1409+2713+339+2791</f>
        <v>876810</v>
      </c>
      <c r="N509" s="272">
        <f>+L509/M509</f>
        <v>7.884094330584733</v>
      </c>
      <c r="O509" s="262">
        <v>1</v>
      </c>
    </row>
    <row r="510" spans="1:15" ht="12" customHeight="1">
      <c r="A510" s="228">
        <v>507</v>
      </c>
      <c r="B510" s="281" t="s">
        <v>195</v>
      </c>
      <c r="C510" s="265">
        <v>40137</v>
      </c>
      <c r="D510" s="275" t="s">
        <v>349</v>
      </c>
      <c r="E510" s="276">
        <v>311</v>
      </c>
      <c r="F510" s="276">
        <v>2</v>
      </c>
      <c r="G510" s="276">
        <v>9</v>
      </c>
      <c r="H510" s="280">
        <v>8500.5</v>
      </c>
      <c r="I510" s="268">
        <v>1409</v>
      </c>
      <c r="J510" s="296">
        <f>+I510/F510</f>
        <v>704.5</v>
      </c>
      <c r="K510" s="297">
        <f>+H510/I510</f>
        <v>6.033002129169624</v>
      </c>
      <c r="L510" s="284">
        <f>3304754.25+2499078+631694+23+231806.5+262+75092+83827.5+39718+180+150+8500+0.5</f>
        <v>6875085.75</v>
      </c>
      <c r="M510" s="269">
        <f>413699+312050+80320+31253+42+12537-15+13061+6551+45+15+1409</f>
        <v>870967</v>
      </c>
      <c r="N510" s="272">
        <f>+L511/M511</f>
        <v>7.89011423092633</v>
      </c>
      <c r="O510" s="256">
        <v>1</v>
      </c>
    </row>
    <row r="511" spans="1:15" ht="12" customHeight="1">
      <c r="A511" s="228">
        <v>508</v>
      </c>
      <c r="B511" s="281" t="s">
        <v>197</v>
      </c>
      <c r="C511" s="265">
        <v>40137</v>
      </c>
      <c r="D511" s="247" t="s">
        <v>333</v>
      </c>
      <c r="E511" s="276">
        <v>311</v>
      </c>
      <c r="F511" s="276">
        <v>1</v>
      </c>
      <c r="G511" s="276">
        <v>11</v>
      </c>
      <c r="H511" s="280">
        <v>2032</v>
      </c>
      <c r="I511" s="282">
        <v>339</v>
      </c>
      <c r="J511" s="283">
        <f>I511/F511</f>
        <v>339</v>
      </c>
      <c r="K511" s="285">
        <f>H511/I511</f>
        <v>5.994100294985251</v>
      </c>
      <c r="L511" s="284">
        <f>3304754.25+2499078+631694+23+231806.5+262+75092+83827.5+39718+180+150+8500+0.5+18992+2032</f>
        <v>6896109.75</v>
      </c>
      <c r="M511" s="283">
        <f>413699+312050+80320+31253+42+12537-15+13061+6551+45+15+1409+2713+339</f>
        <v>874019</v>
      </c>
      <c r="N511" s="272">
        <f>+L511/M511</f>
        <v>7.89011423092633</v>
      </c>
      <c r="O511" s="262">
        <v>1</v>
      </c>
    </row>
    <row r="512" spans="1:15" ht="12" customHeight="1">
      <c r="A512" s="228">
        <v>509</v>
      </c>
      <c r="B512" s="281" t="s">
        <v>195</v>
      </c>
      <c r="C512" s="265">
        <v>40137</v>
      </c>
      <c r="D512" s="275" t="s">
        <v>349</v>
      </c>
      <c r="E512" s="276">
        <v>311</v>
      </c>
      <c r="F512" s="276">
        <v>1</v>
      </c>
      <c r="G512" s="276">
        <v>8</v>
      </c>
      <c r="H512" s="280">
        <v>150</v>
      </c>
      <c r="I512" s="282">
        <v>15</v>
      </c>
      <c r="J512" s="283">
        <f>I512/F512</f>
        <v>15</v>
      </c>
      <c r="K512" s="285">
        <f>+H512/I512</f>
        <v>10</v>
      </c>
      <c r="L512" s="284">
        <f>3304754.25+2499078+631694+23+231806.5+262+75092+83827.5+39718+180+150</f>
        <v>6866585.25</v>
      </c>
      <c r="M512" s="283">
        <f>413699+312050+80320+31253+42+12537-15+13061+6551+45+15</f>
        <v>869558</v>
      </c>
      <c r="N512" s="272">
        <f>+L513/M513</f>
        <v>8.407637883686638</v>
      </c>
      <c r="O512" s="262">
        <v>1</v>
      </c>
    </row>
    <row r="513" spans="1:15" ht="12" customHeight="1">
      <c r="A513" s="228">
        <v>510</v>
      </c>
      <c r="B513" s="245" t="s">
        <v>342</v>
      </c>
      <c r="C513" s="246">
        <v>40067</v>
      </c>
      <c r="D513" s="286" t="s">
        <v>418</v>
      </c>
      <c r="E513" s="248">
        <v>105</v>
      </c>
      <c r="F513" s="248">
        <v>10</v>
      </c>
      <c r="G513" s="248">
        <v>19</v>
      </c>
      <c r="H513" s="294">
        <v>7181.5</v>
      </c>
      <c r="I513" s="295">
        <v>1825</v>
      </c>
      <c r="J513" s="296">
        <f>IF(H513&lt;&gt;0,I513/F513,"")</f>
        <v>182.5</v>
      </c>
      <c r="K513" s="297">
        <f>IF(H513&lt;&gt;0,H513/I513,"")</f>
        <v>3.935068493150685</v>
      </c>
      <c r="L513" s="298">
        <v>621501</v>
      </c>
      <c r="M513" s="269">
        <v>73921</v>
      </c>
      <c r="N513" s="299">
        <f>IF(L514&lt;&gt;0,L514/M514,"")</f>
        <v>8.520854138925877</v>
      </c>
      <c r="O513" s="262"/>
    </row>
    <row r="514" spans="1:15" ht="12" customHeight="1">
      <c r="A514" s="228">
        <v>511</v>
      </c>
      <c r="B514" s="245" t="s">
        <v>342</v>
      </c>
      <c r="C514" s="246">
        <v>40067</v>
      </c>
      <c r="D514" s="286" t="s">
        <v>418</v>
      </c>
      <c r="E514" s="248">
        <v>105</v>
      </c>
      <c r="F514" s="248">
        <v>9</v>
      </c>
      <c r="G514" s="248">
        <v>18</v>
      </c>
      <c r="H514" s="294">
        <v>4342.75</v>
      </c>
      <c r="I514" s="300">
        <v>845</v>
      </c>
      <c r="J514" s="301">
        <f>IF(H514&lt;&gt;0,I514/F514,"")</f>
        <v>93.88888888888889</v>
      </c>
      <c r="K514" s="302">
        <f>IF(H514&lt;&gt;0,H514/I514,"")</f>
        <v>5.139349112426036</v>
      </c>
      <c r="L514" s="298">
        <v>614319.5</v>
      </c>
      <c r="M514" s="283">
        <v>72096</v>
      </c>
      <c r="N514" s="272">
        <f>L515/M515</f>
        <v>8.290251909595062</v>
      </c>
      <c r="O514" s="338"/>
    </row>
    <row r="515" spans="1:15" ht="12" customHeight="1">
      <c r="A515" s="228">
        <v>512</v>
      </c>
      <c r="B515" s="324" t="s">
        <v>342</v>
      </c>
      <c r="C515" s="308">
        <v>40067</v>
      </c>
      <c r="D515" s="336" t="s">
        <v>418</v>
      </c>
      <c r="E515" s="287">
        <v>105</v>
      </c>
      <c r="F515" s="287">
        <v>1</v>
      </c>
      <c r="G515" s="287">
        <v>25</v>
      </c>
      <c r="H515" s="288">
        <v>3920</v>
      </c>
      <c r="I515" s="289">
        <v>784</v>
      </c>
      <c r="J515" s="283">
        <f>I515/F515</f>
        <v>784</v>
      </c>
      <c r="K515" s="285">
        <f>H515/I515</f>
        <v>5</v>
      </c>
      <c r="L515" s="284">
        <v>633839.5</v>
      </c>
      <c r="M515" s="283">
        <v>76456</v>
      </c>
      <c r="N515" s="255">
        <f>IF(L516&lt;&gt;0,L516/M516,"")</f>
        <v>8.35497572815534</v>
      </c>
      <c r="O515" s="338"/>
    </row>
    <row r="516" spans="1:15" ht="12" customHeight="1">
      <c r="A516" s="228">
        <v>513</v>
      </c>
      <c r="B516" s="281" t="s">
        <v>342</v>
      </c>
      <c r="C516" s="265">
        <v>40067</v>
      </c>
      <c r="D516" s="286" t="s">
        <v>418</v>
      </c>
      <c r="E516" s="276">
        <v>105</v>
      </c>
      <c r="F516" s="276">
        <v>8</v>
      </c>
      <c r="G516" s="276">
        <v>21</v>
      </c>
      <c r="H516" s="267">
        <v>2959.5</v>
      </c>
      <c r="I516" s="268">
        <v>645</v>
      </c>
      <c r="J516" s="269">
        <f>I516/F516</f>
        <v>80.625</v>
      </c>
      <c r="K516" s="270">
        <f>H516/I516</f>
        <v>4.588372093023255</v>
      </c>
      <c r="L516" s="271">
        <v>626489.5</v>
      </c>
      <c r="M516" s="269">
        <v>74984</v>
      </c>
      <c r="N516" s="255">
        <f>IF(L517&lt;&gt;0,L517/M517,"")</f>
        <v>8.236854288029011</v>
      </c>
      <c r="O516" s="338"/>
    </row>
    <row r="517" spans="1:15" ht="12" customHeight="1">
      <c r="A517" s="228">
        <v>514</v>
      </c>
      <c r="B517" s="245" t="s">
        <v>342</v>
      </c>
      <c r="C517" s="265">
        <v>40067</v>
      </c>
      <c r="D517" s="275" t="s">
        <v>418</v>
      </c>
      <c r="E517" s="276">
        <v>105</v>
      </c>
      <c r="F517" s="276">
        <v>3</v>
      </c>
      <c r="G517" s="276">
        <v>31</v>
      </c>
      <c r="H517" s="280">
        <v>2819</v>
      </c>
      <c r="I517" s="268">
        <v>459</v>
      </c>
      <c r="J517" s="269">
        <f>I517/F517</f>
        <v>153</v>
      </c>
      <c r="K517" s="270">
        <f>H517/I517</f>
        <v>6.14161220043573</v>
      </c>
      <c r="L517" s="271">
        <v>640522.5</v>
      </c>
      <c r="M517" s="269">
        <v>77763</v>
      </c>
      <c r="N517" s="272">
        <f>+L517/M517</f>
        <v>8.236854288029011</v>
      </c>
      <c r="O517" s="262">
        <v>1</v>
      </c>
    </row>
    <row r="518" spans="1:15" ht="12" customHeight="1">
      <c r="A518" s="228">
        <v>515</v>
      </c>
      <c r="B518" s="245" t="s">
        <v>342</v>
      </c>
      <c r="C518" s="246">
        <v>40067</v>
      </c>
      <c r="D518" s="286" t="s">
        <v>444</v>
      </c>
      <c r="E518" s="248">
        <v>105</v>
      </c>
      <c r="F518" s="248">
        <v>1</v>
      </c>
      <c r="G518" s="248">
        <v>34</v>
      </c>
      <c r="H518" s="342">
        <v>2140</v>
      </c>
      <c r="I518" s="295">
        <v>428</v>
      </c>
      <c r="J518" s="296">
        <f>IF(H518&lt;&gt;0,I518/F518,"")</f>
        <v>428</v>
      </c>
      <c r="K518" s="297">
        <f>IF(H518&lt;&gt;0,H518/I518,"")</f>
        <v>5</v>
      </c>
      <c r="L518" s="343">
        <v>646348.5</v>
      </c>
      <c r="M518" s="269">
        <v>78607</v>
      </c>
      <c r="N518" s="299">
        <f>IF(L518&lt;&gt;0,L518/M518,"")</f>
        <v>8.222531072296361</v>
      </c>
      <c r="O518" s="262">
        <v>1</v>
      </c>
    </row>
    <row r="519" spans="1:15" ht="12" customHeight="1">
      <c r="A519" s="228">
        <v>516</v>
      </c>
      <c r="B519" s="281" t="s">
        <v>342</v>
      </c>
      <c r="C519" s="265">
        <v>40067</v>
      </c>
      <c r="D519" s="266" t="s">
        <v>418</v>
      </c>
      <c r="E519" s="276">
        <v>105</v>
      </c>
      <c r="F519" s="276">
        <v>8</v>
      </c>
      <c r="G519" s="276">
        <v>20</v>
      </c>
      <c r="H519" s="263">
        <v>2029</v>
      </c>
      <c r="I519" s="258">
        <v>418</v>
      </c>
      <c r="J519" s="259">
        <f>IF(H519&lt;&gt;0,I519/F519,"")</f>
        <v>52.25</v>
      </c>
      <c r="K519" s="260">
        <f>IF(H519&lt;&gt;0,H519/I519,"")</f>
        <v>4.854066985645933</v>
      </c>
      <c r="L519" s="264">
        <v>623530</v>
      </c>
      <c r="M519" s="261">
        <v>74339</v>
      </c>
      <c r="N519" s="272">
        <f>L520/M520</f>
        <v>8.236131588056564</v>
      </c>
      <c r="O519" s="262">
        <v>1</v>
      </c>
    </row>
    <row r="520" spans="1:15" ht="12" customHeight="1">
      <c r="A520" s="228">
        <v>517</v>
      </c>
      <c r="B520" s="245" t="s">
        <v>342</v>
      </c>
      <c r="C520" s="265">
        <v>40067</v>
      </c>
      <c r="D520" s="275" t="s">
        <v>418</v>
      </c>
      <c r="E520" s="276">
        <v>105</v>
      </c>
      <c r="F520" s="276">
        <v>3</v>
      </c>
      <c r="G520" s="276">
        <v>32</v>
      </c>
      <c r="H520" s="263">
        <v>1904</v>
      </c>
      <c r="I520" s="258">
        <v>238</v>
      </c>
      <c r="J520" s="269">
        <f>IF(H520&lt;&gt;0,I520/F520,"")</f>
        <v>79.33333333333333</v>
      </c>
      <c r="K520" s="270">
        <f>IF(H520&lt;&gt;0,H520/I520,"")</f>
        <v>8</v>
      </c>
      <c r="L520" s="271">
        <f>640522.5+1904</f>
        <v>642426.5</v>
      </c>
      <c r="M520" s="269">
        <f>77763+238</f>
        <v>78001</v>
      </c>
      <c r="N520" s="272">
        <f>IF(L520&lt;&gt;0,L520/M520,"")</f>
        <v>8.236131588056564</v>
      </c>
      <c r="O520" s="262">
        <v>1</v>
      </c>
    </row>
    <row r="521" spans="1:15" ht="12" customHeight="1">
      <c r="A521" s="228">
        <v>518</v>
      </c>
      <c r="B521" s="245" t="s">
        <v>342</v>
      </c>
      <c r="C521" s="265">
        <v>40067</v>
      </c>
      <c r="D521" s="275" t="s">
        <v>418</v>
      </c>
      <c r="E521" s="276">
        <v>105</v>
      </c>
      <c r="F521" s="276">
        <v>1</v>
      </c>
      <c r="G521" s="276">
        <v>33</v>
      </c>
      <c r="H521" s="263">
        <v>1782</v>
      </c>
      <c r="I521" s="258">
        <v>178</v>
      </c>
      <c r="J521" s="269">
        <f>I521/F521</f>
        <v>178</v>
      </c>
      <c r="K521" s="270">
        <f>H521/I521</f>
        <v>10.01123595505618</v>
      </c>
      <c r="L521" s="271">
        <v>644208.5</v>
      </c>
      <c r="M521" s="269">
        <v>78179</v>
      </c>
      <c r="N521" s="272">
        <f>+L521/M521</f>
        <v>8.24017319228949</v>
      </c>
      <c r="O521" s="274"/>
    </row>
    <row r="522" spans="1:15" ht="12" customHeight="1">
      <c r="A522" s="228">
        <v>519</v>
      </c>
      <c r="B522" s="281" t="s">
        <v>342</v>
      </c>
      <c r="C522" s="265">
        <v>40067</v>
      </c>
      <c r="D522" s="286" t="s">
        <v>418</v>
      </c>
      <c r="E522" s="276">
        <v>105</v>
      </c>
      <c r="F522" s="276">
        <v>8</v>
      </c>
      <c r="G522" s="276">
        <v>22</v>
      </c>
      <c r="H522" s="267">
        <v>1703</v>
      </c>
      <c r="I522" s="268">
        <v>277</v>
      </c>
      <c r="J522" s="269">
        <f>I522/F522</f>
        <v>34.625</v>
      </c>
      <c r="K522" s="270">
        <f>+H522/I522</f>
        <v>6.148014440433213</v>
      </c>
      <c r="L522" s="271">
        <v>628192.5</v>
      </c>
      <c r="M522" s="269">
        <v>75261</v>
      </c>
      <c r="N522" s="272">
        <f>+L523/M523</f>
        <v>8.207893172070898</v>
      </c>
      <c r="O522" s="274"/>
    </row>
    <row r="523" spans="1:15" ht="12" customHeight="1">
      <c r="A523" s="228">
        <v>520</v>
      </c>
      <c r="B523" s="245" t="s">
        <v>342</v>
      </c>
      <c r="C523" s="265">
        <v>40067</v>
      </c>
      <c r="D523" s="247" t="s">
        <v>444</v>
      </c>
      <c r="E523" s="276">
        <v>105</v>
      </c>
      <c r="F523" s="276">
        <v>2</v>
      </c>
      <c r="G523" s="276">
        <v>40</v>
      </c>
      <c r="H523" s="267">
        <v>1272</v>
      </c>
      <c r="I523" s="268">
        <v>250</v>
      </c>
      <c r="J523" s="269">
        <f>IF(H523&lt;&gt;0,I523/F523,"")</f>
        <v>125</v>
      </c>
      <c r="K523" s="270">
        <f>IF(H523&lt;&gt;0,H523/I523,"")</f>
        <v>5.088</v>
      </c>
      <c r="L523" s="271">
        <f>647504.5+H523</f>
        <v>648776.5</v>
      </c>
      <c r="M523" s="269">
        <f>78793+I523</f>
        <v>79043</v>
      </c>
      <c r="N523" s="272">
        <f>IF(L523&lt;&gt;0,L523/M523,"")</f>
        <v>8.207893172070898</v>
      </c>
      <c r="O523" s="262"/>
    </row>
    <row r="524" spans="1:15" ht="12" customHeight="1">
      <c r="A524" s="228">
        <v>521</v>
      </c>
      <c r="B524" s="245" t="s">
        <v>342</v>
      </c>
      <c r="C524" s="246">
        <v>40067</v>
      </c>
      <c r="D524" s="247" t="s">
        <v>444</v>
      </c>
      <c r="E524" s="248">
        <v>105</v>
      </c>
      <c r="F524" s="248">
        <v>1</v>
      </c>
      <c r="G524" s="248">
        <v>44</v>
      </c>
      <c r="H524" s="263">
        <v>1223</v>
      </c>
      <c r="I524" s="258">
        <v>202</v>
      </c>
      <c r="J524" s="259">
        <f>IF(H524&lt;&gt;0,I524/F524,"")</f>
        <v>202</v>
      </c>
      <c r="K524" s="260">
        <f>IF(H524&lt;&gt;0,H524/I524,"")</f>
        <v>6.054455445544554</v>
      </c>
      <c r="L524" s="264">
        <f>649040.5+391+1223</f>
        <v>650654.5</v>
      </c>
      <c r="M524" s="261">
        <f>79080+64+202</f>
        <v>79346</v>
      </c>
      <c r="N524" s="255">
        <f>+L524/M524</f>
        <v>8.200218032414993</v>
      </c>
      <c r="O524" s="341"/>
    </row>
    <row r="525" spans="1:15" ht="12" customHeight="1">
      <c r="A525" s="228">
        <v>522</v>
      </c>
      <c r="B525" s="281" t="s">
        <v>342</v>
      </c>
      <c r="C525" s="308">
        <v>40067</v>
      </c>
      <c r="D525" s="336" t="s">
        <v>418</v>
      </c>
      <c r="E525" s="287">
        <v>105</v>
      </c>
      <c r="F525" s="287">
        <v>1</v>
      </c>
      <c r="G525" s="287">
        <v>24</v>
      </c>
      <c r="H525" s="288">
        <v>1164</v>
      </c>
      <c r="I525" s="289">
        <v>332</v>
      </c>
      <c r="J525" s="283">
        <f>IF(H525&lt;&gt;0,I525/F525,"")</f>
        <v>332</v>
      </c>
      <c r="K525" s="285">
        <f>H525/I525</f>
        <v>3.5060240963855422</v>
      </c>
      <c r="L525" s="284">
        <v>629919.5</v>
      </c>
      <c r="M525" s="283">
        <v>75672</v>
      </c>
      <c r="N525" s="299">
        <f>IF(L526&lt;&gt;0,L526/M526,"")</f>
        <v>8.266026140733812</v>
      </c>
      <c r="O525" s="262"/>
    </row>
    <row r="526" spans="1:15" ht="12" customHeight="1">
      <c r="A526" s="228">
        <v>523</v>
      </c>
      <c r="B526" s="245" t="s">
        <v>342</v>
      </c>
      <c r="C526" s="265">
        <v>40067</v>
      </c>
      <c r="D526" s="336" t="s">
        <v>418</v>
      </c>
      <c r="E526" s="287">
        <v>105</v>
      </c>
      <c r="F526" s="287">
        <v>3</v>
      </c>
      <c r="G526" s="287">
        <v>28</v>
      </c>
      <c r="H526" s="288">
        <v>1086</v>
      </c>
      <c r="I526" s="289">
        <v>239</v>
      </c>
      <c r="J526" s="283">
        <f>I526/F526</f>
        <v>79.66666666666667</v>
      </c>
      <c r="K526" s="285">
        <f>+H526/I526</f>
        <v>4.543933054393306</v>
      </c>
      <c r="L526" s="284">
        <v>636219.5</v>
      </c>
      <c r="M526" s="283">
        <v>76968</v>
      </c>
      <c r="N526" s="290">
        <f>+L526/M526</f>
        <v>8.266026140733812</v>
      </c>
      <c r="O526" s="345"/>
    </row>
    <row r="527" spans="1:15" ht="12" customHeight="1">
      <c r="A527" s="228">
        <v>524</v>
      </c>
      <c r="B527" s="245" t="s">
        <v>342</v>
      </c>
      <c r="C527" s="265">
        <v>40067</v>
      </c>
      <c r="D527" s="336" t="s">
        <v>418</v>
      </c>
      <c r="E527" s="287">
        <v>105</v>
      </c>
      <c r="F527" s="287">
        <v>2</v>
      </c>
      <c r="G527" s="287">
        <v>30</v>
      </c>
      <c r="H527" s="288">
        <v>1011</v>
      </c>
      <c r="I527" s="326">
        <v>195</v>
      </c>
      <c r="J527" s="269">
        <f>IF(H527&lt;&gt;0,I527/F527,"")</f>
        <v>97.5</v>
      </c>
      <c r="K527" s="270">
        <f>IF(H527&lt;&gt;0,H527/I527,"")</f>
        <v>5.184615384615385</v>
      </c>
      <c r="L527" s="271">
        <v>637703.5</v>
      </c>
      <c r="M527" s="269">
        <v>77304</v>
      </c>
      <c r="N527" s="272">
        <f>IF(L527&lt;&gt;0,L527/M527,"")</f>
        <v>8.24929499120356</v>
      </c>
      <c r="O527" s="340"/>
    </row>
    <row r="528" spans="1:15" ht="12" customHeight="1">
      <c r="A528" s="228">
        <v>525</v>
      </c>
      <c r="B528" s="245" t="s">
        <v>342</v>
      </c>
      <c r="C528" s="246">
        <v>40067</v>
      </c>
      <c r="D528" s="257" t="s">
        <v>418</v>
      </c>
      <c r="E528" s="248">
        <v>105</v>
      </c>
      <c r="F528" s="248">
        <v>7</v>
      </c>
      <c r="G528" s="248">
        <v>17</v>
      </c>
      <c r="H528" s="294">
        <v>810</v>
      </c>
      <c r="I528" s="300">
        <v>154</v>
      </c>
      <c r="J528" s="301">
        <f>IF(H528&lt;&gt;0,I528/F528,"")</f>
        <v>22</v>
      </c>
      <c r="K528" s="297">
        <f>IF(H528&lt;&gt;0,H528/I528,"")</f>
        <v>5.259740259740259</v>
      </c>
      <c r="L528" s="298">
        <v>609976.75</v>
      </c>
      <c r="M528" s="283">
        <v>71251</v>
      </c>
      <c r="N528" s="272">
        <f>IF(L529&lt;&gt;0,L529/M529,"")</f>
        <v>8.28410945312602</v>
      </c>
      <c r="O528" s="340"/>
    </row>
    <row r="529" spans="1:15" ht="12" customHeight="1">
      <c r="A529" s="228">
        <v>526</v>
      </c>
      <c r="B529" s="245" t="s">
        <v>342</v>
      </c>
      <c r="C529" s="246">
        <v>40067</v>
      </c>
      <c r="D529" s="337" t="s">
        <v>418</v>
      </c>
      <c r="E529" s="248">
        <v>105</v>
      </c>
      <c r="F529" s="248">
        <v>1</v>
      </c>
      <c r="G529" s="248">
        <v>26</v>
      </c>
      <c r="H529" s="249">
        <v>715</v>
      </c>
      <c r="I529" s="258">
        <v>143</v>
      </c>
      <c r="J529" s="259">
        <f>IF(H529&lt;&gt;0,I529/F529,"")</f>
        <v>143</v>
      </c>
      <c r="K529" s="260">
        <f>IF(H529&lt;&gt;0,H529/I529,"")</f>
        <v>5</v>
      </c>
      <c r="L529" s="253">
        <v>634554.5</v>
      </c>
      <c r="M529" s="261">
        <v>76599</v>
      </c>
      <c r="N529" s="255">
        <f>L531/M531</f>
        <v>8.277619935096247</v>
      </c>
      <c r="O529" s="346"/>
    </row>
    <row r="530" spans="1:15" ht="12" customHeight="1">
      <c r="A530" s="228">
        <v>527</v>
      </c>
      <c r="B530" s="245" t="s">
        <v>342</v>
      </c>
      <c r="C530" s="246">
        <v>40067</v>
      </c>
      <c r="D530" s="337" t="s">
        <v>418</v>
      </c>
      <c r="E530" s="248">
        <v>105</v>
      </c>
      <c r="F530" s="248">
        <v>2</v>
      </c>
      <c r="G530" s="248">
        <v>45</v>
      </c>
      <c r="H530" s="249">
        <v>705</v>
      </c>
      <c r="I530" s="258">
        <v>109</v>
      </c>
      <c r="J530" s="259">
        <f>IF(H530&lt;&gt;0,I530/F530,"")</f>
        <v>54.5</v>
      </c>
      <c r="K530" s="260">
        <f>IF(H530&lt;&gt;0,H530/I530,"")</f>
        <v>6.467889908256881</v>
      </c>
      <c r="L530" s="253">
        <v>651359.5</v>
      </c>
      <c r="M530" s="261">
        <v>79455</v>
      </c>
      <c r="N530" s="255">
        <f>L532/M532</f>
        <v>8.34557340058402</v>
      </c>
      <c r="O530" s="262"/>
    </row>
    <row r="531" spans="1:15" ht="12" customHeight="1">
      <c r="A531" s="228">
        <v>528</v>
      </c>
      <c r="B531" s="324" t="s">
        <v>342</v>
      </c>
      <c r="C531" s="265">
        <v>40067</v>
      </c>
      <c r="D531" s="336" t="s">
        <v>418</v>
      </c>
      <c r="E531" s="287">
        <v>105</v>
      </c>
      <c r="F531" s="287">
        <v>2</v>
      </c>
      <c r="G531" s="287">
        <v>27</v>
      </c>
      <c r="H531" s="288">
        <v>579</v>
      </c>
      <c r="I531" s="289">
        <v>130</v>
      </c>
      <c r="J531" s="283">
        <f>I531/F531</f>
        <v>65</v>
      </c>
      <c r="K531" s="285">
        <f>H531/I531</f>
        <v>4.453846153846154</v>
      </c>
      <c r="L531" s="284">
        <v>635133.5</v>
      </c>
      <c r="M531" s="283">
        <v>76729</v>
      </c>
      <c r="N531" s="290">
        <f>+L531/M531</f>
        <v>8.277619935096247</v>
      </c>
      <c r="O531" s="262"/>
    </row>
    <row r="532" spans="1:15" ht="12" customHeight="1">
      <c r="A532" s="228">
        <v>529</v>
      </c>
      <c r="B532" s="281" t="s">
        <v>342</v>
      </c>
      <c r="C532" s="265">
        <v>40067</v>
      </c>
      <c r="D532" s="286" t="s">
        <v>418</v>
      </c>
      <c r="E532" s="276">
        <v>105</v>
      </c>
      <c r="F532" s="276">
        <v>3</v>
      </c>
      <c r="G532" s="276">
        <v>23</v>
      </c>
      <c r="H532" s="280">
        <v>563</v>
      </c>
      <c r="I532" s="282">
        <v>79</v>
      </c>
      <c r="J532" s="283">
        <f aca="true" t="shared" si="42" ref="J532:J540">IF(H532&lt;&gt;0,I532/F532,"")</f>
        <v>26.333333333333332</v>
      </c>
      <c r="K532" s="285">
        <f aca="true" t="shared" si="43" ref="K532:K540">IF(H532&lt;&gt;0,H532/I532,"")</f>
        <v>7.1265822784810124</v>
      </c>
      <c r="L532" s="284">
        <v>628755.5</v>
      </c>
      <c r="M532" s="283">
        <v>75340</v>
      </c>
      <c r="N532" s="272">
        <f>+L533/M533</f>
        <v>8.257045221699153</v>
      </c>
      <c r="O532" s="338">
        <v>1</v>
      </c>
    </row>
    <row r="533" spans="1:15" ht="12" customHeight="1">
      <c r="A533" s="228">
        <v>530</v>
      </c>
      <c r="B533" s="245" t="s">
        <v>342</v>
      </c>
      <c r="C533" s="265">
        <v>40067</v>
      </c>
      <c r="D533" s="336" t="s">
        <v>418</v>
      </c>
      <c r="E533" s="287">
        <v>105</v>
      </c>
      <c r="F533" s="287">
        <v>1</v>
      </c>
      <c r="G533" s="287">
        <v>29</v>
      </c>
      <c r="H533" s="288">
        <v>473</v>
      </c>
      <c r="I533" s="289">
        <v>141</v>
      </c>
      <c r="J533" s="283">
        <f t="shared" si="42"/>
        <v>141</v>
      </c>
      <c r="K533" s="285">
        <f t="shared" si="43"/>
        <v>3.354609929078014</v>
      </c>
      <c r="L533" s="284">
        <v>636692.5</v>
      </c>
      <c r="M533" s="283">
        <v>77109</v>
      </c>
      <c r="N533" s="290">
        <f>IF(L533&lt;&gt;0,L533/M533,"")</f>
        <v>8.257045221699153</v>
      </c>
      <c r="O533" s="273"/>
    </row>
    <row r="534" spans="1:15" ht="12" customHeight="1">
      <c r="A534" s="228">
        <v>531</v>
      </c>
      <c r="B534" s="245" t="s">
        <v>342</v>
      </c>
      <c r="C534" s="265">
        <v>40067</v>
      </c>
      <c r="D534" s="247" t="s">
        <v>444</v>
      </c>
      <c r="E534" s="276">
        <v>105</v>
      </c>
      <c r="F534" s="276">
        <v>2</v>
      </c>
      <c r="G534" s="276">
        <v>38</v>
      </c>
      <c r="H534" s="267">
        <v>460</v>
      </c>
      <c r="I534" s="268">
        <v>73</v>
      </c>
      <c r="J534" s="269">
        <f t="shared" si="42"/>
        <v>36.5</v>
      </c>
      <c r="K534" s="270">
        <f t="shared" si="43"/>
        <v>6.301369863013699</v>
      </c>
      <c r="L534" s="271">
        <f>646900.5+H534</f>
        <v>647360.5</v>
      </c>
      <c r="M534" s="269">
        <f>78696+I534</f>
        <v>78769</v>
      </c>
      <c r="N534" s="272">
        <f>IF(L534&lt;&gt;0,L534/M534,"")</f>
        <v>8.218467925199</v>
      </c>
      <c r="O534" s="338"/>
    </row>
    <row r="535" spans="1:15" ht="12" customHeight="1">
      <c r="A535" s="228">
        <v>532</v>
      </c>
      <c r="B535" s="245" t="s">
        <v>342</v>
      </c>
      <c r="C535" s="265">
        <v>40067</v>
      </c>
      <c r="D535" s="247" t="s">
        <v>444</v>
      </c>
      <c r="E535" s="276">
        <v>105</v>
      </c>
      <c r="F535" s="276">
        <v>1</v>
      </c>
      <c r="G535" s="276">
        <v>43</v>
      </c>
      <c r="H535" s="267">
        <v>391</v>
      </c>
      <c r="I535" s="268">
        <v>64</v>
      </c>
      <c r="J535" s="269">
        <f t="shared" si="42"/>
        <v>64</v>
      </c>
      <c r="K535" s="270">
        <f t="shared" si="43"/>
        <v>6.109375</v>
      </c>
      <c r="L535" s="271">
        <v>649431.5</v>
      </c>
      <c r="M535" s="269">
        <v>79144</v>
      </c>
      <c r="N535" s="272">
        <f>IF(L535&lt;&gt;0,L535/M535,"")</f>
        <v>8.20569468310927</v>
      </c>
      <c r="O535" s="341">
        <v>1</v>
      </c>
    </row>
    <row r="536" spans="1:15" ht="12" customHeight="1">
      <c r="A536" s="228">
        <v>533</v>
      </c>
      <c r="B536" s="281" t="s">
        <v>342</v>
      </c>
      <c r="C536" s="265">
        <v>40067</v>
      </c>
      <c r="D536" s="247" t="s">
        <v>444</v>
      </c>
      <c r="E536" s="276">
        <v>105</v>
      </c>
      <c r="F536" s="276">
        <v>1</v>
      </c>
      <c r="G536" s="276">
        <v>37</v>
      </c>
      <c r="H536" s="280">
        <v>329.5</v>
      </c>
      <c r="I536" s="282">
        <v>51</v>
      </c>
      <c r="J536" s="283">
        <f t="shared" si="42"/>
        <v>51</v>
      </c>
      <c r="K536" s="285">
        <f t="shared" si="43"/>
        <v>6.46078431372549</v>
      </c>
      <c r="L536" s="284">
        <v>646900.5</v>
      </c>
      <c r="M536" s="283">
        <v>78696</v>
      </c>
      <c r="N536" s="272">
        <f>IF(L536&lt;&gt;0,L536/M536,"")</f>
        <v>8.22024626410491</v>
      </c>
      <c r="O536" s="262">
        <v>1</v>
      </c>
    </row>
    <row r="537" spans="1:15" ht="12" customHeight="1">
      <c r="A537" s="228">
        <v>534</v>
      </c>
      <c r="B537" s="245" t="s">
        <v>342</v>
      </c>
      <c r="C537" s="265">
        <v>40067</v>
      </c>
      <c r="D537" s="247" t="s">
        <v>444</v>
      </c>
      <c r="E537" s="276">
        <v>105</v>
      </c>
      <c r="F537" s="276">
        <v>1</v>
      </c>
      <c r="G537" s="276">
        <v>40</v>
      </c>
      <c r="H537" s="267">
        <v>144</v>
      </c>
      <c r="I537" s="268">
        <v>24</v>
      </c>
      <c r="J537" s="269">
        <f t="shared" si="42"/>
        <v>24</v>
      </c>
      <c r="K537" s="270">
        <f t="shared" si="43"/>
        <v>6</v>
      </c>
      <c r="L537" s="271">
        <v>647504.5</v>
      </c>
      <c r="M537" s="269">
        <v>78793</v>
      </c>
      <c r="N537" s="272">
        <f>+L537/M537</f>
        <v>8.217792189661518</v>
      </c>
      <c r="O537" s="231"/>
    </row>
    <row r="538" spans="1:15" ht="12" customHeight="1">
      <c r="A538" s="228">
        <v>535</v>
      </c>
      <c r="B538" s="245" t="s">
        <v>342</v>
      </c>
      <c r="C538" s="265">
        <v>40067</v>
      </c>
      <c r="D538" s="247" t="s">
        <v>444</v>
      </c>
      <c r="E538" s="276">
        <v>105</v>
      </c>
      <c r="F538" s="276">
        <v>1</v>
      </c>
      <c r="G538" s="276">
        <v>39</v>
      </c>
      <c r="H538" s="267">
        <v>144</v>
      </c>
      <c r="I538" s="268">
        <v>24</v>
      </c>
      <c r="J538" s="269">
        <f t="shared" si="42"/>
        <v>24</v>
      </c>
      <c r="K538" s="270">
        <f t="shared" si="43"/>
        <v>6</v>
      </c>
      <c r="L538" s="271">
        <f>647360.5+H538</f>
        <v>647504.5</v>
      </c>
      <c r="M538" s="269">
        <f>78769+I538</f>
        <v>78793</v>
      </c>
      <c r="N538" s="272">
        <f>IF(L538&lt;&gt;0,L538/M538,"")</f>
        <v>8.217792189661518</v>
      </c>
      <c r="O538" s="262"/>
    </row>
    <row r="539" spans="1:15" ht="12" customHeight="1">
      <c r="A539" s="228">
        <v>536</v>
      </c>
      <c r="B539" s="245" t="s">
        <v>342</v>
      </c>
      <c r="C539" s="246">
        <v>40067</v>
      </c>
      <c r="D539" s="286" t="s">
        <v>444</v>
      </c>
      <c r="E539" s="257">
        <v>105</v>
      </c>
      <c r="F539" s="257">
        <v>1</v>
      </c>
      <c r="G539" s="257">
        <v>46</v>
      </c>
      <c r="H539" s="294">
        <v>141</v>
      </c>
      <c r="I539" s="300">
        <v>20</v>
      </c>
      <c r="J539" s="301">
        <f t="shared" si="42"/>
        <v>20</v>
      </c>
      <c r="K539" s="302">
        <f t="shared" si="43"/>
        <v>7.05</v>
      </c>
      <c r="L539" s="298">
        <f>649040.5+391+1223+705+141</f>
        <v>651500.5</v>
      </c>
      <c r="M539" s="283">
        <f>79080+64+202+109+20</f>
        <v>79475</v>
      </c>
      <c r="N539" s="377">
        <f>IF(L539&lt;&gt;0,L539/M539,"")</f>
        <v>8.197552689525008</v>
      </c>
      <c r="O539" s="338"/>
    </row>
    <row r="540" spans="1:15" ht="12" customHeight="1">
      <c r="A540" s="228">
        <v>537</v>
      </c>
      <c r="B540" s="324" t="s">
        <v>342</v>
      </c>
      <c r="C540" s="246">
        <v>40067</v>
      </c>
      <c r="D540" s="286" t="s">
        <v>444</v>
      </c>
      <c r="E540" s="248">
        <v>105</v>
      </c>
      <c r="F540" s="248">
        <v>1</v>
      </c>
      <c r="G540" s="248">
        <v>35</v>
      </c>
      <c r="H540" s="294">
        <v>138</v>
      </c>
      <c r="I540" s="300">
        <v>23</v>
      </c>
      <c r="J540" s="301">
        <f t="shared" si="42"/>
        <v>23</v>
      </c>
      <c r="K540" s="297">
        <f t="shared" si="43"/>
        <v>6</v>
      </c>
      <c r="L540" s="298">
        <v>646486.5</v>
      </c>
      <c r="M540" s="283">
        <v>78630</v>
      </c>
      <c r="N540" s="299">
        <f>IF(L540&lt;&gt;0,L540/M540,"")</f>
        <v>8.22188096146509</v>
      </c>
      <c r="O540" s="274"/>
    </row>
    <row r="541" spans="1:15" ht="12" customHeight="1">
      <c r="A541" s="228">
        <v>538</v>
      </c>
      <c r="B541" s="245" t="s">
        <v>342</v>
      </c>
      <c r="C541" s="265">
        <v>40067</v>
      </c>
      <c r="D541" s="247" t="s">
        <v>444</v>
      </c>
      <c r="E541" s="276">
        <v>105</v>
      </c>
      <c r="F541" s="276">
        <v>1</v>
      </c>
      <c r="G541" s="276">
        <v>41</v>
      </c>
      <c r="H541" s="267">
        <v>136</v>
      </c>
      <c r="I541" s="268">
        <v>19</v>
      </c>
      <c r="J541" s="269">
        <f>I541/F541</f>
        <v>19</v>
      </c>
      <c r="K541" s="270">
        <f>H541/I541</f>
        <v>7.157894736842105</v>
      </c>
      <c r="L541" s="271">
        <f>648776.5+H541</f>
        <v>648912.5</v>
      </c>
      <c r="M541" s="269">
        <f>79043+I541</f>
        <v>79062</v>
      </c>
      <c r="N541" s="272">
        <f>+L541/M541</f>
        <v>8.207640838835344</v>
      </c>
      <c r="O541" s="262">
        <v>1</v>
      </c>
    </row>
    <row r="542" spans="1:15" ht="12" customHeight="1">
      <c r="A542" s="228">
        <v>539</v>
      </c>
      <c r="B542" s="245" t="s">
        <v>342</v>
      </c>
      <c r="C542" s="265">
        <v>40067</v>
      </c>
      <c r="D542" s="275" t="s">
        <v>444</v>
      </c>
      <c r="E542" s="276">
        <v>105</v>
      </c>
      <c r="F542" s="276">
        <v>1</v>
      </c>
      <c r="G542" s="276">
        <v>42</v>
      </c>
      <c r="H542" s="263">
        <v>128</v>
      </c>
      <c r="I542" s="258">
        <v>18</v>
      </c>
      <c r="J542" s="269">
        <f>IF(H542&lt;&gt;0,I542/F542,"")</f>
        <v>18</v>
      </c>
      <c r="K542" s="270">
        <f>IF(H542&lt;&gt;0,H542/I542,"")</f>
        <v>7.111111111111111</v>
      </c>
      <c r="L542" s="271">
        <f>648912.5+H542</f>
        <v>649040.5</v>
      </c>
      <c r="M542" s="269">
        <f>79062+I542</f>
        <v>79080</v>
      </c>
      <c r="N542" s="272">
        <f>IF(L542&lt;&gt;0,L542/M542,"")</f>
        <v>8.20739124936773</v>
      </c>
      <c r="O542" s="262"/>
    </row>
    <row r="543" spans="1:15" ht="12" customHeight="1">
      <c r="A543" s="228">
        <v>540</v>
      </c>
      <c r="B543" s="245" t="s">
        <v>342</v>
      </c>
      <c r="C543" s="265">
        <v>40067</v>
      </c>
      <c r="D543" s="247" t="s">
        <v>444</v>
      </c>
      <c r="E543" s="276">
        <v>105</v>
      </c>
      <c r="F543" s="276">
        <v>1</v>
      </c>
      <c r="G543" s="276">
        <v>36</v>
      </c>
      <c r="H543" s="267">
        <v>84.5</v>
      </c>
      <c r="I543" s="268">
        <v>15</v>
      </c>
      <c r="J543" s="269">
        <f>IF(H543&lt;&gt;0,I543/F543,"")</f>
        <v>15</v>
      </c>
      <c r="K543" s="270">
        <f>IF(H543&lt;&gt;0,H543/I543,"")</f>
        <v>5.633333333333334</v>
      </c>
      <c r="L543" s="271">
        <v>646571</v>
      </c>
      <c r="M543" s="269">
        <v>78645</v>
      </c>
      <c r="N543" s="272">
        <f>IF(L543&lt;&gt;0,L543/M543,"")</f>
        <v>8.22138724648738</v>
      </c>
      <c r="O543" s="262"/>
    </row>
    <row r="544" spans="1:15" ht="12" customHeight="1">
      <c r="A544" s="228">
        <v>541</v>
      </c>
      <c r="B544" s="281" t="s">
        <v>419</v>
      </c>
      <c r="C544" s="265">
        <v>39871</v>
      </c>
      <c r="D544" s="275" t="s">
        <v>322</v>
      </c>
      <c r="E544" s="276">
        <v>1</v>
      </c>
      <c r="F544" s="276">
        <v>1</v>
      </c>
      <c r="G544" s="276">
        <v>22</v>
      </c>
      <c r="H544" s="249">
        <v>1780</v>
      </c>
      <c r="I544" s="250">
        <v>445</v>
      </c>
      <c r="J544" s="251">
        <f>(I544/F544)</f>
        <v>445</v>
      </c>
      <c r="K544" s="252">
        <f>H544/I544</f>
        <v>4</v>
      </c>
      <c r="L544" s="253">
        <f>1088+1510+1304+856+387+214+424+106+162+130+476+60.5+118+96+1664+1780+454+259.5+1188+119.5+1188+1780+1780</f>
        <v>17144.5</v>
      </c>
      <c r="M544" s="254">
        <f>267+175+155+102+46+26+51+12+18+16+57+8+22+16+416+445+57+31+297+19+297+445+445</f>
        <v>3423</v>
      </c>
      <c r="N544" s="299">
        <f>IF(L545&lt;&gt;0,L545/M545,"")</f>
        <v>5.15933512424446</v>
      </c>
      <c r="O544" s="274"/>
    </row>
    <row r="545" spans="1:15" ht="12" customHeight="1">
      <c r="A545" s="228">
        <v>542</v>
      </c>
      <c r="B545" s="281" t="s">
        <v>419</v>
      </c>
      <c r="C545" s="265">
        <v>39871</v>
      </c>
      <c r="D545" s="275" t="s">
        <v>322</v>
      </c>
      <c r="E545" s="276">
        <v>1</v>
      </c>
      <c r="F545" s="276">
        <v>1</v>
      </c>
      <c r="G545" s="276">
        <v>21</v>
      </c>
      <c r="H545" s="249">
        <v>1780</v>
      </c>
      <c r="I545" s="250">
        <v>445</v>
      </c>
      <c r="J545" s="251">
        <f>(I545/F545)</f>
        <v>445</v>
      </c>
      <c r="K545" s="260">
        <f>H545/I545</f>
        <v>4</v>
      </c>
      <c r="L545" s="253">
        <f>1088+1510+1304+856+387+214+424+106+162+130+476+60.5+118+96+1664+1780+454+259.5+1188+119.5+1188+1780</f>
        <v>15364.5</v>
      </c>
      <c r="M545" s="254">
        <f>267+175+155+102+46+26+51+12+18+16+57+8+22+16+416+445+57+31+297+19+297+445</f>
        <v>2978</v>
      </c>
      <c r="N545" s="255">
        <f>L546/M546</f>
        <v>5.350507614213198</v>
      </c>
      <c r="O545" s="273">
        <v>1</v>
      </c>
    </row>
    <row r="546" spans="1:15" ht="12" customHeight="1">
      <c r="A546" s="228">
        <v>543</v>
      </c>
      <c r="B546" s="245" t="s">
        <v>396</v>
      </c>
      <c r="C546" s="246">
        <v>39885</v>
      </c>
      <c r="D546" s="247" t="s">
        <v>322</v>
      </c>
      <c r="E546" s="248">
        <v>1</v>
      </c>
      <c r="F546" s="248">
        <v>1</v>
      </c>
      <c r="G546" s="248">
        <v>16</v>
      </c>
      <c r="H546" s="263">
        <v>2020</v>
      </c>
      <c r="I546" s="258">
        <v>505</v>
      </c>
      <c r="J546" s="259">
        <f>(I546/F546)</f>
        <v>505</v>
      </c>
      <c r="K546" s="260">
        <f>H546/I546</f>
        <v>4</v>
      </c>
      <c r="L546" s="264">
        <f>4788+2916+224+67+1174+2376+93+192+1664+358+99+80.5+37.5+952+2020+2020+2020</f>
        <v>21081</v>
      </c>
      <c r="M546" s="261">
        <f>549+337+27+11+121+594+31+32+416+45+9+12+3+238+505+505+505</f>
        <v>3940</v>
      </c>
      <c r="N546" s="255">
        <f>L546/M546</f>
        <v>5.350507614213198</v>
      </c>
      <c r="O546" s="338"/>
    </row>
    <row r="547" spans="1:15" ht="12" customHeight="1">
      <c r="A547" s="228">
        <v>544</v>
      </c>
      <c r="B547" s="245" t="s">
        <v>396</v>
      </c>
      <c r="C547" s="265">
        <v>39885</v>
      </c>
      <c r="D547" s="247" t="s">
        <v>322</v>
      </c>
      <c r="E547" s="276">
        <v>1</v>
      </c>
      <c r="F547" s="276">
        <v>1</v>
      </c>
      <c r="G547" s="276">
        <v>15</v>
      </c>
      <c r="H547" s="267">
        <v>2020</v>
      </c>
      <c r="I547" s="268">
        <v>505</v>
      </c>
      <c r="J547" s="269">
        <f>(I547/F547)</f>
        <v>505</v>
      </c>
      <c r="K547" s="270">
        <f>H547/I547</f>
        <v>4</v>
      </c>
      <c r="L547" s="271">
        <f>4788+2916+224+67+1174+2376+93+192+1664+358+99+80.5+37.5+952+2020+2020</f>
        <v>19061</v>
      </c>
      <c r="M547" s="269">
        <f>549+337+27+11+121+594+31+32+416+45+9+12+3+238+505+505</f>
        <v>3435</v>
      </c>
      <c r="N547" s="272">
        <f>L547/M547</f>
        <v>5.549053857350801</v>
      </c>
      <c r="O547" s="262"/>
    </row>
    <row r="548" spans="1:15" ht="12" customHeight="1">
      <c r="A548" s="228">
        <v>545</v>
      </c>
      <c r="B548" s="245" t="s">
        <v>396</v>
      </c>
      <c r="C548" s="265">
        <v>39885</v>
      </c>
      <c r="D548" s="247" t="s">
        <v>322</v>
      </c>
      <c r="E548" s="276">
        <v>1</v>
      </c>
      <c r="F548" s="276">
        <v>1</v>
      </c>
      <c r="G548" s="276">
        <v>14</v>
      </c>
      <c r="H548" s="267">
        <v>2020</v>
      </c>
      <c r="I548" s="268">
        <v>505</v>
      </c>
      <c r="J548" s="269">
        <f>(I548/F548)</f>
        <v>505</v>
      </c>
      <c r="K548" s="270">
        <f>H548/I548</f>
        <v>4</v>
      </c>
      <c r="L548" s="271">
        <f>4788+2916+224+67+1174+2376+93+192+1664+358+99+80.5+37.5+952+2020</f>
        <v>17041</v>
      </c>
      <c r="M548" s="269">
        <f>549+337+27+11+121+594+31+32+416+45+9+12+3+238+505</f>
        <v>2930</v>
      </c>
      <c r="N548" s="272">
        <f>L548/M548</f>
        <v>5.816040955631399</v>
      </c>
      <c r="O548" s="274"/>
    </row>
    <row r="549" spans="1:15" ht="12" customHeight="1">
      <c r="A549" s="228">
        <v>546</v>
      </c>
      <c r="B549" s="368" t="s">
        <v>371</v>
      </c>
      <c r="C549" s="246">
        <v>40158</v>
      </c>
      <c r="D549" s="362" t="s">
        <v>372</v>
      </c>
      <c r="E549" s="369" t="s">
        <v>373</v>
      </c>
      <c r="F549" s="369" t="s">
        <v>373</v>
      </c>
      <c r="G549" s="369" t="s">
        <v>374</v>
      </c>
      <c r="H549" s="363">
        <v>10169</v>
      </c>
      <c r="I549" s="370">
        <v>1579</v>
      </c>
      <c r="J549" s="371">
        <f>+I549/F549</f>
        <v>157.9</v>
      </c>
      <c r="K549" s="302">
        <f>IF(H549&lt;&gt;0,H549/I549,"")</f>
        <v>6.440151994933502</v>
      </c>
      <c r="L549" s="365">
        <v>104779</v>
      </c>
      <c r="M549" s="372">
        <v>9582</v>
      </c>
      <c r="N549" s="299">
        <f>IF(L550&lt;&gt;0,L550/M550,"")</f>
        <v>10.378987548850313</v>
      </c>
      <c r="O549" s="244"/>
    </row>
    <row r="550" spans="1:15" ht="12" customHeight="1">
      <c r="A550" s="228">
        <v>547</v>
      </c>
      <c r="B550" s="368" t="s">
        <v>371</v>
      </c>
      <c r="C550" s="246">
        <v>40158</v>
      </c>
      <c r="D550" s="362" t="s">
        <v>372</v>
      </c>
      <c r="E550" s="369" t="s">
        <v>373</v>
      </c>
      <c r="F550" s="369" t="s">
        <v>373</v>
      </c>
      <c r="G550" s="369" t="s">
        <v>470</v>
      </c>
      <c r="H550" s="363">
        <v>9421</v>
      </c>
      <c r="I550" s="364">
        <v>1421</v>
      </c>
      <c r="J550" s="373">
        <f>+I550/F550</f>
        <v>142.1</v>
      </c>
      <c r="K550" s="374"/>
      <c r="L550" s="365">
        <v>114200</v>
      </c>
      <c r="M550" s="366">
        <v>11003</v>
      </c>
      <c r="N550" s="272">
        <f>L551/M551</f>
        <v>10.20235824518814</v>
      </c>
      <c r="O550" s="244"/>
    </row>
    <row r="551" spans="1:15" ht="12" customHeight="1">
      <c r="A551" s="228">
        <v>548</v>
      </c>
      <c r="B551" s="281" t="s">
        <v>371</v>
      </c>
      <c r="C551" s="265">
        <v>40158</v>
      </c>
      <c r="D551" s="286" t="s">
        <v>372</v>
      </c>
      <c r="E551" s="276" t="s">
        <v>373</v>
      </c>
      <c r="F551" s="276" t="s">
        <v>470</v>
      </c>
      <c r="G551" s="276" t="s">
        <v>420</v>
      </c>
      <c r="H551" s="267">
        <v>1882</v>
      </c>
      <c r="I551" s="268">
        <v>269</v>
      </c>
      <c r="J551" s="269">
        <f>(I551/F551)</f>
        <v>44.833333333333336</v>
      </c>
      <c r="K551" s="270">
        <f>(J551/G551)</f>
        <v>4.981481481481482</v>
      </c>
      <c r="L551" s="271">
        <v>117674</v>
      </c>
      <c r="M551" s="269">
        <v>11534</v>
      </c>
      <c r="N551" s="272">
        <f>L552/M552</f>
        <v>10.278916999556147</v>
      </c>
      <c r="O551" s="341"/>
    </row>
    <row r="552" spans="1:15" ht="12" customHeight="1">
      <c r="A552" s="228">
        <v>549</v>
      </c>
      <c r="B552" s="368" t="s">
        <v>371</v>
      </c>
      <c r="C552" s="265">
        <v>40158</v>
      </c>
      <c r="D552" s="286" t="s">
        <v>372</v>
      </c>
      <c r="E552" s="276" t="s">
        <v>373</v>
      </c>
      <c r="F552" s="276" t="s">
        <v>374</v>
      </c>
      <c r="G552" s="276" t="s">
        <v>275</v>
      </c>
      <c r="H552" s="267">
        <v>1592</v>
      </c>
      <c r="I552" s="268">
        <v>262</v>
      </c>
      <c r="J552" s="269">
        <f>I552/F552</f>
        <v>52.4</v>
      </c>
      <c r="K552" s="270">
        <f aca="true" t="shared" si="44" ref="K552:K560">H552/I552</f>
        <v>6.076335877862595</v>
      </c>
      <c r="L552" s="271">
        <v>115792</v>
      </c>
      <c r="M552" s="269">
        <v>11265</v>
      </c>
      <c r="N552" s="272">
        <f>L553/M553</f>
        <v>8.840697826656193</v>
      </c>
      <c r="O552" s="262"/>
    </row>
    <row r="553" spans="1:15" ht="12" customHeight="1">
      <c r="A553" s="228">
        <v>550</v>
      </c>
      <c r="B553" s="245" t="s">
        <v>198</v>
      </c>
      <c r="C553" s="265">
        <v>40123</v>
      </c>
      <c r="D553" s="275" t="s">
        <v>349</v>
      </c>
      <c r="E553" s="287">
        <v>42</v>
      </c>
      <c r="F553" s="287">
        <v>1</v>
      </c>
      <c r="G553" s="287">
        <v>7</v>
      </c>
      <c r="H553" s="288">
        <v>1474</v>
      </c>
      <c r="I553" s="289">
        <v>205</v>
      </c>
      <c r="J553" s="283">
        <f>I553/F553</f>
        <v>205</v>
      </c>
      <c r="K553" s="285">
        <f t="shared" si="44"/>
        <v>7.190243902439025</v>
      </c>
      <c r="L553" s="284">
        <f>47428.75+11738.5+1089+270+547+3735+1243+1474</f>
        <v>67525.25</v>
      </c>
      <c r="M553" s="283">
        <f>4865+1345+40+185+107+665+226+205</f>
        <v>7638</v>
      </c>
      <c r="N553" s="290">
        <f>+L553/M553</f>
        <v>8.840697826656193</v>
      </c>
      <c r="O553" s="262"/>
    </row>
    <row r="554" spans="1:15" ht="12" customHeight="1">
      <c r="A554" s="228">
        <v>551</v>
      </c>
      <c r="B554" s="245" t="s">
        <v>198</v>
      </c>
      <c r="C554" s="265">
        <v>40123</v>
      </c>
      <c r="D554" s="275" t="s">
        <v>349</v>
      </c>
      <c r="E554" s="287">
        <v>42</v>
      </c>
      <c r="F554" s="287">
        <v>1</v>
      </c>
      <c r="G554" s="287">
        <v>8</v>
      </c>
      <c r="H554" s="288">
        <v>124</v>
      </c>
      <c r="I554" s="326">
        <v>16</v>
      </c>
      <c r="J554" s="269">
        <f>I554/F554</f>
        <v>16</v>
      </c>
      <c r="K554" s="270">
        <f t="shared" si="44"/>
        <v>7.75</v>
      </c>
      <c r="L554" s="271">
        <f>47428.75+11738.5+1089+270+547+3735+1243+1474+124</f>
        <v>67649.25</v>
      </c>
      <c r="M554" s="269">
        <f>4865+1345+40+185+107+665+226+205+16</f>
        <v>7654</v>
      </c>
      <c r="N554" s="272">
        <f>+L554/M554</f>
        <v>8.838417820747322</v>
      </c>
      <c r="O554" s="244"/>
    </row>
    <row r="555" spans="1:15" ht="12" customHeight="1">
      <c r="A555" s="228">
        <v>552</v>
      </c>
      <c r="B555" s="281" t="s">
        <v>199</v>
      </c>
      <c r="C555" s="308">
        <v>39920</v>
      </c>
      <c r="D555" s="275" t="s">
        <v>322</v>
      </c>
      <c r="E555" s="287">
        <v>43</v>
      </c>
      <c r="F555" s="287">
        <v>4</v>
      </c>
      <c r="G555" s="287">
        <v>30</v>
      </c>
      <c r="H555" s="288">
        <v>6292</v>
      </c>
      <c r="I555" s="289">
        <v>1573</v>
      </c>
      <c r="J555" s="283">
        <f aca="true" t="shared" si="45" ref="J555:J560">(I555/F555)</f>
        <v>393.25</v>
      </c>
      <c r="K555" s="285">
        <f t="shared" si="44"/>
        <v>4</v>
      </c>
      <c r="L555" s="284">
        <f>71921.5+55489+28896+23842.5+13474.5+19552.5+14027+10409+7091.5+1088.5+1046+1608+982+3368+433+2156+3870+2362+588+3564+2376+1424+1780+1424+1512+1188+952+952+952+6292</f>
        <v>284621</v>
      </c>
      <c r="M555" s="283">
        <f>9131+7791+4520+4728+2735+3857+3026+2110+1463+203+226+324+239+809+81+469+941+537+95+891+594+356+445+356+378+297+238+238+238+1573</f>
        <v>48889</v>
      </c>
      <c r="N555" s="272">
        <f>+L556/M556</f>
        <v>5.773355367951577</v>
      </c>
      <c r="O555" s="262"/>
    </row>
    <row r="556" spans="1:15" ht="12" customHeight="1">
      <c r="A556" s="228">
        <v>553</v>
      </c>
      <c r="B556" s="281" t="s">
        <v>199</v>
      </c>
      <c r="C556" s="308">
        <v>39920</v>
      </c>
      <c r="D556" s="275" t="s">
        <v>322</v>
      </c>
      <c r="E556" s="287">
        <v>43</v>
      </c>
      <c r="F556" s="287">
        <v>3</v>
      </c>
      <c r="G556" s="287">
        <v>31</v>
      </c>
      <c r="H556" s="288">
        <v>5340</v>
      </c>
      <c r="I556" s="289">
        <v>1335</v>
      </c>
      <c r="J556" s="283">
        <f t="shared" si="45"/>
        <v>445</v>
      </c>
      <c r="K556" s="285">
        <f t="shared" si="44"/>
        <v>4</v>
      </c>
      <c r="L556" s="284">
        <f>71921.5+55489+28896+23842.5+13474.5+19552.5+14027+10409+7091.5+1088.5+1046+1608+982+3368+433+2156+3870+2362+588+3564+2376+1424+1780+1424+1512+1188+952+952+952+6292+5340</f>
        <v>289961</v>
      </c>
      <c r="M556" s="283">
        <f>9131+7791+4520+4728+2735+3857+3026+2110+1463+203+226+324+239+809+81+469+941+537+95+891+594+356+445+356+378+297+238+238+238+1573+1335</f>
        <v>50224</v>
      </c>
      <c r="N556" s="255">
        <f>L557/M557</f>
        <v>5.729921336311547</v>
      </c>
      <c r="O556" s="256"/>
    </row>
    <row r="557" spans="1:15" ht="12" customHeight="1">
      <c r="A557" s="228">
        <v>554</v>
      </c>
      <c r="B557" s="324" t="s">
        <v>199</v>
      </c>
      <c r="C557" s="265">
        <v>39920</v>
      </c>
      <c r="D557" s="275" t="s">
        <v>322</v>
      </c>
      <c r="E557" s="287">
        <v>43</v>
      </c>
      <c r="F557" s="287">
        <v>2</v>
      </c>
      <c r="G557" s="287">
        <v>33</v>
      </c>
      <c r="H557" s="288">
        <v>3532</v>
      </c>
      <c r="I557" s="289">
        <v>883</v>
      </c>
      <c r="J557" s="283">
        <f t="shared" si="45"/>
        <v>441.5</v>
      </c>
      <c r="K557" s="285">
        <f t="shared" si="44"/>
        <v>4</v>
      </c>
      <c r="L557" s="284">
        <f>71921.5+55489+28896+23842.5+13474.5+19552.5+14027+10409+7091.5+1088.5+1046+1608+982+3368+433+2156+3870+2362+588+3564+2376+1424+1780+1424+1512+1188+952+952+952+6292+5340+1512+3532</f>
        <v>295005</v>
      </c>
      <c r="M557" s="283">
        <f>9131+7791+4520+4728+2735+3857+3026+2110+1463+203+226+324+239+809+81+469+941+537+95+891+594+356+445+356+378+297+238+238+238+1573+1335+378+883</f>
        <v>51485</v>
      </c>
      <c r="N557" s="290">
        <f>L557/M557</f>
        <v>5.729921336311547</v>
      </c>
      <c r="O557" s="262"/>
    </row>
    <row r="558" spans="1:15" ht="12" customHeight="1">
      <c r="A558" s="228">
        <v>555</v>
      </c>
      <c r="B558" s="245" t="s">
        <v>199</v>
      </c>
      <c r="C558" s="265">
        <v>39920</v>
      </c>
      <c r="D558" s="275" t="s">
        <v>322</v>
      </c>
      <c r="E558" s="287">
        <v>43</v>
      </c>
      <c r="F558" s="287">
        <v>1</v>
      </c>
      <c r="G558" s="287">
        <v>34</v>
      </c>
      <c r="H558" s="288">
        <v>1780</v>
      </c>
      <c r="I558" s="289">
        <v>445</v>
      </c>
      <c r="J558" s="283">
        <f t="shared" si="45"/>
        <v>445</v>
      </c>
      <c r="K558" s="285">
        <f t="shared" si="44"/>
        <v>4</v>
      </c>
      <c r="L558" s="284">
        <f>71921.5+55489+28896+23842.5+13474.5+19552.5+14027+10409+7091.5+1088.5+1046+1608+982+3368+433+2156+3870+2362+588+3564+2376+1424+1780+1424+1512+1188+952+952+952+6292+5340+1512+3532+1780</f>
        <v>296785</v>
      </c>
      <c r="M558" s="283">
        <f>9131+7791+4520+4728+2735+3857+3026+2110+1463+203+226+324+239+809+81+469+941+537+95+891+594+356+445+356+378+297+238+238+238+1573+1335+378+883+445</f>
        <v>51930</v>
      </c>
      <c r="N558" s="290">
        <f>L558/M558</f>
        <v>5.7150972462930865</v>
      </c>
      <c r="O558" s="262"/>
    </row>
    <row r="559" spans="1:15" ht="12" customHeight="1">
      <c r="A559" s="228">
        <v>556</v>
      </c>
      <c r="B559" s="245" t="s">
        <v>199</v>
      </c>
      <c r="C559" s="246">
        <v>39920</v>
      </c>
      <c r="D559" s="275" t="s">
        <v>322</v>
      </c>
      <c r="E559" s="248">
        <v>43</v>
      </c>
      <c r="F559" s="248">
        <v>1</v>
      </c>
      <c r="G559" s="248">
        <v>32</v>
      </c>
      <c r="H559" s="249">
        <v>1512</v>
      </c>
      <c r="I559" s="250">
        <v>378</v>
      </c>
      <c r="J559" s="251">
        <f t="shared" si="45"/>
        <v>378</v>
      </c>
      <c r="K559" s="252">
        <f t="shared" si="44"/>
        <v>4</v>
      </c>
      <c r="L559" s="253">
        <f>71921.5+55489+28896+23842.5+13474.5+19552.5+14027+10409+7091.5+1088.5+1046+1608+982+3368+433+2156+3870+2362+588+3564+2376+1424+1780+1424+1512+1188+952+952+952+6292+5340+1512</f>
        <v>291473</v>
      </c>
      <c r="M559" s="254">
        <f>9131+7791+4520+4728+2735+3857+3026+2110+1463+203+226+324+239+809+81+469+941+537+95+891+594+356+445+356+378+297+238+238+238+1573+1335+378</f>
        <v>50602</v>
      </c>
      <c r="N559" s="272">
        <f>L560/M560</f>
        <v>5.911184069353246</v>
      </c>
      <c r="O559" s="262"/>
    </row>
    <row r="560" spans="1:15" ht="12" customHeight="1">
      <c r="A560" s="228">
        <v>557</v>
      </c>
      <c r="B560" s="281" t="s">
        <v>199</v>
      </c>
      <c r="C560" s="265">
        <v>39920</v>
      </c>
      <c r="D560" s="275" t="s">
        <v>322</v>
      </c>
      <c r="E560" s="276">
        <v>43</v>
      </c>
      <c r="F560" s="276">
        <v>1</v>
      </c>
      <c r="G560" s="276">
        <v>26</v>
      </c>
      <c r="H560" s="249">
        <v>1188</v>
      </c>
      <c r="I560" s="258">
        <v>297</v>
      </c>
      <c r="J560" s="259">
        <f t="shared" si="45"/>
        <v>297</v>
      </c>
      <c r="K560" s="260">
        <f t="shared" si="44"/>
        <v>4</v>
      </c>
      <c r="L560" s="253">
        <f>71921.5+55489+28896+23842.5+13474.5+19552.5+14027+10409+7091.5+1088.5+1046+1608+982+3368+433+2156+3870+2362+588+3564+2376+1424+1780+1424+1512+1188</f>
        <v>275473</v>
      </c>
      <c r="M560" s="261">
        <f>9131+7791+4520+4728+2735+3857+3026+2110+1463+203+226+324+239+809+81+469+941+537+95+891+594+356+445+356+378+297</f>
        <v>46602</v>
      </c>
      <c r="N560" s="272">
        <f>L561/M561</f>
        <v>5.901473099914603</v>
      </c>
      <c r="O560" s="262">
        <v>1</v>
      </c>
    </row>
    <row r="561" spans="1:15" ht="12" customHeight="1">
      <c r="A561" s="228">
        <v>558</v>
      </c>
      <c r="B561" s="281" t="s">
        <v>199</v>
      </c>
      <c r="C561" s="265">
        <v>39920</v>
      </c>
      <c r="D561" s="275" t="s">
        <v>322</v>
      </c>
      <c r="E561" s="276">
        <v>43</v>
      </c>
      <c r="F561" s="276">
        <v>1</v>
      </c>
      <c r="G561" s="276">
        <v>27</v>
      </c>
      <c r="H561" s="267">
        <v>952</v>
      </c>
      <c r="I561" s="268">
        <v>238</v>
      </c>
      <c r="J561" s="269">
        <f>I561/F561</f>
        <v>238</v>
      </c>
      <c r="K561" s="270">
        <f>+H561/I561</f>
        <v>4</v>
      </c>
      <c r="L561" s="271">
        <f>71921.5+55489+28896+23842.5+13474.5+19552.5+14027+10409+7091.5+1088.5+1046+1608+982+3368+433+2156+3870+2362+588+3564+2376+1424+1780+1424+1512+1188+952</f>
        <v>276425</v>
      </c>
      <c r="M561" s="269">
        <f>9131+7791+4520+4728+2735+3857+3026+2110+1463+203+226+324+239+809+81+469+941+537+95+891+594+356+445+356+378+297+238</f>
        <v>46840</v>
      </c>
      <c r="N561" s="272">
        <f>L562/M562</f>
        <v>5.891860316920854</v>
      </c>
      <c r="O561" s="262">
        <v>1</v>
      </c>
    </row>
    <row r="562" spans="1:15" ht="12" customHeight="1">
      <c r="A562" s="228">
        <v>559</v>
      </c>
      <c r="B562" s="281" t="s">
        <v>199</v>
      </c>
      <c r="C562" s="265">
        <v>39920</v>
      </c>
      <c r="D562" s="275" t="s">
        <v>322</v>
      </c>
      <c r="E562" s="276">
        <v>43</v>
      </c>
      <c r="F562" s="276">
        <v>1</v>
      </c>
      <c r="G562" s="276">
        <v>28</v>
      </c>
      <c r="H562" s="280">
        <v>952</v>
      </c>
      <c r="I562" s="282">
        <v>238</v>
      </c>
      <c r="J562" s="283">
        <f>(I562/F562)</f>
        <v>238</v>
      </c>
      <c r="K562" s="285">
        <f>H562/I562</f>
        <v>4</v>
      </c>
      <c r="L562" s="284">
        <f>71921.5+55489+28896+23842.5+13474.5+19552.5+14027+10409+7091.5+1088.5+1046+1608+982+3368+433+2156+3870+2362+588+3564+2376+1424+1780+1424+1512+1188+952+952</f>
        <v>277377</v>
      </c>
      <c r="M562" s="283">
        <f>9131+7791+4520+4728+2735+3857+3026+2110+1463+203+226+324+239+809+81+469+941+537+95+891+594+356+445+356+378+297+238+238</f>
        <v>47078</v>
      </c>
      <c r="N562" s="272">
        <f>+L563/M563</f>
        <v>5.882344238735311</v>
      </c>
      <c r="O562" s="262">
        <v>1</v>
      </c>
    </row>
    <row r="563" spans="1:15" ht="12" customHeight="1">
      <c r="A563" s="228">
        <v>560</v>
      </c>
      <c r="B563" s="281" t="s">
        <v>199</v>
      </c>
      <c r="C563" s="265">
        <v>39920</v>
      </c>
      <c r="D563" s="275" t="s">
        <v>322</v>
      </c>
      <c r="E563" s="276">
        <v>43</v>
      </c>
      <c r="F563" s="276">
        <v>1</v>
      </c>
      <c r="G563" s="276">
        <v>29</v>
      </c>
      <c r="H563" s="280">
        <v>952</v>
      </c>
      <c r="I563" s="282">
        <v>238</v>
      </c>
      <c r="J563" s="283">
        <f>I563/F563</f>
        <v>238</v>
      </c>
      <c r="K563" s="285">
        <f>H563/I563</f>
        <v>4</v>
      </c>
      <c r="L563" s="284">
        <f>71921.5+55489+28896+23842.5+13474.5+19552.5+14027+10409+7091.5+1088.5+1046+1608+982+3368+433+2156+3870+2362+588+3564+2376+1424+1780+1424+1512+1188+952+952+952</f>
        <v>278329</v>
      </c>
      <c r="M563" s="283">
        <f>9131+7791+4520+4728+2735+3857+3026+2110+1463+203+226+324+239+809+81+469+941+537+95+891+594+356+445+356+378+297+238+238+238</f>
        <v>47316</v>
      </c>
      <c r="N563" s="255">
        <f>IF(L564&lt;&gt;0,L564/M564,"")</f>
        <v>8.40086134960224</v>
      </c>
      <c r="O563" s="341">
        <v>1</v>
      </c>
    </row>
    <row r="564" spans="1:15" ht="12" customHeight="1">
      <c r="A564" s="228">
        <v>561</v>
      </c>
      <c r="B564" s="281" t="s">
        <v>424</v>
      </c>
      <c r="C564" s="265">
        <v>39955</v>
      </c>
      <c r="D564" s="275" t="s">
        <v>322</v>
      </c>
      <c r="E564" s="276">
        <v>49</v>
      </c>
      <c r="F564" s="276">
        <v>1</v>
      </c>
      <c r="G564" s="276">
        <v>20</v>
      </c>
      <c r="H564" s="280">
        <v>1780</v>
      </c>
      <c r="I564" s="282">
        <v>445</v>
      </c>
      <c r="J564" s="283">
        <f>(I564/F564)</f>
        <v>445</v>
      </c>
      <c r="K564" s="285">
        <f>H564/I564</f>
        <v>4</v>
      </c>
      <c r="L564" s="284">
        <f>156835.75+123241.75+64169.25+38530+14718+8349.5+5553+9905+6647+2168.5+2346+2372+3658.5+879+4291.5+2227+3697.5+1188+476+1780</f>
        <v>453033.25</v>
      </c>
      <c r="M564" s="283">
        <f>15124+12366+7559+6566+2380+1342+923+1526+1461+575+437+426+642+167+566+379+627+297+119+445</f>
        <v>53927</v>
      </c>
      <c r="N564" s="272">
        <f>+L565/M565</f>
        <v>8.364843117781211</v>
      </c>
      <c r="O564" s="376">
        <v>1</v>
      </c>
    </row>
    <row r="565" spans="1:15" ht="12" customHeight="1">
      <c r="A565" s="228">
        <v>562</v>
      </c>
      <c r="B565" s="281" t="s">
        <v>424</v>
      </c>
      <c r="C565" s="265">
        <v>39955</v>
      </c>
      <c r="D565" s="275" t="s">
        <v>322</v>
      </c>
      <c r="E565" s="276">
        <v>49</v>
      </c>
      <c r="F565" s="276">
        <v>1</v>
      </c>
      <c r="G565" s="276">
        <v>21</v>
      </c>
      <c r="H565" s="280">
        <v>1780</v>
      </c>
      <c r="I565" s="282">
        <v>445</v>
      </c>
      <c r="J565" s="283">
        <f>I565/F565</f>
        <v>445</v>
      </c>
      <c r="K565" s="285">
        <f>H565/I565</f>
        <v>4</v>
      </c>
      <c r="L565" s="284">
        <f>156835.75+123241.75+64169.25+38530+14718+8349.5+5553+9905+6647+2168.5+2346+2372+3658.5+879+4291.5+2227+3697.5+1188+476+1780+1780</f>
        <v>454813.25</v>
      </c>
      <c r="M565" s="283">
        <f>15124+12366+7559+6566+2380+1342+923+1526+1461+575+437+426+642+167+566+379+627+297+119+445+445</f>
        <v>54372</v>
      </c>
      <c r="N565" s="299">
        <f>IF(L566&lt;&gt;0,L566/M566,"")</f>
        <v>8.135051078688413</v>
      </c>
      <c r="O565" s="244">
        <v>1</v>
      </c>
    </row>
    <row r="566" spans="1:15" ht="12" customHeight="1">
      <c r="A566" s="228">
        <v>563</v>
      </c>
      <c r="B566" s="245" t="s">
        <v>216</v>
      </c>
      <c r="C566" s="265">
        <v>40102</v>
      </c>
      <c r="D566" s="247" t="s">
        <v>444</v>
      </c>
      <c r="E566" s="276">
        <v>319</v>
      </c>
      <c r="F566" s="276">
        <v>6</v>
      </c>
      <c r="G566" s="276">
        <v>31</v>
      </c>
      <c r="H566" s="267">
        <v>816</v>
      </c>
      <c r="I566" s="268">
        <v>135</v>
      </c>
      <c r="J566" s="269">
        <f>IF(H566&lt;&gt;0,I566/F566,"")</f>
        <v>22.5</v>
      </c>
      <c r="K566" s="270">
        <f>IF(H566&lt;&gt;0,H566/I566,"")</f>
        <v>6.044444444444444</v>
      </c>
      <c r="L566" s="271">
        <v>19805408.25</v>
      </c>
      <c r="M566" s="269">
        <v>2434577</v>
      </c>
      <c r="N566" s="272">
        <f>IF(L566&lt;&gt;0,L566/M566,"")</f>
        <v>8.135051078688413</v>
      </c>
      <c r="O566" s="262">
        <v>1</v>
      </c>
    </row>
    <row r="567" spans="1:15" ht="12" customHeight="1">
      <c r="A567" s="228">
        <v>564</v>
      </c>
      <c r="B567" s="245" t="s">
        <v>34</v>
      </c>
      <c r="C567" s="246">
        <v>40102</v>
      </c>
      <c r="D567" s="247" t="s">
        <v>444</v>
      </c>
      <c r="E567" s="248">
        <v>319</v>
      </c>
      <c r="F567" s="248">
        <v>18</v>
      </c>
      <c r="G567" s="248">
        <v>30</v>
      </c>
      <c r="H567" s="263">
        <v>6813</v>
      </c>
      <c r="I567" s="258">
        <v>1291</v>
      </c>
      <c r="J567" s="259">
        <f>IF(H567&lt;&gt;0,I567/F567,"")</f>
        <v>71.72222222222223</v>
      </c>
      <c r="K567" s="260">
        <f>IF(H567&lt;&gt;0,H567/I567,"")</f>
        <v>5.277304415182029</v>
      </c>
      <c r="L567" s="264">
        <v>19804592.25</v>
      </c>
      <c r="M567" s="261">
        <v>2434442</v>
      </c>
      <c r="N567" s="255">
        <f>IF(L567&lt;&gt;0,L567/M567,"")</f>
        <v>8.135167011578012</v>
      </c>
      <c r="O567" s="338">
        <v>1</v>
      </c>
    </row>
    <row r="568" spans="1:15" ht="12" customHeight="1">
      <c r="A568" s="228">
        <v>565</v>
      </c>
      <c r="B568" s="245" t="s">
        <v>34</v>
      </c>
      <c r="C568" s="265">
        <v>40102</v>
      </c>
      <c r="D568" s="247" t="s">
        <v>444</v>
      </c>
      <c r="E568" s="276">
        <v>319</v>
      </c>
      <c r="F568" s="276">
        <v>2</v>
      </c>
      <c r="G568" s="276">
        <v>34</v>
      </c>
      <c r="H568" s="267">
        <v>461</v>
      </c>
      <c r="I568" s="268">
        <v>89</v>
      </c>
      <c r="J568" s="269">
        <f>IF(H568&lt;&gt;0,I568/F568,"")</f>
        <v>44.5</v>
      </c>
      <c r="K568" s="270">
        <f>IF(H568&lt;&gt;0,H568/I568,"")</f>
        <v>5.179775280898877</v>
      </c>
      <c r="L568" s="271">
        <f>19810911.25+H568</f>
        <v>19811372.25</v>
      </c>
      <c r="M568" s="269">
        <f>2435667+I568</f>
        <v>2435756</v>
      </c>
      <c r="N568" s="272">
        <f>IF(L568&lt;&gt;0,L568/M568,"")</f>
        <v>8.133561920816371</v>
      </c>
      <c r="O568" s="338">
        <v>1</v>
      </c>
    </row>
    <row r="569" spans="1:15" ht="12" customHeight="1">
      <c r="A569" s="228">
        <v>566</v>
      </c>
      <c r="B569" s="245" t="s">
        <v>35</v>
      </c>
      <c r="C569" s="246">
        <v>40102</v>
      </c>
      <c r="D569" s="247" t="s">
        <v>444</v>
      </c>
      <c r="E569" s="248">
        <v>319</v>
      </c>
      <c r="F569" s="248">
        <v>106</v>
      </c>
      <c r="G569" s="248">
        <v>29</v>
      </c>
      <c r="H569" s="249">
        <v>22215.5</v>
      </c>
      <c r="I569" s="250">
        <v>3162</v>
      </c>
      <c r="J569" s="251">
        <f>IF(H569&lt;&gt;0,I569/F569,"")</f>
        <v>29.830188679245282</v>
      </c>
      <c r="K569" s="260">
        <f>IF(H569&lt;&gt;0,H569/I569,"")</f>
        <v>7.025774826059456</v>
      </c>
      <c r="L569" s="253">
        <v>19797779.25</v>
      </c>
      <c r="M569" s="254">
        <v>2433151</v>
      </c>
      <c r="N569" s="255">
        <f>IF(L569&lt;&gt;0,L569/M569,"")</f>
        <v>8.136683358328357</v>
      </c>
      <c r="O569" s="335">
        <v>1</v>
      </c>
    </row>
    <row r="570" spans="1:15" ht="12" customHeight="1">
      <c r="A570" s="228">
        <v>567</v>
      </c>
      <c r="B570" s="324" t="s">
        <v>36</v>
      </c>
      <c r="C570" s="308">
        <v>40102</v>
      </c>
      <c r="D570" s="336" t="s">
        <v>418</v>
      </c>
      <c r="E570" s="287">
        <v>319</v>
      </c>
      <c r="F570" s="287">
        <v>3</v>
      </c>
      <c r="G570" s="287">
        <v>22</v>
      </c>
      <c r="H570" s="288">
        <v>12872</v>
      </c>
      <c r="I570" s="289">
        <v>2574</v>
      </c>
      <c r="J570" s="283">
        <f>I570/F570</f>
        <v>858</v>
      </c>
      <c r="K570" s="285">
        <f>H570/I570</f>
        <v>5.000777000777001</v>
      </c>
      <c r="L570" s="284">
        <v>19767007.75</v>
      </c>
      <c r="M570" s="283">
        <v>2428120</v>
      </c>
      <c r="N570" s="272">
        <f>+L571/M571</f>
        <v>8.151244707920165</v>
      </c>
      <c r="O570" s="338">
        <v>1</v>
      </c>
    </row>
    <row r="571" spans="1:15" ht="12" customHeight="1">
      <c r="A571" s="228">
        <v>568</v>
      </c>
      <c r="B571" s="245" t="s">
        <v>36</v>
      </c>
      <c r="C571" s="246">
        <v>40102</v>
      </c>
      <c r="D571" s="257" t="s">
        <v>418</v>
      </c>
      <c r="E571" s="248">
        <v>319</v>
      </c>
      <c r="F571" s="248">
        <v>13</v>
      </c>
      <c r="G571" s="248">
        <v>12</v>
      </c>
      <c r="H571" s="294">
        <v>6659</v>
      </c>
      <c r="I571" s="300">
        <v>990</v>
      </c>
      <c r="J571" s="301">
        <f>IF(H571&lt;&gt;0,I571/F571,"")</f>
        <v>76.15384615384616</v>
      </c>
      <c r="K571" s="297">
        <f>IF(H571&lt;&gt;0,H571/I571,"")</f>
        <v>6.726262626262626</v>
      </c>
      <c r="L571" s="298">
        <v>19727039.25</v>
      </c>
      <c r="M571" s="283">
        <v>2420126</v>
      </c>
      <c r="N571" s="272">
        <f>+L572/M572</f>
        <v>8.145321986420493</v>
      </c>
      <c r="O571" s="244">
        <v>1</v>
      </c>
    </row>
    <row r="572" spans="1:15" ht="12" customHeight="1">
      <c r="A572" s="228">
        <v>569</v>
      </c>
      <c r="B572" s="281" t="s">
        <v>36</v>
      </c>
      <c r="C572" s="265">
        <v>40102</v>
      </c>
      <c r="D572" s="286" t="s">
        <v>418</v>
      </c>
      <c r="E572" s="276">
        <v>319</v>
      </c>
      <c r="F572" s="276">
        <v>3</v>
      </c>
      <c r="G572" s="276">
        <v>19</v>
      </c>
      <c r="H572" s="280">
        <v>5750</v>
      </c>
      <c r="I572" s="282">
        <v>1314</v>
      </c>
      <c r="J572" s="283">
        <f>I572/F572</f>
        <v>438</v>
      </c>
      <c r="K572" s="285">
        <f>H572/I572</f>
        <v>4.375951293759513</v>
      </c>
      <c r="L572" s="284">
        <v>19749823.75</v>
      </c>
      <c r="M572" s="283">
        <v>2424683</v>
      </c>
      <c r="N572" s="255">
        <f>IF(L573&lt;&gt;0,L573/M573,"")</f>
        <v>8.133764351239597</v>
      </c>
      <c r="O572" s="338">
        <v>1</v>
      </c>
    </row>
    <row r="573" spans="1:15" ht="12" customHeight="1">
      <c r="A573" s="228">
        <v>570</v>
      </c>
      <c r="B573" s="281" t="s">
        <v>37</v>
      </c>
      <c r="C573" s="265">
        <v>40102</v>
      </c>
      <c r="D573" s="247" t="s">
        <v>444</v>
      </c>
      <c r="E573" s="276">
        <v>319</v>
      </c>
      <c r="F573" s="276">
        <v>4</v>
      </c>
      <c r="G573" s="276">
        <v>32</v>
      </c>
      <c r="H573" s="280">
        <v>5115</v>
      </c>
      <c r="I573" s="282">
        <v>1014</v>
      </c>
      <c r="J573" s="283">
        <f>IF(H573&lt;&gt;0,I573/F573,"")</f>
        <v>253.5</v>
      </c>
      <c r="K573" s="285">
        <f>IF(H573&lt;&gt;0,H573/I573,"")</f>
        <v>5.044378698224852</v>
      </c>
      <c r="L573" s="284">
        <v>19810523.25</v>
      </c>
      <c r="M573" s="283">
        <v>2435591</v>
      </c>
      <c r="N573" s="272">
        <f>IF(L573&lt;&gt;0,L573/M573,"")</f>
        <v>8.133764351239597</v>
      </c>
      <c r="O573" s="335">
        <v>1</v>
      </c>
    </row>
    <row r="574" spans="1:15" ht="12" customHeight="1">
      <c r="A574" s="228">
        <v>571</v>
      </c>
      <c r="B574" s="281" t="s">
        <v>36</v>
      </c>
      <c r="C574" s="265">
        <v>40102</v>
      </c>
      <c r="D574" s="266" t="s">
        <v>418</v>
      </c>
      <c r="E574" s="276">
        <v>319</v>
      </c>
      <c r="F574" s="276">
        <v>4</v>
      </c>
      <c r="G574" s="276">
        <v>15</v>
      </c>
      <c r="H574" s="263">
        <v>5067</v>
      </c>
      <c r="I574" s="258">
        <v>1028</v>
      </c>
      <c r="J574" s="259">
        <f>IF(H574&lt;&gt;0,I574/F574,"")</f>
        <v>257</v>
      </c>
      <c r="K574" s="260">
        <f>IF(H574&lt;&gt;0,H574/I574,"")</f>
        <v>4.928988326848249</v>
      </c>
      <c r="L574" s="264">
        <v>19737820.25</v>
      </c>
      <c r="M574" s="261">
        <v>2422173</v>
      </c>
      <c r="N574" s="299">
        <f>IF(L575&lt;&gt;0,L575/M575,"")</f>
        <v>8.15017409118413</v>
      </c>
      <c r="O574" s="262">
        <v>1</v>
      </c>
    </row>
    <row r="575" spans="1:15" ht="12" customHeight="1">
      <c r="A575" s="228">
        <v>572</v>
      </c>
      <c r="B575" s="245" t="s">
        <v>38</v>
      </c>
      <c r="C575" s="246">
        <v>40102</v>
      </c>
      <c r="D575" s="286" t="s">
        <v>418</v>
      </c>
      <c r="E575" s="248">
        <v>319</v>
      </c>
      <c r="F575" s="248">
        <v>6</v>
      </c>
      <c r="G575" s="248">
        <v>14</v>
      </c>
      <c r="H575" s="294">
        <v>3814</v>
      </c>
      <c r="I575" s="295">
        <v>755</v>
      </c>
      <c r="J575" s="296">
        <f>IF(H575&lt;&gt;0,I575/F575,"")</f>
        <v>125.83333333333333</v>
      </c>
      <c r="K575" s="297">
        <f>IF(H575&lt;&gt;0,H575/I575,"")</f>
        <v>5.051655629139073</v>
      </c>
      <c r="L575" s="298">
        <v>19732753.25</v>
      </c>
      <c r="M575" s="269">
        <v>2421145</v>
      </c>
      <c r="N575" s="272">
        <f>+L576/M576</f>
        <v>8.144201656039506</v>
      </c>
      <c r="O575" s="256"/>
    </row>
    <row r="576" spans="1:15" ht="12" customHeight="1">
      <c r="A576" s="228">
        <v>573</v>
      </c>
      <c r="B576" s="281" t="s">
        <v>36</v>
      </c>
      <c r="C576" s="308">
        <v>40102</v>
      </c>
      <c r="D576" s="336" t="s">
        <v>418</v>
      </c>
      <c r="E576" s="287">
        <v>319</v>
      </c>
      <c r="F576" s="287">
        <v>1</v>
      </c>
      <c r="G576" s="287">
        <v>21</v>
      </c>
      <c r="H576" s="288">
        <v>3564</v>
      </c>
      <c r="I576" s="289">
        <v>713</v>
      </c>
      <c r="J576" s="283">
        <f>IF(H576&lt;&gt;0,I576/F576,"")</f>
        <v>713</v>
      </c>
      <c r="K576" s="285">
        <f>H576/I576</f>
        <v>4.998597475455821</v>
      </c>
      <c r="L576" s="284">
        <v>19754135.75</v>
      </c>
      <c r="M576" s="283">
        <v>2425546</v>
      </c>
      <c r="N576" s="272">
        <f>IF(L577&lt;&gt;0,L577/M577,"")</f>
        <v>8.147355113056074</v>
      </c>
      <c r="O576" s="262"/>
    </row>
    <row r="577" spans="1:15" ht="12" customHeight="1">
      <c r="A577" s="228">
        <v>574</v>
      </c>
      <c r="B577" s="281" t="s">
        <v>36</v>
      </c>
      <c r="C577" s="265">
        <v>40102</v>
      </c>
      <c r="D577" s="286" t="s">
        <v>418</v>
      </c>
      <c r="E577" s="276">
        <v>319</v>
      </c>
      <c r="F577" s="276">
        <v>3</v>
      </c>
      <c r="G577" s="276">
        <v>17</v>
      </c>
      <c r="H577" s="267">
        <v>3454.5</v>
      </c>
      <c r="I577" s="268">
        <v>766</v>
      </c>
      <c r="J577" s="269">
        <f>I577/F577</f>
        <v>255.33333333333334</v>
      </c>
      <c r="K577" s="270">
        <f>+H577/I577</f>
        <v>4.509791122715405</v>
      </c>
      <c r="L577" s="271">
        <v>19743933.75</v>
      </c>
      <c r="M577" s="269">
        <v>2423355</v>
      </c>
      <c r="N577" s="272">
        <f>L578/M578</f>
        <v>8.14850527679272</v>
      </c>
      <c r="O577" s="273">
        <v>1</v>
      </c>
    </row>
    <row r="578" spans="1:15" ht="12" customHeight="1">
      <c r="A578" s="228">
        <v>575</v>
      </c>
      <c r="B578" s="281" t="s">
        <v>36</v>
      </c>
      <c r="C578" s="265">
        <v>40102</v>
      </c>
      <c r="D578" s="286" t="s">
        <v>418</v>
      </c>
      <c r="E578" s="276">
        <v>319</v>
      </c>
      <c r="F578" s="276">
        <v>2</v>
      </c>
      <c r="G578" s="276">
        <v>16</v>
      </c>
      <c r="H578" s="267">
        <v>2659</v>
      </c>
      <c r="I578" s="268">
        <v>416</v>
      </c>
      <c r="J578" s="269">
        <f>I578/F578</f>
        <v>208</v>
      </c>
      <c r="K578" s="270">
        <f>H578/I578</f>
        <v>6.391826923076923</v>
      </c>
      <c r="L578" s="271">
        <v>19740479.25</v>
      </c>
      <c r="M578" s="269">
        <v>2422589</v>
      </c>
      <c r="N578" s="299">
        <f>IF(L579&lt;&gt;0,L579/M579,"")</f>
        <v>8.13288340705204</v>
      </c>
      <c r="O578" s="378">
        <v>1</v>
      </c>
    </row>
    <row r="579" spans="1:15" ht="12" customHeight="1">
      <c r="A579" s="228">
        <v>576</v>
      </c>
      <c r="B579" s="245" t="s">
        <v>35</v>
      </c>
      <c r="C579" s="265">
        <v>40102</v>
      </c>
      <c r="D579" s="247" t="s">
        <v>444</v>
      </c>
      <c r="E579" s="276">
        <v>319</v>
      </c>
      <c r="F579" s="276">
        <v>1</v>
      </c>
      <c r="G579" s="276">
        <v>36</v>
      </c>
      <c r="H579" s="267">
        <v>2376</v>
      </c>
      <c r="I579" s="268">
        <v>475</v>
      </c>
      <c r="J579" s="269">
        <f>IF(H579&lt;&gt;0,I579/F579,"")</f>
        <v>475</v>
      </c>
      <c r="K579" s="270">
        <f>IF(H579&lt;&gt;0,H579/I579,"")</f>
        <v>5.002105263157895</v>
      </c>
      <c r="L579" s="271">
        <v>19814046.25</v>
      </c>
      <c r="M579" s="269">
        <v>2436288</v>
      </c>
      <c r="N579" s="272">
        <f>IF(L579&lt;&gt;0,L579/M579,"")</f>
        <v>8.13288340705204</v>
      </c>
      <c r="O579" s="262">
        <v>1</v>
      </c>
    </row>
    <row r="580" spans="1:15" ht="12" customHeight="1">
      <c r="A580" s="228">
        <v>577</v>
      </c>
      <c r="B580" s="324" t="s">
        <v>36</v>
      </c>
      <c r="C580" s="265">
        <v>40102</v>
      </c>
      <c r="D580" s="336" t="s">
        <v>418</v>
      </c>
      <c r="E580" s="287">
        <v>319</v>
      </c>
      <c r="F580" s="287">
        <v>1</v>
      </c>
      <c r="G580" s="287">
        <v>25</v>
      </c>
      <c r="H580" s="288">
        <v>2376</v>
      </c>
      <c r="I580" s="289">
        <v>475</v>
      </c>
      <c r="J580" s="283">
        <f>I580/F580</f>
        <v>475</v>
      </c>
      <c r="K580" s="285">
        <f>H580/I580</f>
        <v>5.002105263157895</v>
      </c>
      <c r="L580" s="284">
        <v>19769623.75</v>
      </c>
      <c r="M580" s="283">
        <v>2428643</v>
      </c>
      <c r="N580" s="290">
        <f>+L580/M580</f>
        <v>8.140193412535313</v>
      </c>
      <c r="O580" s="262">
        <v>1</v>
      </c>
    </row>
    <row r="581" spans="1:15" ht="12" customHeight="1">
      <c r="A581" s="228">
        <v>578</v>
      </c>
      <c r="B581" s="245" t="s">
        <v>36</v>
      </c>
      <c r="C581" s="265">
        <v>40102</v>
      </c>
      <c r="D581" s="336" t="s">
        <v>418</v>
      </c>
      <c r="E581" s="287">
        <v>319</v>
      </c>
      <c r="F581" s="287">
        <v>1</v>
      </c>
      <c r="G581" s="287">
        <v>27</v>
      </c>
      <c r="H581" s="288">
        <v>2376</v>
      </c>
      <c r="I581" s="326">
        <v>475</v>
      </c>
      <c r="J581" s="269">
        <f>IF(H581&lt;&gt;0,I581/F581,"")</f>
        <v>475</v>
      </c>
      <c r="K581" s="270">
        <f>IF(H581&lt;&gt;0,H581/I581,"")</f>
        <v>5.002105263157895</v>
      </c>
      <c r="L581" s="271">
        <v>19773187.75</v>
      </c>
      <c r="M581" s="269">
        <v>2429514</v>
      </c>
      <c r="N581" s="272">
        <f>IF(L581&lt;&gt;0,L581/M581,"")</f>
        <v>8.138742048821287</v>
      </c>
      <c r="O581" s="262">
        <v>1</v>
      </c>
    </row>
    <row r="582" spans="1:15" ht="12" customHeight="1">
      <c r="A582" s="228">
        <v>579</v>
      </c>
      <c r="B582" s="245" t="s">
        <v>36</v>
      </c>
      <c r="C582" s="246">
        <v>40102</v>
      </c>
      <c r="D582" s="247" t="s">
        <v>418</v>
      </c>
      <c r="E582" s="248">
        <v>319</v>
      </c>
      <c r="F582" s="248">
        <v>1</v>
      </c>
      <c r="G582" s="248">
        <v>28</v>
      </c>
      <c r="H582" s="249">
        <v>2376</v>
      </c>
      <c r="I582" s="250">
        <v>475</v>
      </c>
      <c r="J582" s="251">
        <f>I582/F582</f>
        <v>475</v>
      </c>
      <c r="K582" s="252">
        <f>H582/I582</f>
        <v>5.002105263157895</v>
      </c>
      <c r="L582" s="253">
        <v>19775563.75</v>
      </c>
      <c r="M582" s="254">
        <v>2429989</v>
      </c>
      <c r="N582" s="255">
        <f>+L582/M582</f>
        <v>8.138128917456005</v>
      </c>
      <c r="O582" s="379">
        <v>1</v>
      </c>
    </row>
    <row r="583" spans="1:15" ht="12" customHeight="1">
      <c r="A583" s="228">
        <v>580</v>
      </c>
      <c r="B583" s="245" t="s">
        <v>36</v>
      </c>
      <c r="C583" s="246">
        <v>40102</v>
      </c>
      <c r="D583" s="286" t="s">
        <v>418</v>
      </c>
      <c r="E583" s="248">
        <v>319</v>
      </c>
      <c r="F583" s="248">
        <v>7</v>
      </c>
      <c r="G583" s="248">
        <v>13</v>
      </c>
      <c r="H583" s="294">
        <v>1900</v>
      </c>
      <c r="I583" s="300">
        <v>264</v>
      </c>
      <c r="J583" s="301">
        <f>IF(H583&lt;&gt;0,I583/F583,"")</f>
        <v>37.714285714285715</v>
      </c>
      <c r="K583" s="302">
        <f>IF(H583&lt;&gt;0,H583/I583,"")</f>
        <v>7.196969696969697</v>
      </c>
      <c r="L583" s="298">
        <v>19728939.25</v>
      </c>
      <c r="M583" s="283">
        <v>2420390</v>
      </c>
      <c r="N583" s="272">
        <f>+L584/M584</f>
        <v>8.139355419982964</v>
      </c>
      <c r="O583" s="262">
        <v>1</v>
      </c>
    </row>
    <row r="584" spans="1:15" ht="12" customHeight="1">
      <c r="A584" s="228">
        <v>581</v>
      </c>
      <c r="B584" s="245" t="s">
        <v>36</v>
      </c>
      <c r="C584" s="265">
        <v>40102</v>
      </c>
      <c r="D584" s="336" t="s">
        <v>418</v>
      </c>
      <c r="E584" s="287">
        <v>319</v>
      </c>
      <c r="F584" s="287">
        <v>1</v>
      </c>
      <c r="G584" s="287">
        <v>26</v>
      </c>
      <c r="H584" s="288">
        <v>1188</v>
      </c>
      <c r="I584" s="289">
        <v>396</v>
      </c>
      <c r="J584" s="283">
        <f>I584/F584</f>
        <v>396</v>
      </c>
      <c r="K584" s="285">
        <f>+H584/I584</f>
        <v>3</v>
      </c>
      <c r="L584" s="284">
        <v>19770811.75</v>
      </c>
      <c r="M584" s="283">
        <v>2429039</v>
      </c>
      <c r="N584" s="290">
        <f>+L584/M584</f>
        <v>8.139355419982964</v>
      </c>
      <c r="O584" s="345">
        <v>1</v>
      </c>
    </row>
    <row r="585" spans="1:15" ht="12" customHeight="1">
      <c r="A585" s="228">
        <v>582</v>
      </c>
      <c r="B585" s="281" t="s">
        <v>36</v>
      </c>
      <c r="C585" s="308">
        <v>40102</v>
      </c>
      <c r="D585" s="286" t="s">
        <v>418</v>
      </c>
      <c r="E585" s="287">
        <v>319</v>
      </c>
      <c r="F585" s="287">
        <v>1</v>
      </c>
      <c r="G585" s="287">
        <v>20</v>
      </c>
      <c r="H585" s="288">
        <v>748</v>
      </c>
      <c r="I585" s="289">
        <v>150</v>
      </c>
      <c r="J585" s="283">
        <f>I585/F585</f>
        <v>150</v>
      </c>
      <c r="K585" s="285">
        <f>H585/I585</f>
        <v>4.986666666666666</v>
      </c>
      <c r="L585" s="284">
        <v>19750571.75</v>
      </c>
      <c r="M585" s="283">
        <v>2424833</v>
      </c>
      <c r="N585" s="272">
        <f>IF(L586&lt;&gt;0,L586/M586,"")</f>
        <v>8.133669853062836</v>
      </c>
      <c r="O585" s="256">
        <v>1</v>
      </c>
    </row>
    <row r="586" spans="1:15" ht="12" customHeight="1">
      <c r="A586" s="228">
        <v>583</v>
      </c>
      <c r="B586" s="245" t="s">
        <v>37</v>
      </c>
      <c r="C586" s="265">
        <v>40102</v>
      </c>
      <c r="D586" s="247" t="s">
        <v>444</v>
      </c>
      <c r="E586" s="276">
        <v>319</v>
      </c>
      <c r="F586" s="276">
        <v>2</v>
      </c>
      <c r="G586" s="276">
        <v>33</v>
      </c>
      <c r="H586" s="267">
        <v>388</v>
      </c>
      <c r="I586" s="268">
        <v>76</v>
      </c>
      <c r="J586" s="269">
        <f>IF(H586&lt;&gt;0,I586/F586,"")</f>
        <v>38</v>
      </c>
      <c r="K586" s="270">
        <f>IF(H586&lt;&gt;0,H586/I586,"")</f>
        <v>5.105263157894737</v>
      </c>
      <c r="L586" s="271">
        <f>19810523.25+H586</f>
        <v>19810911.25</v>
      </c>
      <c r="M586" s="269">
        <f>2435591+I586</f>
        <v>2435667</v>
      </c>
      <c r="N586" s="272">
        <f>IF(L586&lt;&gt;0,L586/M586,"")</f>
        <v>8.133669853062836</v>
      </c>
      <c r="O586" s="262">
        <v>1</v>
      </c>
    </row>
    <row r="587" spans="1:15" ht="12" customHeight="1">
      <c r="A587" s="228">
        <v>584</v>
      </c>
      <c r="B587" s="245" t="s">
        <v>37</v>
      </c>
      <c r="C587" s="265">
        <v>40102</v>
      </c>
      <c r="D587" s="247" t="s">
        <v>444</v>
      </c>
      <c r="E587" s="276">
        <v>319</v>
      </c>
      <c r="F587" s="276">
        <v>2</v>
      </c>
      <c r="G587" s="276">
        <v>35</v>
      </c>
      <c r="H587" s="267">
        <v>298</v>
      </c>
      <c r="I587" s="268">
        <v>57</v>
      </c>
      <c r="J587" s="269">
        <f>IF(H587&lt;&gt;0,I587/F587,"")</f>
        <v>28.5</v>
      </c>
      <c r="K587" s="270">
        <f>IF(H587&lt;&gt;0,H587/I587,"")</f>
        <v>5.228070175438597</v>
      </c>
      <c r="L587" s="271">
        <f>19811372.25+H587</f>
        <v>19811670.25</v>
      </c>
      <c r="M587" s="269">
        <f>2435756+I587</f>
        <v>2435813</v>
      </c>
      <c r="N587" s="272">
        <f>+L587/M587</f>
        <v>8.133493929952751</v>
      </c>
      <c r="O587" s="262">
        <v>1</v>
      </c>
    </row>
    <row r="588" spans="1:15" ht="12" customHeight="1">
      <c r="A588" s="228">
        <v>585</v>
      </c>
      <c r="B588" s="324" t="s">
        <v>36</v>
      </c>
      <c r="C588" s="308">
        <v>40102</v>
      </c>
      <c r="D588" s="336" t="s">
        <v>418</v>
      </c>
      <c r="E588" s="287">
        <v>319</v>
      </c>
      <c r="F588" s="287">
        <v>1</v>
      </c>
      <c r="G588" s="287">
        <v>23</v>
      </c>
      <c r="H588" s="288">
        <v>150</v>
      </c>
      <c r="I588" s="289">
        <v>30</v>
      </c>
      <c r="J588" s="283">
        <f>I588/F588</f>
        <v>30</v>
      </c>
      <c r="K588" s="285">
        <f>H588/I588</f>
        <v>5</v>
      </c>
      <c r="L588" s="284">
        <v>19767157.75</v>
      </c>
      <c r="M588" s="283">
        <v>2428150</v>
      </c>
      <c r="N588" s="255">
        <f>IF(L589&lt;&gt;0,L589/M589,"")</f>
        <v>8.147365815936409</v>
      </c>
      <c r="O588" s="341">
        <v>1</v>
      </c>
    </row>
    <row r="589" spans="1:16" s="31" customFormat="1" ht="12" customHeight="1">
      <c r="A589" s="228">
        <v>586</v>
      </c>
      <c r="B589" s="281" t="s">
        <v>36</v>
      </c>
      <c r="C589" s="265">
        <v>40102</v>
      </c>
      <c r="D589" s="286" t="s">
        <v>418</v>
      </c>
      <c r="E589" s="276">
        <v>319</v>
      </c>
      <c r="F589" s="276">
        <v>1</v>
      </c>
      <c r="G589" s="276">
        <v>18</v>
      </c>
      <c r="H589" s="280">
        <v>140</v>
      </c>
      <c r="I589" s="282">
        <v>14</v>
      </c>
      <c r="J589" s="283">
        <f>IF(H589&lt;&gt;0,I589/F589,"")</f>
        <v>14</v>
      </c>
      <c r="K589" s="285">
        <f>IF(H589&lt;&gt;0,H589/I589,"")</f>
        <v>10</v>
      </c>
      <c r="L589" s="284">
        <v>19744073.75</v>
      </c>
      <c r="M589" s="283">
        <v>2423369</v>
      </c>
      <c r="N589" s="272">
        <f>+L590/M590</f>
        <v>8.140809874613186</v>
      </c>
      <c r="O589" s="274">
        <v>1</v>
      </c>
      <c r="P589" s="34"/>
    </row>
    <row r="590" spans="1:16" s="31" customFormat="1" ht="12" customHeight="1">
      <c r="A590" s="228">
        <v>587</v>
      </c>
      <c r="B590" s="245" t="s">
        <v>36</v>
      </c>
      <c r="C590" s="246">
        <v>40102</v>
      </c>
      <c r="D590" s="337" t="s">
        <v>418</v>
      </c>
      <c r="E590" s="248">
        <v>319</v>
      </c>
      <c r="F590" s="248">
        <v>1</v>
      </c>
      <c r="G590" s="248">
        <v>24</v>
      </c>
      <c r="H590" s="249">
        <v>80</v>
      </c>
      <c r="I590" s="258">
        <v>16</v>
      </c>
      <c r="J590" s="259">
        <f>IF(H590&lt;&gt;0,I590/F590,"")</f>
        <v>16</v>
      </c>
      <c r="K590" s="260">
        <f>IF(H590&lt;&gt;0,H590/I590,"")</f>
        <v>5</v>
      </c>
      <c r="L590" s="253">
        <v>19767237.75</v>
      </c>
      <c r="M590" s="261">
        <v>2428166</v>
      </c>
      <c r="N590" s="317">
        <f>+L591/M591</f>
        <v>8.625511347627889</v>
      </c>
      <c r="O590" s="262">
        <v>1</v>
      </c>
      <c r="P590" s="34"/>
    </row>
    <row r="591" spans="1:16" s="31" customFormat="1" ht="12" customHeight="1">
      <c r="A591" s="228">
        <v>588</v>
      </c>
      <c r="B591" s="309" t="s">
        <v>39</v>
      </c>
      <c r="C591" s="246">
        <v>40144</v>
      </c>
      <c r="D591" s="286" t="s">
        <v>323</v>
      </c>
      <c r="E591" s="310">
        <v>258</v>
      </c>
      <c r="F591" s="310">
        <v>176</v>
      </c>
      <c r="G591" s="310">
        <v>6</v>
      </c>
      <c r="H591" s="311">
        <v>225694.5</v>
      </c>
      <c r="I591" s="312">
        <v>35788</v>
      </c>
      <c r="J591" s="313">
        <f>I591/F591</f>
        <v>203.3409090909091</v>
      </c>
      <c r="K591" s="314">
        <f>H591/I591</f>
        <v>6.306429529451212</v>
      </c>
      <c r="L591" s="315">
        <v>9551615.25</v>
      </c>
      <c r="M591" s="316">
        <v>1107368</v>
      </c>
      <c r="N591" s="299">
        <f>IF(L592&lt;&gt;0,L592/M592,"")</f>
        <v>8.60634048334202</v>
      </c>
      <c r="O591" s="262">
        <v>1</v>
      </c>
      <c r="P591" s="34"/>
    </row>
    <row r="592" spans="1:16" s="31" customFormat="1" ht="12" customHeight="1">
      <c r="A592" s="228">
        <v>589</v>
      </c>
      <c r="B592" s="309" t="s">
        <v>40</v>
      </c>
      <c r="C592" s="246">
        <v>40144</v>
      </c>
      <c r="D592" s="286" t="s">
        <v>323</v>
      </c>
      <c r="E592" s="310">
        <v>258</v>
      </c>
      <c r="F592" s="310">
        <v>55</v>
      </c>
      <c r="G592" s="310">
        <v>7</v>
      </c>
      <c r="H592" s="311">
        <v>58586</v>
      </c>
      <c r="I592" s="312">
        <v>9274</v>
      </c>
      <c r="J592" s="313">
        <f>I592/F592</f>
        <v>168.61818181818182</v>
      </c>
      <c r="K592" s="318">
        <f>H592/I592</f>
        <v>6.317230968298468</v>
      </c>
      <c r="L592" s="315">
        <v>9610201.25</v>
      </c>
      <c r="M592" s="316">
        <v>1116642</v>
      </c>
      <c r="N592" s="299">
        <f>IF(L593&lt;&gt;0,L593/M593,"")</f>
        <v>8.59450453332668</v>
      </c>
      <c r="O592" s="262">
        <v>1</v>
      </c>
      <c r="P592" s="34"/>
    </row>
    <row r="593" spans="1:16" s="31" customFormat="1" ht="12" customHeight="1">
      <c r="A593" s="228">
        <v>590</v>
      </c>
      <c r="B593" s="309" t="s">
        <v>39</v>
      </c>
      <c r="C593" s="246">
        <v>40144</v>
      </c>
      <c r="D593" s="286" t="s">
        <v>323</v>
      </c>
      <c r="E593" s="310">
        <v>258</v>
      </c>
      <c r="F593" s="310">
        <v>27</v>
      </c>
      <c r="G593" s="310">
        <v>8</v>
      </c>
      <c r="H593" s="311">
        <v>33984.5</v>
      </c>
      <c r="I593" s="319">
        <v>5492</v>
      </c>
      <c r="J593" s="320">
        <f>I593/F593</f>
        <v>203.40740740740742</v>
      </c>
      <c r="K593" s="314">
        <f>H593/I593</f>
        <v>6.18800072833212</v>
      </c>
      <c r="L593" s="315">
        <v>9644185.75</v>
      </c>
      <c r="M593" s="321">
        <v>1122134</v>
      </c>
      <c r="N593" s="255">
        <f>+L594/M594</f>
        <v>8.586948196986127</v>
      </c>
      <c r="O593" s="244">
        <v>1</v>
      </c>
      <c r="P593" s="34"/>
    </row>
    <row r="594" spans="1:16" s="31" customFormat="1" ht="12" customHeight="1">
      <c r="A594" s="228">
        <v>591</v>
      </c>
      <c r="B594" s="281" t="s">
        <v>39</v>
      </c>
      <c r="C594" s="265">
        <v>40144</v>
      </c>
      <c r="D594" s="286" t="s">
        <v>323</v>
      </c>
      <c r="E594" s="276">
        <v>258</v>
      </c>
      <c r="F594" s="276">
        <v>13</v>
      </c>
      <c r="G594" s="276">
        <v>9</v>
      </c>
      <c r="H594" s="267">
        <v>9270</v>
      </c>
      <c r="I594" s="268">
        <v>2067</v>
      </c>
      <c r="J594" s="259">
        <f>I594/F594</f>
        <v>159</v>
      </c>
      <c r="K594" s="260">
        <f>H594/I594</f>
        <v>4.484760522496371</v>
      </c>
      <c r="L594" s="271">
        <v>9653455.75</v>
      </c>
      <c r="M594" s="269">
        <v>1124201</v>
      </c>
      <c r="N594" s="272">
        <f>L595/M595</f>
        <v>8.584887040676378</v>
      </c>
      <c r="O594" s="262">
        <v>1</v>
      </c>
      <c r="P594" s="34"/>
    </row>
    <row r="595" spans="1:16" s="31" customFormat="1" ht="12" customHeight="1">
      <c r="A595" s="228">
        <v>592</v>
      </c>
      <c r="B595" s="281" t="s">
        <v>39</v>
      </c>
      <c r="C595" s="265">
        <v>40144</v>
      </c>
      <c r="D595" s="286" t="s">
        <v>323</v>
      </c>
      <c r="E595" s="276">
        <v>258</v>
      </c>
      <c r="F595" s="276">
        <v>7</v>
      </c>
      <c r="G595" s="276">
        <v>9</v>
      </c>
      <c r="H595" s="267">
        <v>4980</v>
      </c>
      <c r="I595" s="268">
        <v>850</v>
      </c>
      <c r="J595" s="269">
        <f>I595/F595</f>
        <v>121.42857142857143</v>
      </c>
      <c r="K595" s="270">
        <f>H595/I595</f>
        <v>5.858823529411764</v>
      </c>
      <c r="L595" s="271">
        <v>9658435.75</v>
      </c>
      <c r="M595" s="269">
        <v>1125051</v>
      </c>
      <c r="N595" s="272">
        <f>L596/M596</f>
        <v>8.584972996655798</v>
      </c>
      <c r="O595" s="262">
        <v>1</v>
      </c>
      <c r="P595" s="34"/>
    </row>
    <row r="596" spans="1:16" s="32" customFormat="1" ht="12" customHeight="1">
      <c r="A596" s="228">
        <v>593</v>
      </c>
      <c r="B596" s="281" t="s">
        <v>39</v>
      </c>
      <c r="C596" s="265">
        <v>40144</v>
      </c>
      <c r="D596" s="286" t="s">
        <v>323</v>
      </c>
      <c r="E596" s="276">
        <v>258</v>
      </c>
      <c r="F596" s="276">
        <v>5</v>
      </c>
      <c r="G596" s="276">
        <v>11</v>
      </c>
      <c r="H596" s="267">
        <v>1642</v>
      </c>
      <c r="I596" s="268">
        <v>180</v>
      </c>
      <c r="J596" s="269">
        <f>(I596/F596)</f>
        <v>36</v>
      </c>
      <c r="K596" s="270">
        <f>(J596/G596)</f>
        <v>3.272727272727273</v>
      </c>
      <c r="L596" s="271">
        <v>9660077.75</v>
      </c>
      <c r="M596" s="269">
        <v>1125231</v>
      </c>
      <c r="N596" s="272">
        <f>+L597/M597</f>
        <v>8.583208214989147</v>
      </c>
      <c r="O596" s="262">
        <v>1</v>
      </c>
      <c r="P596" s="35"/>
    </row>
    <row r="597" spans="1:16" s="31" customFormat="1" ht="12" customHeight="1">
      <c r="A597" s="228">
        <v>594</v>
      </c>
      <c r="B597" s="281" t="s">
        <v>39</v>
      </c>
      <c r="C597" s="265">
        <v>40144</v>
      </c>
      <c r="D597" s="286" t="s">
        <v>323</v>
      </c>
      <c r="E597" s="287">
        <v>258</v>
      </c>
      <c r="F597" s="287">
        <v>1</v>
      </c>
      <c r="G597" s="287">
        <v>13</v>
      </c>
      <c r="H597" s="288">
        <v>1190</v>
      </c>
      <c r="I597" s="289">
        <v>370</v>
      </c>
      <c r="J597" s="283">
        <f>I597/F597</f>
        <v>370</v>
      </c>
      <c r="K597" s="285">
        <f aca="true" t="shared" si="46" ref="K597:K613">H597/I597</f>
        <v>3.2162162162162162</v>
      </c>
      <c r="L597" s="284">
        <v>9661267.75</v>
      </c>
      <c r="M597" s="283">
        <v>1125601</v>
      </c>
      <c r="N597" s="255">
        <f>L598/M598</f>
        <v>7.406269572025052</v>
      </c>
      <c r="O597" s="262">
        <v>1</v>
      </c>
      <c r="P597" s="34"/>
    </row>
    <row r="598" spans="1:16" s="33" customFormat="1" ht="12" customHeight="1">
      <c r="A598" s="228">
        <v>595</v>
      </c>
      <c r="B598" s="281" t="s">
        <v>260</v>
      </c>
      <c r="C598" s="308">
        <v>39955</v>
      </c>
      <c r="D598" s="275" t="s">
        <v>322</v>
      </c>
      <c r="E598" s="287">
        <v>88</v>
      </c>
      <c r="F598" s="287">
        <v>1</v>
      </c>
      <c r="G598" s="287">
        <v>27</v>
      </c>
      <c r="H598" s="288">
        <v>43620</v>
      </c>
      <c r="I598" s="289">
        <v>10905</v>
      </c>
      <c r="J598" s="283">
        <f>I598/F598</f>
        <v>10905</v>
      </c>
      <c r="K598" s="285">
        <f t="shared" si="46"/>
        <v>4</v>
      </c>
      <c r="L598" s="284">
        <f>253985.25+197941+176827+129137.25+73306.5+36496.5+20735+12653+3137+3974+3108+6704.75+3312+1885+643+108556.75+31027+8660.5+1196.5+2137+5262+2140+4040+1780+1188+1780+43620</f>
        <v>1135233</v>
      </c>
      <c r="M598" s="283">
        <f>26929+21325+23241+17550+10624+6388+4049+2644+577+882+663+1354+764+460+116+14641+4967+986+117+181+1185+535+1010+445+297+445+10905</f>
        <v>153280</v>
      </c>
      <c r="N598" s="272">
        <f>L599/M599</f>
        <v>7.66716769095698</v>
      </c>
      <c r="O598" s="262">
        <v>1</v>
      </c>
      <c r="P598" s="36"/>
    </row>
    <row r="599" spans="1:16" s="32" customFormat="1" ht="12" customHeight="1">
      <c r="A599" s="228">
        <v>596</v>
      </c>
      <c r="B599" s="281" t="s">
        <v>260</v>
      </c>
      <c r="C599" s="308">
        <v>39955</v>
      </c>
      <c r="D599" s="275" t="s">
        <v>322</v>
      </c>
      <c r="E599" s="287">
        <v>88</v>
      </c>
      <c r="F599" s="287">
        <v>1</v>
      </c>
      <c r="G599" s="287">
        <v>26</v>
      </c>
      <c r="H599" s="288">
        <v>1780</v>
      </c>
      <c r="I599" s="289">
        <v>445</v>
      </c>
      <c r="J599" s="283">
        <f>I599/F599</f>
        <v>445</v>
      </c>
      <c r="K599" s="285">
        <f t="shared" si="46"/>
        <v>4</v>
      </c>
      <c r="L599" s="284">
        <f>253985.25+197941+176827+129137.25+73306.5+36496.5+20735+12653+3137+3974+3108+6704.75+3312+1885+643+108556.75+31027+8660.5+1196.5+2137+5262+2140+4040+1780+1188+1780</f>
        <v>1091613</v>
      </c>
      <c r="M599" s="283">
        <f>26929+21325+23241+17550+10624+6388+4049+2644+577+882+663+1354+764+460+116+14641+4967+986+117+181+1185+535+1010+445+297+445</f>
        <v>142375</v>
      </c>
      <c r="N599" s="272">
        <f>+L600/M600</f>
        <v>7.678665539350384</v>
      </c>
      <c r="O599" s="262">
        <v>1</v>
      </c>
      <c r="P599" s="35"/>
    </row>
    <row r="600" spans="1:16" s="31" customFormat="1" ht="12" customHeight="1">
      <c r="A600" s="228">
        <v>597</v>
      </c>
      <c r="B600" s="281" t="s">
        <v>260</v>
      </c>
      <c r="C600" s="265">
        <v>39955</v>
      </c>
      <c r="D600" s="275" t="s">
        <v>322</v>
      </c>
      <c r="E600" s="276">
        <v>88</v>
      </c>
      <c r="F600" s="276">
        <v>1</v>
      </c>
      <c r="G600" s="276">
        <v>25</v>
      </c>
      <c r="H600" s="263">
        <v>1188</v>
      </c>
      <c r="I600" s="258">
        <v>297</v>
      </c>
      <c r="J600" s="259">
        <f>(I600/F600)</f>
        <v>297</v>
      </c>
      <c r="K600" s="260">
        <f t="shared" si="46"/>
        <v>4</v>
      </c>
      <c r="L600" s="264">
        <f>253985.25+197941+176827+129137.25+73306.5+36496.5+20735+12653+3137+3974+3108+6704.75+3312+1885+643+108556.75+31027+8660.5+1196.5+2137+5262+2140+4040+1780+1188</f>
        <v>1089833</v>
      </c>
      <c r="M600" s="261">
        <f>26929+21325+23241+17550+10624+6388+4049+2644+577+882+663+1354+764+460+116+14641+4967+986+117+181+1185+535+1010+445+297</f>
        <v>141930</v>
      </c>
      <c r="N600" s="272">
        <f>+L601/M601</f>
        <v>7.299029119848959</v>
      </c>
      <c r="O600" s="262">
        <v>1</v>
      </c>
      <c r="P600" s="34"/>
    </row>
    <row r="601" spans="1:16" s="31" customFormat="1" ht="12" customHeight="1">
      <c r="A601" s="228">
        <v>598</v>
      </c>
      <c r="B601" s="281" t="s">
        <v>367</v>
      </c>
      <c r="C601" s="308">
        <v>39864</v>
      </c>
      <c r="D601" s="275" t="s">
        <v>322</v>
      </c>
      <c r="E601" s="287">
        <v>55</v>
      </c>
      <c r="F601" s="287">
        <v>1</v>
      </c>
      <c r="G601" s="287">
        <v>26</v>
      </c>
      <c r="H601" s="288">
        <v>1780</v>
      </c>
      <c r="I601" s="289">
        <v>445</v>
      </c>
      <c r="J601" s="283">
        <f>(I601/F601)</f>
        <v>445</v>
      </c>
      <c r="K601" s="285">
        <f t="shared" si="46"/>
        <v>4</v>
      </c>
      <c r="L601" s="284">
        <f>190777.5+154065+60826.5+20820+23589+29712+19396.5+16102+12940+11034+3005+981+1140+40+98.25+284+1000+300+220+1211.5+155+156+63+1780+5228+1780</f>
        <v>556704.25</v>
      </c>
      <c r="M601" s="283">
        <f>20518+17650+7809+3283+4115+5826+3911+3770+2981+2505+653+199+194+8+18+60+100+75+44+292+22+22+19+445+1307+445</f>
        <v>76271</v>
      </c>
      <c r="N601" s="272">
        <f>+L602/M602</f>
        <v>7.2875045701452</v>
      </c>
      <c r="O601" s="262">
        <v>1</v>
      </c>
      <c r="P601" s="34"/>
    </row>
    <row r="602" spans="1:16" s="31" customFormat="1" ht="12" customHeight="1">
      <c r="A602" s="228">
        <v>599</v>
      </c>
      <c r="B602" s="324" t="s">
        <v>367</v>
      </c>
      <c r="C602" s="265">
        <v>39864</v>
      </c>
      <c r="D602" s="275" t="s">
        <v>322</v>
      </c>
      <c r="E602" s="287">
        <v>55</v>
      </c>
      <c r="F602" s="287">
        <v>1</v>
      </c>
      <c r="G602" s="287">
        <v>28</v>
      </c>
      <c r="H602" s="288">
        <v>952</v>
      </c>
      <c r="I602" s="289">
        <v>238</v>
      </c>
      <c r="J602" s="283">
        <f>I602/F602</f>
        <v>238</v>
      </c>
      <c r="K602" s="285">
        <f t="shared" si="46"/>
        <v>4</v>
      </c>
      <c r="L602" s="284">
        <f>190777.5+154065+60826.5+20820+23589+29712+19396.5+16102+12940+11034+3005+981+1140+40+98.25+284+1000+300+220+1211.5+155+156+63+1780+5228+1780+450+952</f>
        <v>558106.25</v>
      </c>
      <c r="M602" s="283">
        <f>20518+17650+7809+3283+4115+5826+3911+3770+2981+2505+653+199+194+8+18+60+100+75+44+292+22+22+19+445+1307+445+75+238</f>
        <v>76584</v>
      </c>
      <c r="N602" s="290">
        <f>+L602/M602</f>
        <v>7.2875045701452</v>
      </c>
      <c r="O602" s="256">
        <v>1</v>
      </c>
      <c r="P602" s="34"/>
    </row>
    <row r="603" spans="1:16" s="32" customFormat="1" ht="12" customHeight="1">
      <c r="A603" s="228">
        <v>600</v>
      </c>
      <c r="B603" s="324" t="s">
        <v>367</v>
      </c>
      <c r="C603" s="308">
        <v>39864</v>
      </c>
      <c r="D603" s="275" t="s">
        <v>322</v>
      </c>
      <c r="E603" s="287">
        <v>55</v>
      </c>
      <c r="F603" s="287">
        <v>1</v>
      </c>
      <c r="G603" s="287">
        <v>27</v>
      </c>
      <c r="H603" s="288">
        <v>450</v>
      </c>
      <c r="I603" s="289">
        <v>75</v>
      </c>
      <c r="J603" s="283">
        <f>I603/F603</f>
        <v>75</v>
      </c>
      <c r="K603" s="285">
        <f t="shared" si="46"/>
        <v>6</v>
      </c>
      <c r="L603" s="284">
        <f>190777.5+154065+60826.5+20820+23589+29712+19396.5+16102+12940+11034+3005+981+1140+40+98.25+284+1000+300+220+1211.5+155+156+63+1780+5228+1780+450</f>
        <v>557154.25</v>
      </c>
      <c r="M603" s="283">
        <f>20518+17650+7809+3283+4115+5826+3911+3770+2981+2505+653+199+194+8+18+60+100+75+44+292+22+22+19+445+1307+445+75</f>
        <v>76346</v>
      </c>
      <c r="N603" s="272">
        <f>+L604/M604</f>
        <v>7.286638690561654</v>
      </c>
      <c r="O603" s="274"/>
      <c r="P603" s="35"/>
    </row>
    <row r="604" spans="1:16" s="33" customFormat="1" ht="12" customHeight="1">
      <c r="A604" s="228">
        <v>601</v>
      </c>
      <c r="B604" s="245" t="s">
        <v>367</v>
      </c>
      <c r="C604" s="246">
        <v>39864</v>
      </c>
      <c r="D604" s="247" t="s">
        <v>334</v>
      </c>
      <c r="E604" s="248">
        <v>55</v>
      </c>
      <c r="F604" s="248">
        <v>1</v>
      </c>
      <c r="G604" s="248">
        <v>29</v>
      </c>
      <c r="H604" s="249">
        <v>145</v>
      </c>
      <c r="I604" s="250">
        <v>29</v>
      </c>
      <c r="J604" s="251">
        <f>I604/F604</f>
        <v>29</v>
      </c>
      <c r="K604" s="260">
        <f t="shared" si="46"/>
        <v>5</v>
      </c>
      <c r="L604" s="253">
        <f>190777.5+154065+60826.5+20820+23589+29712+19396.5+16102+12940+11034+3005+981+1140+40+98.25+284+1000+300+220+1211.5+155+156+63+1780+5228+1780+450+952+145</f>
        <v>558251.25</v>
      </c>
      <c r="M604" s="254">
        <f>20518+17650+7809+3283+4115+5826+3911+3770+2981+2505+653+199+194+8+18+60+100+75+44+292+22+22+19+445+1307+445+75+238+29</f>
        <v>76613</v>
      </c>
      <c r="N604" s="255">
        <f>+L604/M604</f>
        <v>7.286638690561654</v>
      </c>
      <c r="O604" s="274"/>
      <c r="P604" s="36"/>
    </row>
    <row r="605" spans="1:16" s="31" customFormat="1" ht="12" customHeight="1">
      <c r="A605" s="228">
        <v>602</v>
      </c>
      <c r="B605" s="245" t="s">
        <v>222</v>
      </c>
      <c r="C605" s="265">
        <v>39864</v>
      </c>
      <c r="D605" s="247" t="s">
        <v>322</v>
      </c>
      <c r="E605" s="276">
        <v>55</v>
      </c>
      <c r="F605" s="276">
        <v>4</v>
      </c>
      <c r="G605" s="276">
        <v>31</v>
      </c>
      <c r="H605" s="267">
        <v>2445</v>
      </c>
      <c r="I605" s="268">
        <v>383</v>
      </c>
      <c r="J605" s="269">
        <f>(I605/F605)</f>
        <v>95.75</v>
      </c>
      <c r="K605" s="270">
        <f t="shared" si="46"/>
        <v>6.383812010443864</v>
      </c>
      <c r="L605" s="271">
        <f>190777.5+154065+60826.5+20820+23589+29712+19396.5+16102+12940+11034+3005+981+1140+40+98.25+284+1000+300+220+1211.5+155+156+63+1780+5228+1780+450+952+145+640+2445</f>
        <v>561336.25</v>
      </c>
      <c r="M605" s="269">
        <f>20518+17650+7809+3283+4115+5826+3911+3770+2981+2505+653+199+194+8+18+60+100+75+44+292+22+22+19+445+1307+445+75+238+29+128+383</f>
        <v>77124</v>
      </c>
      <c r="N605" s="272">
        <f>L605/M605</f>
        <v>7.278360173227529</v>
      </c>
      <c r="O605" s="273"/>
      <c r="P605" s="34"/>
    </row>
    <row r="606" spans="1:16" s="31" customFormat="1" ht="12" customHeight="1">
      <c r="A606" s="228">
        <v>603</v>
      </c>
      <c r="B606" s="245" t="s">
        <v>222</v>
      </c>
      <c r="C606" s="246">
        <v>39864</v>
      </c>
      <c r="D606" s="247" t="s">
        <v>322</v>
      </c>
      <c r="E606" s="248">
        <v>55</v>
      </c>
      <c r="F606" s="248">
        <v>1</v>
      </c>
      <c r="G606" s="248">
        <v>35</v>
      </c>
      <c r="H606" s="263">
        <v>2376</v>
      </c>
      <c r="I606" s="258">
        <v>594</v>
      </c>
      <c r="J606" s="259">
        <f>(I606/F606)</f>
        <v>594</v>
      </c>
      <c r="K606" s="260">
        <f t="shared" si="46"/>
        <v>4</v>
      </c>
      <c r="L606" s="264">
        <f>190777.5+154065+60826.5+20820+23589+29712+19396.5+16102+12940+11034+3005+981+1140+40+98.25+284+1000+300+220+1211.5+155+156+63+1780+5228+1780+450+952+145+640+2445+2376+2376+2376</f>
        <v>568464.25</v>
      </c>
      <c r="M606" s="261">
        <f>20518+17650+7809+3283+4115+5826+3911+3770+2981+2505+653+199+194+8+18+60+100+75+44+292+22+22+19+445+1307+445+75+238+29+128+383+594+594+594</f>
        <v>78906</v>
      </c>
      <c r="N606" s="255">
        <f>L606/M606</f>
        <v>7.204322231515981</v>
      </c>
      <c r="O606" s="274"/>
      <c r="P606" s="34"/>
    </row>
    <row r="607" spans="1:16" s="31" customFormat="1" ht="12" customHeight="1">
      <c r="A607" s="228">
        <v>604</v>
      </c>
      <c r="B607" s="245" t="s">
        <v>222</v>
      </c>
      <c r="C607" s="265">
        <v>39864</v>
      </c>
      <c r="D607" s="247" t="s">
        <v>322</v>
      </c>
      <c r="E607" s="276">
        <v>55</v>
      </c>
      <c r="F607" s="276">
        <v>1</v>
      </c>
      <c r="G607" s="276">
        <v>34</v>
      </c>
      <c r="H607" s="267">
        <v>2376</v>
      </c>
      <c r="I607" s="268">
        <v>594</v>
      </c>
      <c r="J607" s="269">
        <f>(I607/F607)</f>
        <v>594</v>
      </c>
      <c r="K607" s="270">
        <f t="shared" si="46"/>
        <v>4</v>
      </c>
      <c r="L607" s="271">
        <f>190777.5+154065+60826.5+20820+23589+29712+19396.5+16102+12940+11034+3005+981+1140+40+98.25+284+1000+300+220+1211.5+155+156+63+1780+5228+1780+450+952+145+640+2445+2376+2376</f>
        <v>566088.25</v>
      </c>
      <c r="M607" s="269">
        <f>20518+17650+7809+3283+4115+5826+3911+3770+2981+2505+653+199+194+8+18+60+100+75+44+292+22+22+19+445+1307+445+75+238+29+128+383+594+594</f>
        <v>78312</v>
      </c>
      <c r="N607" s="272">
        <f>L607/M607</f>
        <v>7.228627158034529</v>
      </c>
      <c r="O607" s="244">
        <v>1</v>
      </c>
      <c r="P607" s="34"/>
    </row>
    <row r="608" spans="1:15" ht="12" customHeight="1">
      <c r="A608" s="228">
        <v>605</v>
      </c>
      <c r="B608" s="245" t="s">
        <v>222</v>
      </c>
      <c r="C608" s="265">
        <v>39864</v>
      </c>
      <c r="D608" s="275" t="s">
        <v>322</v>
      </c>
      <c r="E608" s="276">
        <v>55</v>
      </c>
      <c r="F608" s="276">
        <v>1</v>
      </c>
      <c r="G608" s="276">
        <v>32</v>
      </c>
      <c r="H608" s="263">
        <v>2376</v>
      </c>
      <c r="I608" s="258">
        <v>594</v>
      </c>
      <c r="J608" s="269">
        <f>(I608/F608)</f>
        <v>594</v>
      </c>
      <c r="K608" s="270">
        <f t="shared" si="46"/>
        <v>4</v>
      </c>
      <c r="L608" s="271">
        <f>190777.5+154065+60826.5+20820+23589+29712+19396.5+16102+12940+11034+3005+981+1140+40+98.25+284+1000+300+220+1211.5+155+156+63+1780+5228+1780+450+952+145+640+2445+2376</f>
        <v>563712.25</v>
      </c>
      <c r="M608" s="269">
        <f>20518+17650+7809+3283+4115+5826+3911+3770+2981+2505+653+199+194+8+18+60+100+75+44+292+22+22+19+445+1307+445+75+238+29+128+383+594</f>
        <v>77718</v>
      </c>
      <c r="N608" s="272">
        <f>L608/M608</f>
        <v>7.253303610489205</v>
      </c>
      <c r="O608" s="262"/>
    </row>
    <row r="609" spans="1:15" ht="12" customHeight="1">
      <c r="A609" s="228">
        <v>606</v>
      </c>
      <c r="B609" s="245" t="s">
        <v>222</v>
      </c>
      <c r="C609" s="265">
        <v>39864</v>
      </c>
      <c r="D609" s="247" t="s">
        <v>322</v>
      </c>
      <c r="E609" s="276">
        <v>55</v>
      </c>
      <c r="F609" s="276">
        <v>1</v>
      </c>
      <c r="G609" s="276">
        <v>30</v>
      </c>
      <c r="H609" s="267">
        <v>640</v>
      </c>
      <c r="I609" s="268">
        <v>128</v>
      </c>
      <c r="J609" s="269">
        <f>(I609/F609)</f>
        <v>128</v>
      </c>
      <c r="K609" s="270">
        <f t="shared" si="46"/>
        <v>5</v>
      </c>
      <c r="L609" s="271">
        <f>190777.5+154065+60826.5+20820+23589+29712+19396.5+16102+12940+11034+3005+981+1140+40+98.25+284+1000+300+220+1211.5+155+156+63+1780+5228+1780+450+952+145+640</f>
        <v>558891.25</v>
      </c>
      <c r="M609" s="269">
        <f>20518+17650+7809+3283+4115+5826+3911+3770+2981+2505+653+199+194+8+18+60+100+75+44+292+22+22+19+445+1307+445+75+238+29+128</f>
        <v>76741</v>
      </c>
      <c r="N609" s="272">
        <f>L609/M609</f>
        <v>7.282824696055563</v>
      </c>
      <c r="O609" s="340"/>
    </row>
    <row r="610" spans="1:15" ht="12" customHeight="1">
      <c r="A610" s="228">
        <v>607</v>
      </c>
      <c r="B610" s="281" t="s">
        <v>41</v>
      </c>
      <c r="C610" s="265">
        <v>39941</v>
      </c>
      <c r="D610" s="275" t="s">
        <v>322</v>
      </c>
      <c r="E610" s="276">
        <v>26</v>
      </c>
      <c r="F610" s="276">
        <v>1</v>
      </c>
      <c r="G610" s="276">
        <v>22</v>
      </c>
      <c r="H610" s="280">
        <v>3800</v>
      </c>
      <c r="I610" s="282">
        <v>950</v>
      </c>
      <c r="J610" s="283">
        <f>I610/F610</f>
        <v>950</v>
      </c>
      <c r="K610" s="285">
        <f t="shared" si="46"/>
        <v>4</v>
      </c>
      <c r="L610" s="284">
        <f>36482.75+16583.5+5922.75+3249+4769+4925+4199.5+5525+366+924+414+2215+2444+33+1987+838+1440+537+604+3792+2376+1780+3800</f>
        <v>105206.5</v>
      </c>
      <c r="M610" s="283">
        <f>4495+1934+744+517+1003+1215+722+968+65+193+83+369+384+5+336+159+238+83+151+948+594+445+950</f>
        <v>16601</v>
      </c>
      <c r="N610" s="272">
        <f>+L611/M611</f>
        <v>6.256615295143937</v>
      </c>
      <c r="O610" s="262"/>
    </row>
    <row r="611" spans="1:15" ht="12" customHeight="1">
      <c r="A611" s="228">
        <v>608</v>
      </c>
      <c r="B611" s="281" t="s">
        <v>41</v>
      </c>
      <c r="C611" s="308">
        <v>39941</v>
      </c>
      <c r="D611" s="275" t="s">
        <v>322</v>
      </c>
      <c r="E611" s="287">
        <v>26</v>
      </c>
      <c r="F611" s="287">
        <v>1</v>
      </c>
      <c r="G611" s="287">
        <v>23</v>
      </c>
      <c r="H611" s="288">
        <v>2376</v>
      </c>
      <c r="I611" s="289">
        <v>594</v>
      </c>
      <c r="J611" s="283">
        <f>(I611/F611)</f>
        <v>594</v>
      </c>
      <c r="K611" s="285">
        <f t="shared" si="46"/>
        <v>4</v>
      </c>
      <c r="L611" s="284">
        <f>36482.75+16583.5+5922.75+3249+4769+4925+4199.5+5525+366+924+414+2215+2444+33+1987+838+1440+537+604+3792+2376+1780+3800+2376</f>
        <v>107582.5</v>
      </c>
      <c r="M611" s="283">
        <f>4495+1934+744+517+1003+1215+722+968+65+193+83+369+384+5+336+159+238+83+151+948+594+445+950+594</f>
        <v>17195</v>
      </c>
      <c r="N611" s="255">
        <f>L612/M612</f>
        <v>6.479234553702639</v>
      </c>
      <c r="O611" s="347"/>
    </row>
    <row r="612" spans="1:15" ht="12" customHeight="1">
      <c r="A612" s="228">
        <v>609</v>
      </c>
      <c r="B612" s="281" t="s">
        <v>41</v>
      </c>
      <c r="C612" s="265">
        <v>39941</v>
      </c>
      <c r="D612" s="275" t="s">
        <v>322</v>
      </c>
      <c r="E612" s="276">
        <v>26</v>
      </c>
      <c r="F612" s="276">
        <v>1</v>
      </c>
      <c r="G612" s="276">
        <v>21</v>
      </c>
      <c r="H612" s="249">
        <v>1780</v>
      </c>
      <c r="I612" s="250">
        <v>445</v>
      </c>
      <c r="J612" s="251">
        <f>(I612/F612)</f>
        <v>445</v>
      </c>
      <c r="K612" s="260">
        <f t="shared" si="46"/>
        <v>4</v>
      </c>
      <c r="L612" s="253">
        <f>36482.75+16583.5+5922.75+3249+4769+4925+4199.5+5525+366+924+414+2215+2444+33+1987+838+1440+537+604+3792+2376+1780</f>
        <v>101406.5</v>
      </c>
      <c r="M612" s="254">
        <f>4495+1934+744+517+1003+1215+722+968+65+193+83+369+384+5+336+159+238+83+151+948+594+445</f>
        <v>15651</v>
      </c>
      <c r="N612" s="272">
        <f>+L613/M613</f>
        <v>6.237401924073967</v>
      </c>
      <c r="O612" s="338"/>
    </row>
    <row r="613" spans="1:15" ht="12" customHeight="1">
      <c r="A613" s="228">
        <v>610</v>
      </c>
      <c r="B613" s="245" t="s">
        <v>41</v>
      </c>
      <c r="C613" s="265">
        <v>39941</v>
      </c>
      <c r="D613" s="275" t="s">
        <v>322</v>
      </c>
      <c r="E613" s="287">
        <v>26</v>
      </c>
      <c r="F613" s="287">
        <v>1</v>
      </c>
      <c r="G613" s="287">
        <v>25</v>
      </c>
      <c r="H613" s="288">
        <v>381.86</v>
      </c>
      <c r="I613" s="289">
        <v>92</v>
      </c>
      <c r="J613" s="283">
        <f>(I613/F613)</f>
        <v>92</v>
      </c>
      <c r="K613" s="285">
        <f t="shared" si="46"/>
        <v>4.150652173913044</v>
      </c>
      <c r="L613" s="284">
        <f>36482.75+16583.5+5922.75+3249+4769+4925+4199.5+5525+366+924+414+2215+2444+33+1987+838+1440+537+604+3792+2376+1780+3800+2376+310.7+381.86</f>
        <v>108275.06</v>
      </c>
      <c r="M613" s="283">
        <f>4495+1934+744+517+1003+1215+722+968+65+193+83+369+384+5+336+159+238+83+151+948+594+445+950+594+72+92</f>
        <v>17359</v>
      </c>
      <c r="N613" s="290">
        <f>L613/M613</f>
        <v>6.237401924073967</v>
      </c>
      <c r="O613" s="376"/>
    </row>
    <row r="614" spans="1:15" ht="12" customHeight="1">
      <c r="A614" s="228">
        <v>611</v>
      </c>
      <c r="B614" s="245" t="s">
        <v>41</v>
      </c>
      <c r="C614" s="265">
        <v>39941</v>
      </c>
      <c r="D614" s="275" t="s">
        <v>322</v>
      </c>
      <c r="E614" s="287">
        <v>26</v>
      </c>
      <c r="F614" s="287">
        <v>1</v>
      </c>
      <c r="G614" s="287">
        <v>24</v>
      </c>
      <c r="H614" s="288">
        <v>310.7</v>
      </c>
      <c r="I614" s="289">
        <v>72</v>
      </c>
      <c r="J614" s="283">
        <f>I614/F614</f>
        <v>72</v>
      </c>
      <c r="K614" s="285">
        <f>+H614/I614</f>
        <v>4.315277777777777</v>
      </c>
      <c r="L614" s="284">
        <f>36482.75+16583.5+5922.75+3249+4769+4925+4199.5+5525+366+924+414+2215+2444+33+1987+838+1440+537+604+3792+2376+1780+3800+2376+310.7</f>
        <v>107893.2</v>
      </c>
      <c r="M614" s="283">
        <f>4495+1934+744+517+1003+1215+722+968+65+193+83+369+384+5+336+159+238+83+151+948+594+445+950+594+72</f>
        <v>17267</v>
      </c>
      <c r="N614" s="290">
        <f>+L614/M614</f>
        <v>6.248520298835929</v>
      </c>
      <c r="O614" s="341">
        <v>1</v>
      </c>
    </row>
    <row r="615" spans="1:15" ht="12" customHeight="1">
      <c r="A615" s="228">
        <v>612</v>
      </c>
      <c r="B615" s="281" t="s">
        <v>422</v>
      </c>
      <c r="C615" s="308">
        <v>39976</v>
      </c>
      <c r="D615" s="275" t="s">
        <v>322</v>
      </c>
      <c r="E615" s="287">
        <v>2</v>
      </c>
      <c r="F615" s="287">
        <v>1</v>
      </c>
      <c r="G615" s="287">
        <v>16</v>
      </c>
      <c r="H615" s="288">
        <v>1780</v>
      </c>
      <c r="I615" s="289">
        <v>445</v>
      </c>
      <c r="J615" s="283">
        <f>(I615/F615)</f>
        <v>445</v>
      </c>
      <c r="K615" s="285">
        <f>H615/I615</f>
        <v>4</v>
      </c>
      <c r="L615" s="284">
        <f>4047+2102+1183+288+2185+769.5+1362.5+929+117+25+266+133+952+1424+1780+1780</f>
        <v>19343</v>
      </c>
      <c r="M615" s="283">
        <f>502+366+177+30+537+130+151+131+15+2+54+19+238+356+445+445</f>
        <v>3598</v>
      </c>
      <c r="N615" s="272">
        <f>L616/M616</f>
        <v>5.570250555026958</v>
      </c>
      <c r="O615" s="262"/>
    </row>
    <row r="616" spans="1:15" ht="12" customHeight="1">
      <c r="A616" s="228">
        <v>613</v>
      </c>
      <c r="B616" s="281" t="s">
        <v>422</v>
      </c>
      <c r="C616" s="308">
        <v>39976</v>
      </c>
      <c r="D616" s="275" t="s">
        <v>322</v>
      </c>
      <c r="E616" s="287">
        <v>2</v>
      </c>
      <c r="F616" s="287">
        <v>1</v>
      </c>
      <c r="G616" s="287">
        <v>15</v>
      </c>
      <c r="H616" s="288">
        <v>1780</v>
      </c>
      <c r="I616" s="289">
        <v>445</v>
      </c>
      <c r="J616" s="283">
        <f>(I616/F616)</f>
        <v>445</v>
      </c>
      <c r="K616" s="285">
        <f>H616/I616</f>
        <v>4</v>
      </c>
      <c r="L616" s="284">
        <f>4047+2102+1183+288+2185+769.5+1362.5+929+117+25+266+133+952+1424+1780</f>
        <v>17563</v>
      </c>
      <c r="M616" s="283">
        <f>502+366+177+30+537+130+151+131+15+2+54+19+238+356+445</f>
        <v>3153</v>
      </c>
      <c r="N616" s="272">
        <f>L617/M617</f>
        <v>5.828286558345643</v>
      </c>
      <c r="O616" s="244">
        <v>1</v>
      </c>
    </row>
    <row r="617" spans="1:15" ht="12" customHeight="1">
      <c r="A617" s="228">
        <v>614</v>
      </c>
      <c r="B617" s="281" t="s">
        <v>422</v>
      </c>
      <c r="C617" s="265">
        <v>39976</v>
      </c>
      <c r="D617" s="275" t="s">
        <v>322</v>
      </c>
      <c r="E617" s="276">
        <v>2</v>
      </c>
      <c r="F617" s="276">
        <v>1</v>
      </c>
      <c r="G617" s="276">
        <v>14</v>
      </c>
      <c r="H617" s="267">
        <v>1424</v>
      </c>
      <c r="I617" s="268">
        <v>356</v>
      </c>
      <c r="J617" s="269">
        <f>I617/F617</f>
        <v>356</v>
      </c>
      <c r="K617" s="270">
        <f>+H617/I617</f>
        <v>4</v>
      </c>
      <c r="L617" s="271">
        <f>4047+2102+1183+288+2185+769.5+1362.5+929+117+25+266+133+952+1424</f>
        <v>15783</v>
      </c>
      <c r="M617" s="269">
        <f>502+366+177+30+537+130+151+131+15+2+54+19+238+356</f>
        <v>2708</v>
      </c>
      <c r="N617" s="272">
        <f>+L618/M618</f>
        <v>5.346692286576997</v>
      </c>
      <c r="O617" s="244">
        <v>1</v>
      </c>
    </row>
    <row r="618" spans="1:15" ht="12" customHeight="1">
      <c r="A618" s="228">
        <v>615</v>
      </c>
      <c r="B618" s="324" t="s">
        <v>422</v>
      </c>
      <c r="C618" s="308">
        <v>39976</v>
      </c>
      <c r="D618" s="275" t="s">
        <v>322</v>
      </c>
      <c r="E618" s="287">
        <v>2</v>
      </c>
      <c r="F618" s="287">
        <v>1</v>
      </c>
      <c r="G618" s="287">
        <v>18</v>
      </c>
      <c r="H618" s="288">
        <v>69</v>
      </c>
      <c r="I618" s="289">
        <v>23</v>
      </c>
      <c r="J618" s="283">
        <f>I618/F618</f>
        <v>23</v>
      </c>
      <c r="K618" s="285">
        <f aca="true" t="shared" si="47" ref="K618:K624">H618/I618</f>
        <v>3</v>
      </c>
      <c r="L618" s="284">
        <f>4047+2102+1183+288+2185+769.5+1362.5+929+117+25+266+133+952+1424+1780+1780+66+69</f>
        <v>19478</v>
      </c>
      <c r="M618" s="283">
        <f>502+366+177+30+537+130+151+131+15+2+54+19+238+356+445+445+22+23</f>
        <v>3643</v>
      </c>
      <c r="N618" s="255">
        <f>L619/M619</f>
        <v>5.361602209944752</v>
      </c>
      <c r="O618" s="338"/>
    </row>
    <row r="619" spans="1:15" ht="12" customHeight="1">
      <c r="A619" s="228">
        <v>616</v>
      </c>
      <c r="B619" s="324" t="s">
        <v>422</v>
      </c>
      <c r="C619" s="308">
        <v>39976</v>
      </c>
      <c r="D619" s="275" t="s">
        <v>322</v>
      </c>
      <c r="E619" s="287">
        <v>2</v>
      </c>
      <c r="F619" s="287">
        <v>1</v>
      </c>
      <c r="G619" s="287">
        <v>17</v>
      </c>
      <c r="H619" s="288">
        <v>66</v>
      </c>
      <c r="I619" s="289">
        <v>22</v>
      </c>
      <c r="J619" s="283">
        <f>I619/F619</f>
        <v>22</v>
      </c>
      <c r="K619" s="285">
        <f t="shared" si="47"/>
        <v>3</v>
      </c>
      <c r="L619" s="284">
        <f>4047+2102+1183+288+2185+769.5+1362.5+929+117+25+266+133+952+1424+1780+1780+66</f>
        <v>19409</v>
      </c>
      <c r="M619" s="283">
        <f>502+366+177+30+537+130+151+131+15+2+54+19+238+356+445+445+22</f>
        <v>3620</v>
      </c>
      <c r="N619" s="272">
        <f>+L620/M620</f>
        <v>12.432730304897945</v>
      </c>
      <c r="O619" s="338"/>
    </row>
    <row r="620" spans="1:15" ht="12" customHeight="1">
      <c r="A620" s="228">
        <v>617</v>
      </c>
      <c r="B620" s="245" t="s">
        <v>395</v>
      </c>
      <c r="C620" s="265">
        <v>40102</v>
      </c>
      <c r="D620" s="247" t="s">
        <v>322</v>
      </c>
      <c r="E620" s="276">
        <v>9</v>
      </c>
      <c r="F620" s="276">
        <v>1</v>
      </c>
      <c r="G620" s="276">
        <v>10</v>
      </c>
      <c r="H620" s="267">
        <v>4065</v>
      </c>
      <c r="I620" s="268">
        <v>335</v>
      </c>
      <c r="J620" s="269">
        <f aca="true" t="shared" si="48" ref="J620:J627">(I620/F620)</f>
        <v>335</v>
      </c>
      <c r="K620" s="270">
        <f t="shared" si="47"/>
        <v>12.134328358208956</v>
      </c>
      <c r="L620" s="271">
        <f>140093+133065.5+53545.5+8843.5+1143.5+938+558+224+456+4065</f>
        <v>342932</v>
      </c>
      <c r="M620" s="269">
        <f>10984+10700+4415+806+91+134+57+28+33+335</f>
        <v>27583</v>
      </c>
      <c r="N620" s="272">
        <f>L620/M620</f>
        <v>12.432730304897945</v>
      </c>
      <c r="O620" s="274"/>
    </row>
    <row r="621" spans="1:15" ht="12" customHeight="1">
      <c r="A621" s="228">
        <v>618</v>
      </c>
      <c r="B621" s="245" t="s">
        <v>390</v>
      </c>
      <c r="C621" s="265">
        <v>40102</v>
      </c>
      <c r="D621" s="247" t="s">
        <v>322</v>
      </c>
      <c r="E621" s="276">
        <v>9</v>
      </c>
      <c r="F621" s="276">
        <v>1</v>
      </c>
      <c r="G621" s="276">
        <v>9</v>
      </c>
      <c r="H621" s="267">
        <v>456</v>
      </c>
      <c r="I621" s="268">
        <v>33</v>
      </c>
      <c r="J621" s="269">
        <f t="shared" si="48"/>
        <v>33</v>
      </c>
      <c r="K621" s="270">
        <f t="shared" si="47"/>
        <v>13.818181818181818</v>
      </c>
      <c r="L621" s="271">
        <f>140093+133065.5+53545.5+8843.5+1143.5+938+558+224+456</f>
        <v>338867</v>
      </c>
      <c r="M621" s="269">
        <f>10984+10700+4415+806+91+134+57+28+33</f>
        <v>27248</v>
      </c>
      <c r="N621" s="272">
        <f>L621/M621</f>
        <v>12.436399001761597</v>
      </c>
      <c r="O621" s="262">
        <v>1</v>
      </c>
    </row>
    <row r="622" spans="1:15" ht="12" customHeight="1">
      <c r="A622" s="228">
        <v>619</v>
      </c>
      <c r="B622" s="245" t="s">
        <v>390</v>
      </c>
      <c r="C622" s="265">
        <v>40102</v>
      </c>
      <c r="D622" s="275" t="s">
        <v>322</v>
      </c>
      <c r="E622" s="276">
        <v>9</v>
      </c>
      <c r="F622" s="276">
        <v>1</v>
      </c>
      <c r="G622" s="276">
        <v>8</v>
      </c>
      <c r="H622" s="263">
        <v>224</v>
      </c>
      <c r="I622" s="258">
        <v>28</v>
      </c>
      <c r="J622" s="269">
        <f t="shared" si="48"/>
        <v>28</v>
      </c>
      <c r="K622" s="270">
        <f t="shared" si="47"/>
        <v>8</v>
      </c>
      <c r="L622" s="271">
        <f>140093+133065.5+53545.5+8843.5+1143.5+938+558+224</f>
        <v>338411</v>
      </c>
      <c r="M622" s="269">
        <f>10984+10700+4415+806+91+134+57+28</f>
        <v>27215</v>
      </c>
      <c r="N622" s="272">
        <f>L622/M622</f>
        <v>12.434723498070916</v>
      </c>
      <c r="O622" s="262">
        <v>1</v>
      </c>
    </row>
    <row r="623" spans="1:15" ht="12" customHeight="1">
      <c r="A623" s="228">
        <v>620</v>
      </c>
      <c r="B623" s="325" t="s">
        <v>377</v>
      </c>
      <c r="C623" s="265">
        <v>39829</v>
      </c>
      <c r="D623" s="275" t="s">
        <v>322</v>
      </c>
      <c r="E623" s="276">
        <v>65</v>
      </c>
      <c r="F623" s="276">
        <v>2</v>
      </c>
      <c r="G623" s="276">
        <v>40</v>
      </c>
      <c r="H623" s="263">
        <v>2612</v>
      </c>
      <c r="I623" s="258">
        <v>505</v>
      </c>
      <c r="J623" s="269">
        <f t="shared" si="48"/>
        <v>252.5</v>
      </c>
      <c r="K623" s="270">
        <f t="shared" si="47"/>
        <v>5.172277227722772</v>
      </c>
      <c r="L623" s="271">
        <f>237023+244842+160469+47021+21536+18820+18020.5+26440+10695+9162.5+9870+6322+1787+2032+757+348+420.5+158+4053+339.5+3161.5+1729.5+752+1417+1780+64+1208+952+552+139.5+544+40+8072+1780+1424+1780+440+1780+1188+2612</f>
        <v>851531.5</v>
      </c>
      <c r="M623" s="269">
        <f>25678+28966+21290+6590+4890+3520+3479+4786+1907+1716+2388+1533+368+541+126+70+67+48+991+81+743+414+155+169+445+16+302+238+117+23+48+12+2018+445+356+445+55+445+297+505</f>
        <v>116283</v>
      </c>
      <c r="N623" s="272">
        <f>L623/M623</f>
        <v>7.322923385189581</v>
      </c>
      <c r="O623" s="262"/>
    </row>
    <row r="624" spans="1:15" ht="12" customHeight="1">
      <c r="A624" s="228">
        <v>621</v>
      </c>
      <c r="B624" s="281" t="s">
        <v>377</v>
      </c>
      <c r="C624" s="265">
        <v>39829</v>
      </c>
      <c r="D624" s="275" t="s">
        <v>322</v>
      </c>
      <c r="E624" s="276">
        <v>65</v>
      </c>
      <c r="F624" s="276">
        <v>1</v>
      </c>
      <c r="G624" s="276">
        <v>34</v>
      </c>
      <c r="H624" s="249">
        <v>1780</v>
      </c>
      <c r="I624" s="250">
        <v>445</v>
      </c>
      <c r="J624" s="251">
        <f t="shared" si="48"/>
        <v>445</v>
      </c>
      <c r="K624" s="252">
        <f t="shared" si="47"/>
        <v>4</v>
      </c>
      <c r="L624" s="253">
        <f>237023+244842+160469+47021+21536+18820+18020.5+26440+10695+9162.5+9870+6322+1787+2032+757+348+420.5+158+4053+339.5+3161.5+1729.5+752+1417+1780+64+1208+952+552+139.5+544+40+8072+1780</f>
        <v>842307.5</v>
      </c>
      <c r="M624" s="254">
        <f>25678+28966+21290+6590+4890+3520+3479+4786+1907+1716+2388+1533+368+541+126+70+67+48+991+81+743+414+155+169+445+16+302+238+117+23+48+12+2018+445</f>
        <v>114180</v>
      </c>
      <c r="N624" s="272">
        <f>L625/M625</f>
        <v>7.35348883728616</v>
      </c>
      <c r="O624" s="348"/>
    </row>
    <row r="625" spans="1:15" ht="12" customHeight="1">
      <c r="A625" s="228">
        <v>622</v>
      </c>
      <c r="B625" s="281" t="s">
        <v>377</v>
      </c>
      <c r="C625" s="265">
        <v>39829</v>
      </c>
      <c r="D625" s="275" t="s">
        <v>322</v>
      </c>
      <c r="E625" s="276">
        <v>65</v>
      </c>
      <c r="F625" s="276">
        <v>1</v>
      </c>
      <c r="G625" s="276">
        <v>36</v>
      </c>
      <c r="H625" s="267">
        <v>1780</v>
      </c>
      <c r="I625" s="268">
        <v>445</v>
      </c>
      <c r="J625" s="269">
        <f t="shared" si="48"/>
        <v>445</v>
      </c>
      <c r="K625" s="270">
        <f>(J625/G625)</f>
        <v>12.36111111111111</v>
      </c>
      <c r="L625" s="271">
        <f>237023+244842+160469+47021+21536+18820+18020.5+26440+10695+9162.5+9870+6322+1787+2032+757+348+420.5+158+4053+339.5+3161.5+1729.5+752+1417+1780+64+1208+952+552+139.5+544+40+8072+1780+1424+1780</f>
        <v>845511.5</v>
      </c>
      <c r="M625" s="269">
        <f>25678+28966+21290+6590+4890+3520+3479+4786+1907+1716+2388+1533+368+541+126+70+67+48+991+81+743+414+155+169+445+16+302+238+117+23+48+12+2018+445+356+445</f>
        <v>114981</v>
      </c>
      <c r="N625" s="255">
        <f>L626/M626</f>
        <v>7.340874256371178</v>
      </c>
      <c r="O625" s="338"/>
    </row>
    <row r="626" spans="1:15" ht="12" customHeight="1">
      <c r="A626" s="228">
        <v>623</v>
      </c>
      <c r="B626" s="245" t="s">
        <v>377</v>
      </c>
      <c r="C626" s="246">
        <v>39829</v>
      </c>
      <c r="D626" s="275" t="s">
        <v>322</v>
      </c>
      <c r="E626" s="248">
        <v>65</v>
      </c>
      <c r="F626" s="248">
        <v>1</v>
      </c>
      <c r="G626" s="248">
        <v>38</v>
      </c>
      <c r="H626" s="249">
        <v>1780</v>
      </c>
      <c r="I626" s="258">
        <v>445</v>
      </c>
      <c r="J626" s="259">
        <f t="shared" si="48"/>
        <v>445</v>
      </c>
      <c r="K626" s="260">
        <f>H626/I626</f>
        <v>4</v>
      </c>
      <c r="L626" s="253">
        <f>237023+244842+160469+47021+21536+18820+18020.5+26440+10695+9162.5+9870+6322+1787+2032+757+348+420.5+158+4053+339.5+3161.5+1729.5+752+1417+1780+64+1208+952+552+139.5+544+40+8072+1780+1424+1780+440+1780</f>
        <v>847731.5</v>
      </c>
      <c r="M626" s="261">
        <f>25678+28966+21290+6590+4890+3520+3479+4786+1907+1716+2388+1533+368+541+126+70+67+48+991+81+743+414+155+169+445+16+302+238+117+23+48+12+2018+445+356+445+55+445</f>
        <v>115481</v>
      </c>
      <c r="N626" s="272">
        <f>+L627/M627</f>
        <v>7.366517950687993</v>
      </c>
      <c r="O626" s="262"/>
    </row>
    <row r="627" spans="1:15" ht="12" customHeight="1">
      <c r="A627" s="228">
        <v>624</v>
      </c>
      <c r="B627" s="304" t="s">
        <v>377</v>
      </c>
      <c r="C627" s="305">
        <v>39829</v>
      </c>
      <c r="D627" s="275" t="s">
        <v>322</v>
      </c>
      <c r="E627" s="306">
        <v>65</v>
      </c>
      <c r="F627" s="306">
        <v>1</v>
      </c>
      <c r="G627" s="306">
        <v>35</v>
      </c>
      <c r="H627" s="263">
        <v>1424</v>
      </c>
      <c r="I627" s="258">
        <v>356</v>
      </c>
      <c r="J627" s="259">
        <f t="shared" si="48"/>
        <v>356</v>
      </c>
      <c r="K627" s="270">
        <f>+H627/I627</f>
        <v>4</v>
      </c>
      <c r="L627" s="264">
        <f>237023+244842+160469+47021+21536+18820+18020.5+26440+10695+9162.5+9870+6322+1787+2032+757+348+420.5+158+4053+339.5+3161.5+1729.5+752+1417+1780+64+1208+952+552+139.5+544+40+8072+1780+1424</f>
        <v>843731.5</v>
      </c>
      <c r="M627" s="261">
        <f>25678+28966+21290+6590+4890+3520+3479+4786+1907+1716+2388+1533+368+541+126+70+67+48+991+81+743+414+155+169+445+16+302+238+117+23+48+12+2018+445+356</f>
        <v>114536</v>
      </c>
      <c r="N627" s="272">
        <f>L628/M628</f>
        <v>7.332304064675499</v>
      </c>
      <c r="O627" s="256"/>
    </row>
    <row r="628" spans="1:15" ht="12" customHeight="1">
      <c r="A628" s="228">
        <v>625</v>
      </c>
      <c r="B628" s="324" t="s">
        <v>377</v>
      </c>
      <c r="C628" s="265">
        <v>39829</v>
      </c>
      <c r="D628" s="275" t="s">
        <v>322</v>
      </c>
      <c r="E628" s="287">
        <v>65</v>
      </c>
      <c r="F628" s="287">
        <v>1</v>
      </c>
      <c r="G628" s="287">
        <v>39</v>
      </c>
      <c r="H628" s="288">
        <v>1188</v>
      </c>
      <c r="I628" s="289">
        <v>297</v>
      </c>
      <c r="J628" s="283">
        <f>I628/F628</f>
        <v>297</v>
      </c>
      <c r="K628" s="285">
        <f>H628/I628</f>
        <v>4</v>
      </c>
      <c r="L628" s="284">
        <f>237023+244842+160469+47021+21536+18820+18020.5+26440+10695+9162.5+9870+6322+1787+2032+757+348+420.5+158+4053+339.5+3161.5+1729.5+752+1417+1780+64+1208+952+552+139.5+544+40+8072+1780+1424+1780+440+1780+1188</f>
        <v>848919.5</v>
      </c>
      <c r="M628" s="283">
        <f>25678+28966+21290+6590+4890+3520+3479+4786+1907+1716+2388+1533+368+541+126+70+67+48+991+81+743+414+155+169+445+16+302+238+117+23+48+12+2018+445+356+445+55+445+297</f>
        <v>115778</v>
      </c>
      <c r="N628" s="290">
        <f>+L628/M628</f>
        <v>7.332304064675499</v>
      </c>
      <c r="O628" s="262">
        <v>1</v>
      </c>
    </row>
    <row r="629" spans="1:15" ht="12" customHeight="1">
      <c r="A629" s="228">
        <v>626</v>
      </c>
      <c r="B629" s="245" t="s">
        <v>377</v>
      </c>
      <c r="C629" s="246">
        <v>39829</v>
      </c>
      <c r="D629" s="247" t="s">
        <v>322</v>
      </c>
      <c r="E629" s="248">
        <v>65</v>
      </c>
      <c r="F629" s="248">
        <v>1</v>
      </c>
      <c r="G629" s="248">
        <v>41</v>
      </c>
      <c r="H629" s="263">
        <v>952</v>
      </c>
      <c r="I629" s="258">
        <v>238</v>
      </c>
      <c r="J629" s="259">
        <f>(I629/F629)</f>
        <v>238</v>
      </c>
      <c r="K629" s="260">
        <f>H629/I629</f>
        <v>4</v>
      </c>
      <c r="L629" s="264">
        <f>237023+244842+160469+47021+21536+18820+18020.5+26440+10695+9162.5+9870+6322+1787+2032+757+348+420.5+158+4053+339.5+3161.5+1729.5+752+1417+1780+64+1208+952+552+139.5+544+40+8072+1780+1424+1780+440+1780+1188+2612+952</f>
        <v>852483.5</v>
      </c>
      <c r="M629" s="261">
        <f>25678+28966+21290+6590+4890+3520+3479+4786+1907+1716+2388+1533+368+541+126+70+67+48+991+81+743+414+155+169+445+16+302+238+117+23+48+12+2018+445+356+445+55+445+297+653+238</f>
        <v>116669</v>
      </c>
      <c r="N629" s="255">
        <f>L629/M629</f>
        <v>7.306855291465599</v>
      </c>
      <c r="O629" s="340"/>
    </row>
    <row r="630" spans="1:15" ht="12" customHeight="1">
      <c r="A630" s="228">
        <v>627</v>
      </c>
      <c r="B630" s="245" t="s">
        <v>377</v>
      </c>
      <c r="C630" s="265">
        <v>39829</v>
      </c>
      <c r="D630" s="247" t="s">
        <v>322</v>
      </c>
      <c r="E630" s="276">
        <v>65</v>
      </c>
      <c r="F630" s="276">
        <v>1</v>
      </c>
      <c r="G630" s="276">
        <v>42</v>
      </c>
      <c r="H630" s="267">
        <v>712</v>
      </c>
      <c r="I630" s="268">
        <v>178</v>
      </c>
      <c r="J630" s="269">
        <f>(I630/F630)</f>
        <v>178</v>
      </c>
      <c r="K630" s="270">
        <f>H630/I630</f>
        <v>4</v>
      </c>
      <c r="L630" s="271">
        <f>237023+244842+160469+47021+21536+18820+18020.5+26440+10695+9162.5+9870+6322+1787+2032+757+348+420.5+158+4053+339.5+3161.5+1729.5+752+1417+1780+64+1208+952+552+139.5+544+40+8072+1780+1424+1780+440+1780+1188+2612+952+712</f>
        <v>853195.5</v>
      </c>
      <c r="M630" s="269">
        <f>25678+28966+21290+6590+4890+3520+3479+4786+1907+1716+2388+1533+368+541+126+70+67+48+991+81+743+414+155+169+445+16+302+238+117+23+48+12+2018+445+356+445+55+445+297+653+238+178</f>
        <v>116847</v>
      </c>
      <c r="N630" s="272">
        <f>L630/M630</f>
        <v>7.301817761688362</v>
      </c>
      <c r="O630" s="262"/>
    </row>
    <row r="631" spans="1:15" ht="12" customHeight="1">
      <c r="A631" s="228">
        <v>628</v>
      </c>
      <c r="B631" s="281" t="s">
        <v>377</v>
      </c>
      <c r="C631" s="308">
        <v>39829</v>
      </c>
      <c r="D631" s="275" t="s">
        <v>322</v>
      </c>
      <c r="E631" s="287">
        <v>65</v>
      </c>
      <c r="F631" s="287">
        <v>1</v>
      </c>
      <c r="G631" s="287">
        <v>37</v>
      </c>
      <c r="H631" s="288">
        <v>440</v>
      </c>
      <c r="I631" s="289">
        <v>55</v>
      </c>
      <c r="J631" s="283">
        <f>(I631/F631)</f>
        <v>55</v>
      </c>
      <c r="K631" s="285">
        <f>H631/I631</f>
        <v>8</v>
      </c>
      <c r="L631" s="284">
        <f>237023+244842+160469+47021+21536+18820+18020.5+26440+10695+9162.5+9870+6322+1787+2032+757+348+420.5+158+4053+339.5+3161.5+1729.5+752+1417+1780+64+1208+952+552+139.5+544+40+8072+1780+1424+1780+440</f>
        <v>845951.5</v>
      </c>
      <c r="M631" s="283">
        <f>25678+28966+21290+6590+4890+3520+3479+4786+1907+1716+2388+1533+368+541+126+70+67+48+991+81+743+414+155+169+445+16+302+238+117+23+48+12+2018+445+356+445+55</f>
        <v>115036</v>
      </c>
      <c r="N631" s="255">
        <f>L632/M632</f>
        <v>9.215202509982886</v>
      </c>
      <c r="O631" s="262"/>
    </row>
    <row r="632" spans="1:15" ht="12" customHeight="1">
      <c r="A632" s="228">
        <v>629</v>
      </c>
      <c r="B632" s="281" t="s">
        <v>42</v>
      </c>
      <c r="C632" s="265">
        <v>40172</v>
      </c>
      <c r="D632" s="275" t="s">
        <v>349</v>
      </c>
      <c r="E632" s="276">
        <v>10</v>
      </c>
      <c r="F632" s="276">
        <v>9</v>
      </c>
      <c r="G632" s="276">
        <v>3</v>
      </c>
      <c r="H632" s="280">
        <v>3129.5</v>
      </c>
      <c r="I632" s="282">
        <v>431</v>
      </c>
      <c r="J632" s="283">
        <f>I632/F632</f>
        <v>47.888888888888886</v>
      </c>
      <c r="K632" s="285">
        <f>+H632/I632</f>
        <v>7.261020881670533</v>
      </c>
      <c r="L632" s="284">
        <f>9917+0.75+3107+3129+0.5</f>
        <v>16154.25</v>
      </c>
      <c r="M632" s="283">
        <f>987+335+431</f>
        <v>1753</v>
      </c>
      <c r="N632" s="299">
        <f>IF(L633&lt;&gt;0,L633/M633,"")</f>
        <v>9.85230711043873</v>
      </c>
      <c r="O632" s="244"/>
    </row>
    <row r="633" spans="1:15" ht="12" customHeight="1">
      <c r="A633" s="228">
        <v>630</v>
      </c>
      <c r="B633" s="281" t="s">
        <v>43</v>
      </c>
      <c r="C633" s="265">
        <v>40172</v>
      </c>
      <c r="D633" s="266" t="s">
        <v>349</v>
      </c>
      <c r="E633" s="276">
        <v>10</v>
      </c>
      <c r="F633" s="276">
        <v>9</v>
      </c>
      <c r="G633" s="276">
        <v>2</v>
      </c>
      <c r="H633" s="280">
        <v>3107</v>
      </c>
      <c r="I633" s="282">
        <v>335</v>
      </c>
      <c r="J633" s="301">
        <f>IF(H633&lt;&gt;0,I633/F633,"")</f>
        <v>37.22222222222222</v>
      </c>
      <c r="K633" s="297">
        <f>IF(H633&lt;&gt;0,H633/I633,"")</f>
        <v>9.274626865671642</v>
      </c>
      <c r="L633" s="284">
        <f>9917+0.75+3107</f>
        <v>13024.75</v>
      </c>
      <c r="M633" s="283">
        <f>987+335</f>
        <v>1322</v>
      </c>
      <c r="N633" s="299">
        <f>+L634/M634</f>
        <v>8.537476937269373</v>
      </c>
      <c r="O633" s="273"/>
    </row>
    <row r="634" spans="1:15" ht="12" customHeight="1">
      <c r="A634" s="228">
        <v>631</v>
      </c>
      <c r="B634" s="281" t="s">
        <v>43</v>
      </c>
      <c r="C634" s="265">
        <v>40172</v>
      </c>
      <c r="D634" s="275" t="s">
        <v>349</v>
      </c>
      <c r="E634" s="276">
        <v>10</v>
      </c>
      <c r="F634" s="276">
        <v>5</v>
      </c>
      <c r="G634" s="276">
        <v>4</v>
      </c>
      <c r="H634" s="280">
        <v>2355</v>
      </c>
      <c r="I634" s="268">
        <v>415</v>
      </c>
      <c r="J634" s="296">
        <f>+I634/F634</f>
        <v>83</v>
      </c>
      <c r="K634" s="297">
        <f>+H634/I634</f>
        <v>5.674698795180723</v>
      </c>
      <c r="L634" s="284">
        <f>9917+0.75+3107+3129+0.5+2355</f>
        <v>18509.25</v>
      </c>
      <c r="M634" s="269">
        <f>987+335+431+415</f>
        <v>2168</v>
      </c>
      <c r="N634" s="255">
        <f>+L635/M635</f>
        <v>8.417349137931035</v>
      </c>
      <c r="O634" s="341"/>
    </row>
    <row r="635" spans="1:15" ht="12" customHeight="1">
      <c r="A635" s="228">
        <v>632</v>
      </c>
      <c r="B635" s="281" t="s">
        <v>43</v>
      </c>
      <c r="C635" s="265">
        <v>40172</v>
      </c>
      <c r="D635" s="257" t="s">
        <v>349</v>
      </c>
      <c r="E635" s="276">
        <v>10</v>
      </c>
      <c r="F635" s="276">
        <v>4</v>
      </c>
      <c r="G635" s="276">
        <v>5</v>
      </c>
      <c r="H635" s="267">
        <v>1019</v>
      </c>
      <c r="I635" s="268">
        <v>152</v>
      </c>
      <c r="J635" s="259">
        <f>I635/F635</f>
        <v>38</v>
      </c>
      <c r="K635" s="260">
        <f>H635/I635</f>
        <v>6.703947368421052</v>
      </c>
      <c r="L635" s="271">
        <f>9917+0.75+3107+3129+0.5+2355+1019</f>
        <v>19528.25</v>
      </c>
      <c r="M635" s="269">
        <f>987+335+431+415+152</f>
        <v>2320</v>
      </c>
      <c r="N635" s="272">
        <f>L636/M636</f>
        <v>8.350503566932439</v>
      </c>
      <c r="O635" s="262"/>
    </row>
    <row r="636" spans="1:15" ht="12" customHeight="1">
      <c r="A636" s="228">
        <v>633</v>
      </c>
      <c r="B636" s="281" t="s">
        <v>43</v>
      </c>
      <c r="C636" s="265">
        <v>40172</v>
      </c>
      <c r="D636" s="286" t="s">
        <v>349</v>
      </c>
      <c r="E636" s="276">
        <v>10</v>
      </c>
      <c r="F636" s="276">
        <v>2</v>
      </c>
      <c r="G636" s="276">
        <v>5</v>
      </c>
      <c r="H636" s="267">
        <v>371</v>
      </c>
      <c r="I636" s="268">
        <v>63</v>
      </c>
      <c r="J636" s="269">
        <f>I636/F636</f>
        <v>31.5</v>
      </c>
      <c r="K636" s="270">
        <f>H636/I636</f>
        <v>5.888888888888889</v>
      </c>
      <c r="L636" s="271">
        <f>9917+0.75+3107+3129+0.5+2355+1019+371</f>
        <v>19899.25</v>
      </c>
      <c r="M636" s="269">
        <f>987+335+431+415+152+63</f>
        <v>2383</v>
      </c>
      <c r="N636" s="380">
        <f>L637/M637</f>
        <v>7.594119479048698</v>
      </c>
      <c r="O636" s="376"/>
    </row>
    <row r="637" spans="1:15" ht="12" customHeight="1">
      <c r="A637" s="228">
        <v>634</v>
      </c>
      <c r="B637" s="245" t="s">
        <v>44</v>
      </c>
      <c r="C637" s="265">
        <v>39836</v>
      </c>
      <c r="D637" s="247" t="s">
        <v>322</v>
      </c>
      <c r="E637" s="276">
        <v>13</v>
      </c>
      <c r="F637" s="276">
        <v>1</v>
      </c>
      <c r="G637" s="276">
        <v>27</v>
      </c>
      <c r="H637" s="267">
        <v>4160</v>
      </c>
      <c r="I637" s="268">
        <v>1040</v>
      </c>
      <c r="J637" s="269">
        <f>(I637/F637)</f>
        <v>1040</v>
      </c>
      <c r="K637" s="270">
        <f>H637/I637</f>
        <v>4</v>
      </c>
      <c r="L637" s="271">
        <f>57133.5+23554+18557+9186+29743.5+13631.5+13446+7072+7029+8018.5+7220.5+2856.5+1828+102+3517+635+324+30+2146+1842+376+154+799+463.52+415.64+339.28+4160</f>
        <v>214579.44</v>
      </c>
      <c r="M637" s="269">
        <f>5405+2651+2356+1389+3583+1713+1661+1216+1174+1324+1425+542+453+16+757+96+108+10+508+436+35+14+67+102+95+80+1040</f>
        <v>28256</v>
      </c>
      <c r="N637" s="272">
        <f>L637/M637</f>
        <v>7.594119479048698</v>
      </c>
      <c r="O637" s="262"/>
    </row>
    <row r="638" spans="1:15" ht="12" customHeight="1">
      <c r="A638" s="228">
        <v>635</v>
      </c>
      <c r="B638" s="245" t="s">
        <v>45</v>
      </c>
      <c r="C638" s="265">
        <v>39836</v>
      </c>
      <c r="D638" s="275" t="s">
        <v>322</v>
      </c>
      <c r="E638" s="287">
        <v>13</v>
      </c>
      <c r="F638" s="287">
        <v>1</v>
      </c>
      <c r="G638" s="287">
        <v>24</v>
      </c>
      <c r="H638" s="288">
        <v>463.52</v>
      </c>
      <c r="I638" s="289">
        <v>102</v>
      </c>
      <c r="J638" s="283">
        <f>I638/F638</f>
        <v>102</v>
      </c>
      <c r="K638" s="285">
        <f>+H638/I638</f>
        <v>4.544313725490196</v>
      </c>
      <c r="L638" s="284">
        <f>57133.5+23554+18557+9186+29743.5+13631.5+13446+7072+7029+8018.5+7220.5+2856.5+1828+102+3517+635+324+30+2146+1842+376+154+799+463.52</f>
        <v>209664.52</v>
      </c>
      <c r="M638" s="283">
        <f>5405+2651+2356+1389+3583+1713+1661+1216+1174+1324+1425+542+453+16+757+96+108+10+508+436+35+14+67+102</f>
        <v>27041</v>
      </c>
      <c r="N638" s="290">
        <f>+L638/M638</f>
        <v>7.753578639843201</v>
      </c>
      <c r="O638" s="262">
        <v>1</v>
      </c>
    </row>
    <row r="639" spans="1:15" ht="12" customHeight="1">
      <c r="A639" s="228">
        <v>636</v>
      </c>
      <c r="B639" s="245" t="s">
        <v>45</v>
      </c>
      <c r="C639" s="265">
        <v>39836</v>
      </c>
      <c r="D639" s="275" t="s">
        <v>322</v>
      </c>
      <c r="E639" s="287">
        <v>13</v>
      </c>
      <c r="F639" s="287">
        <v>1</v>
      </c>
      <c r="G639" s="287">
        <v>25</v>
      </c>
      <c r="H639" s="288">
        <v>415.64</v>
      </c>
      <c r="I639" s="289">
        <v>95</v>
      </c>
      <c r="J639" s="283">
        <f>(I639/F639)</f>
        <v>95</v>
      </c>
      <c r="K639" s="285">
        <f>H639/I639</f>
        <v>4.375157894736842</v>
      </c>
      <c r="L639" s="284">
        <f>57133.5+23554+18557+9186+29743.5+13631.5+13446+7072+7029+8018.5+7220.5+2856.5+1828+102+3517+635+324+30+2146+1842+376+154+799+463.52+415.64</f>
        <v>210080.16</v>
      </c>
      <c r="M639" s="283">
        <f>5405+2651+2356+1389+3583+1713+1661+1216+1174+1324+1425+542+453+16+757+96+108+10+508+436+35+14+67+102+95</f>
        <v>27136</v>
      </c>
      <c r="N639" s="290">
        <f>L639/M639</f>
        <v>7.741751179245283</v>
      </c>
      <c r="O639" s="244">
        <v>1</v>
      </c>
    </row>
    <row r="640" spans="1:15" ht="12" customHeight="1">
      <c r="A640" s="228">
        <v>637</v>
      </c>
      <c r="B640" s="245" t="s">
        <v>45</v>
      </c>
      <c r="C640" s="265">
        <v>39836</v>
      </c>
      <c r="D640" s="275" t="s">
        <v>322</v>
      </c>
      <c r="E640" s="287">
        <v>13</v>
      </c>
      <c r="F640" s="287">
        <v>1</v>
      </c>
      <c r="G640" s="287">
        <v>26</v>
      </c>
      <c r="H640" s="288">
        <v>339.28</v>
      </c>
      <c r="I640" s="326">
        <v>80</v>
      </c>
      <c r="J640" s="269">
        <f>(I640/F640)</f>
        <v>80</v>
      </c>
      <c r="K640" s="270">
        <f>H640/I640</f>
        <v>4.241</v>
      </c>
      <c r="L640" s="271">
        <f>57133.5+23554+18557+9186+29743.5+13631.5+13446+7072+7029+8018.5+7220.5+2856.5+1828+102+3517+635+324+30+2146+1842+376+154+799+463.52+415.64+339.28</f>
        <v>210419.44</v>
      </c>
      <c r="M640" s="269">
        <f>5405+2651+2356+1389+3583+1713+1661+1216+1174+1324+1425+542+453+16+757+96+108+10+508+436+35+14+67+102+95+80</f>
        <v>27216</v>
      </c>
      <c r="N640" s="272">
        <f>L640/M640</f>
        <v>7.7314609053497945</v>
      </c>
      <c r="O640" s="262">
        <v>1</v>
      </c>
    </row>
    <row r="641" spans="1:15" ht="12" customHeight="1">
      <c r="A641" s="228">
        <v>638</v>
      </c>
      <c r="B641" s="245" t="s">
        <v>57</v>
      </c>
      <c r="C641" s="246">
        <v>38639</v>
      </c>
      <c r="D641" s="247" t="s">
        <v>444</v>
      </c>
      <c r="E641" s="248">
        <v>4</v>
      </c>
      <c r="F641" s="248">
        <v>1</v>
      </c>
      <c r="G641" s="248">
        <v>16</v>
      </c>
      <c r="H641" s="263">
        <v>1188</v>
      </c>
      <c r="I641" s="258">
        <v>238</v>
      </c>
      <c r="J641" s="259">
        <f>IF(H641&lt;&gt;0,I641/F641,"")</f>
        <v>238</v>
      </c>
      <c r="K641" s="260">
        <f>IF(H641&lt;&gt;0,H641/I641,"")</f>
        <v>4.991596638655462</v>
      </c>
      <c r="L641" s="264">
        <v>37644</v>
      </c>
      <c r="M641" s="261">
        <v>6251</v>
      </c>
      <c r="N641" s="255">
        <f>IF(L641&lt;&gt;0,L641/M641,"")</f>
        <v>6.0220764677651575</v>
      </c>
      <c r="O641" s="341">
        <v>1</v>
      </c>
    </row>
    <row r="642" spans="1:15" ht="12" customHeight="1">
      <c r="A642" s="228">
        <v>639</v>
      </c>
      <c r="B642" s="281" t="s">
        <v>271</v>
      </c>
      <c r="C642" s="265">
        <v>39745</v>
      </c>
      <c r="D642" s="275" t="s">
        <v>322</v>
      </c>
      <c r="E642" s="276">
        <v>7</v>
      </c>
      <c r="F642" s="276">
        <v>1</v>
      </c>
      <c r="G642" s="276">
        <v>17</v>
      </c>
      <c r="H642" s="363">
        <v>87</v>
      </c>
      <c r="I642" s="370">
        <v>29</v>
      </c>
      <c r="J642" s="371">
        <f>(I642/F642)</f>
        <v>29</v>
      </c>
      <c r="K642" s="374">
        <f>H642/I642</f>
        <v>3</v>
      </c>
      <c r="L642" s="365">
        <f>31758.5+8225.5+1958+2180+395+7254.5+494+2046+429+128+135+1066+1003+620+20+120+87</f>
        <v>57919.5</v>
      </c>
      <c r="M642" s="372">
        <f>2732+851+288+247+46+761+52+333+72+22+23+258+223+133+2+12+29</f>
        <v>6084</v>
      </c>
      <c r="N642" s="380">
        <f>L643/M643</f>
        <v>9.503935071323168</v>
      </c>
      <c r="O642" s="345">
        <v>1</v>
      </c>
    </row>
    <row r="643" spans="1:15" ht="12" customHeight="1">
      <c r="A643" s="228">
        <v>640</v>
      </c>
      <c r="B643" s="281" t="s">
        <v>271</v>
      </c>
      <c r="C643" s="265">
        <v>39745</v>
      </c>
      <c r="D643" s="275" t="s">
        <v>322</v>
      </c>
      <c r="E643" s="276">
        <v>7</v>
      </c>
      <c r="F643" s="276">
        <v>1</v>
      </c>
      <c r="G643" s="276">
        <v>18</v>
      </c>
      <c r="H643" s="363">
        <v>45</v>
      </c>
      <c r="I643" s="370">
        <v>15</v>
      </c>
      <c r="J643" s="371">
        <f>(I643/F643)</f>
        <v>15</v>
      </c>
      <c r="K643" s="381">
        <f>H643/I643</f>
        <v>3</v>
      </c>
      <c r="L643" s="365">
        <f>31758.5+8225.5+1958+2180+395+7254.5+494+2046+429+128+135+1066+1003+620+20+120+87+45</f>
        <v>57964.5</v>
      </c>
      <c r="M643" s="372">
        <f>2732+851+288+247+46+761+52+333+72+22+23+258+223+133+2+12+29+15</f>
        <v>6099</v>
      </c>
      <c r="N643" s="255">
        <f>L644/M644</f>
        <v>7.119280016792612</v>
      </c>
      <c r="O643" s="273"/>
    </row>
    <row r="644" spans="1:15" ht="12" customHeight="1">
      <c r="A644" s="228">
        <v>641</v>
      </c>
      <c r="B644" s="245" t="s">
        <v>68</v>
      </c>
      <c r="C644" s="265">
        <v>39913</v>
      </c>
      <c r="D644" s="247" t="s">
        <v>334</v>
      </c>
      <c r="E644" s="276">
        <v>8</v>
      </c>
      <c r="F644" s="276">
        <v>1</v>
      </c>
      <c r="G644" s="276">
        <v>24</v>
      </c>
      <c r="H644" s="267">
        <v>1544</v>
      </c>
      <c r="I644" s="268">
        <v>386</v>
      </c>
      <c r="J644" s="269">
        <f>(I644/F644)</f>
        <v>386</v>
      </c>
      <c r="K644" s="270">
        <f>H644/I644</f>
        <v>4</v>
      </c>
      <c r="L644" s="271">
        <f>21351.5+14278.5+6751+4525+2536+673+390+177+1270+1412+2231+60+385+350+665+1890+1758+1595+1832.5+392+226+352+1188+1544</f>
        <v>67832.5</v>
      </c>
      <c r="M644" s="269">
        <f>2210+1534+811+919+457+117+61+33+223+254+502+12+83+103+165+287+292+270+307+76+52+77+297+386</f>
        <v>9528</v>
      </c>
      <c r="N644" s="272">
        <f>L644/M644</f>
        <v>7.119280016792612</v>
      </c>
      <c r="O644" s="262">
        <v>1</v>
      </c>
    </row>
    <row r="645" spans="1:15" ht="12" customHeight="1">
      <c r="A645" s="228">
        <v>642</v>
      </c>
      <c r="B645" s="245" t="s">
        <v>486</v>
      </c>
      <c r="C645" s="265">
        <v>40074</v>
      </c>
      <c r="D645" s="275" t="s">
        <v>322</v>
      </c>
      <c r="E645" s="287">
        <v>7</v>
      </c>
      <c r="F645" s="287">
        <v>1</v>
      </c>
      <c r="G645" s="287">
        <v>12</v>
      </c>
      <c r="H645" s="288">
        <v>439</v>
      </c>
      <c r="I645" s="289">
        <v>74</v>
      </c>
      <c r="J645" s="283">
        <f>I645/F645</f>
        <v>74</v>
      </c>
      <c r="K645" s="285">
        <f>+H645/I645</f>
        <v>5.9324324324324325</v>
      </c>
      <c r="L645" s="284">
        <f>24901+4873+3754+4238+1794.5+1565+1393.5+1381.5+1482+240+136+439</f>
        <v>46197.5</v>
      </c>
      <c r="M645" s="283">
        <f>2240+626+482+732+293+342+244+327+247+37+34+74</f>
        <v>5678</v>
      </c>
      <c r="N645" s="290">
        <f>+L645/M645</f>
        <v>8.136227544910179</v>
      </c>
      <c r="O645" s="262">
        <v>1</v>
      </c>
    </row>
    <row r="646" spans="1:15" ht="12" customHeight="1">
      <c r="A646" s="228">
        <v>643</v>
      </c>
      <c r="B646" s="281" t="s">
        <v>486</v>
      </c>
      <c r="C646" s="265">
        <v>40074</v>
      </c>
      <c r="D646" s="275" t="s">
        <v>322</v>
      </c>
      <c r="E646" s="276">
        <v>7</v>
      </c>
      <c r="F646" s="276">
        <v>1</v>
      </c>
      <c r="G646" s="276">
        <v>11</v>
      </c>
      <c r="H646" s="263">
        <v>136</v>
      </c>
      <c r="I646" s="258">
        <v>34</v>
      </c>
      <c r="J646" s="259">
        <f>(I646/F646)</f>
        <v>34</v>
      </c>
      <c r="K646" s="260">
        <f>H646/I646</f>
        <v>4</v>
      </c>
      <c r="L646" s="264">
        <f>24901+4873+3754+4238+1794.5+1565+1393.5+1381.5+1482+240+136</f>
        <v>45758.5</v>
      </c>
      <c r="M646" s="261">
        <f>2240+626+482+732+293+342+244+327+247+37+34</f>
        <v>5604</v>
      </c>
      <c r="N646" s="272">
        <f>+L647/M647</f>
        <v>9.221241082653014</v>
      </c>
      <c r="O646" s="335">
        <v>1</v>
      </c>
    </row>
    <row r="647" spans="1:15" ht="12" customHeight="1">
      <c r="A647" s="228">
        <v>644</v>
      </c>
      <c r="B647" s="281" t="s">
        <v>482</v>
      </c>
      <c r="C647" s="265">
        <v>40004</v>
      </c>
      <c r="D647" s="344" t="s">
        <v>320</v>
      </c>
      <c r="E647" s="276">
        <v>68</v>
      </c>
      <c r="F647" s="276">
        <v>1</v>
      </c>
      <c r="G647" s="276">
        <v>26</v>
      </c>
      <c r="H647" s="267">
        <v>609</v>
      </c>
      <c r="I647" s="268">
        <v>280</v>
      </c>
      <c r="J647" s="269">
        <f aca="true" t="shared" si="49" ref="J647:J653">I647/F647</f>
        <v>280</v>
      </c>
      <c r="K647" s="270">
        <f>+H647/I647</f>
        <v>2.175</v>
      </c>
      <c r="L647" s="271">
        <v>1217628</v>
      </c>
      <c r="M647" s="269">
        <v>132046</v>
      </c>
      <c r="N647" s="272">
        <f>+L648/M648</f>
        <v>9.206331333222495</v>
      </c>
      <c r="O647" s="274">
        <v>1</v>
      </c>
    </row>
    <row r="648" spans="1:15" ht="12" customHeight="1">
      <c r="A648" s="228">
        <v>645</v>
      </c>
      <c r="B648" s="281" t="s">
        <v>482</v>
      </c>
      <c r="C648" s="265">
        <v>40004</v>
      </c>
      <c r="D648" s="344" t="s">
        <v>320</v>
      </c>
      <c r="E648" s="276">
        <v>68</v>
      </c>
      <c r="F648" s="276">
        <v>1</v>
      </c>
      <c r="G648" s="276">
        <v>30</v>
      </c>
      <c r="H648" s="280">
        <v>609</v>
      </c>
      <c r="I648" s="282">
        <v>280</v>
      </c>
      <c r="J648" s="283">
        <f t="shared" si="49"/>
        <v>280</v>
      </c>
      <c r="K648" s="285">
        <f aca="true" t="shared" si="50" ref="K648:K653">H648/I648</f>
        <v>2.175</v>
      </c>
      <c r="L648" s="284">
        <v>1218237</v>
      </c>
      <c r="M648" s="283">
        <v>132326</v>
      </c>
      <c r="N648" s="255">
        <f>+L649/M649</f>
        <v>7.879190746297896</v>
      </c>
      <c r="O648" s="262"/>
    </row>
    <row r="649" spans="1:15" ht="12" customHeight="1">
      <c r="A649" s="228">
        <v>646</v>
      </c>
      <c r="B649" s="245" t="s">
        <v>288</v>
      </c>
      <c r="C649" s="265">
        <v>39472</v>
      </c>
      <c r="D649" s="247" t="s">
        <v>324</v>
      </c>
      <c r="E649" s="276">
        <v>70</v>
      </c>
      <c r="F649" s="276">
        <v>1</v>
      </c>
      <c r="G649" s="276">
        <v>39</v>
      </c>
      <c r="H649" s="267">
        <v>760</v>
      </c>
      <c r="I649" s="268">
        <v>76</v>
      </c>
      <c r="J649" s="269">
        <f t="shared" si="49"/>
        <v>76</v>
      </c>
      <c r="K649" s="270">
        <f t="shared" si="50"/>
        <v>10</v>
      </c>
      <c r="L649" s="271">
        <v>884841</v>
      </c>
      <c r="M649" s="269">
        <v>112301</v>
      </c>
      <c r="N649" s="272">
        <f>L649/M649</f>
        <v>7.879190746297896</v>
      </c>
      <c r="O649" s="345"/>
    </row>
    <row r="650" spans="1:15" ht="12" customHeight="1">
      <c r="A650" s="228">
        <v>647</v>
      </c>
      <c r="B650" s="245" t="s">
        <v>288</v>
      </c>
      <c r="C650" s="265">
        <v>39472</v>
      </c>
      <c r="D650" s="247" t="s">
        <v>292</v>
      </c>
      <c r="E650" s="276">
        <v>70</v>
      </c>
      <c r="F650" s="276">
        <v>1</v>
      </c>
      <c r="G650" s="276">
        <v>36</v>
      </c>
      <c r="H650" s="267">
        <v>143</v>
      </c>
      <c r="I650" s="268">
        <v>22</v>
      </c>
      <c r="J650" s="269">
        <f t="shared" si="49"/>
        <v>22</v>
      </c>
      <c r="K650" s="270">
        <f t="shared" si="50"/>
        <v>6.5</v>
      </c>
      <c r="L650" s="271">
        <v>883811</v>
      </c>
      <c r="M650" s="269">
        <v>112183</v>
      </c>
      <c r="N650" s="272">
        <f>+L650/M650</f>
        <v>7.878297068183237</v>
      </c>
      <c r="O650" s="256"/>
    </row>
    <row r="651" spans="1:15" ht="12" customHeight="1">
      <c r="A651" s="228">
        <v>648</v>
      </c>
      <c r="B651" s="281" t="s">
        <v>288</v>
      </c>
      <c r="C651" s="265">
        <v>39472</v>
      </c>
      <c r="D651" s="247" t="s">
        <v>292</v>
      </c>
      <c r="E651" s="276">
        <v>70</v>
      </c>
      <c r="F651" s="276">
        <v>1</v>
      </c>
      <c r="G651" s="276">
        <v>38</v>
      </c>
      <c r="H651" s="280">
        <v>138</v>
      </c>
      <c r="I651" s="282">
        <v>20</v>
      </c>
      <c r="J651" s="283">
        <f t="shared" si="49"/>
        <v>20</v>
      </c>
      <c r="K651" s="285">
        <f t="shared" si="50"/>
        <v>6.9</v>
      </c>
      <c r="L651" s="284">
        <v>884081</v>
      </c>
      <c r="M651" s="283">
        <v>112225</v>
      </c>
      <c r="N651" s="272">
        <f>+L651/M651</f>
        <v>7.8777545110269545</v>
      </c>
      <c r="O651" s="338"/>
    </row>
    <row r="652" spans="1:15" ht="12" customHeight="1">
      <c r="A652" s="228">
        <v>649</v>
      </c>
      <c r="B652" s="245" t="s">
        <v>288</v>
      </c>
      <c r="C652" s="265">
        <v>39472</v>
      </c>
      <c r="D652" s="247" t="s">
        <v>324</v>
      </c>
      <c r="E652" s="276">
        <v>70</v>
      </c>
      <c r="F652" s="276">
        <v>1</v>
      </c>
      <c r="G652" s="276">
        <v>37</v>
      </c>
      <c r="H652" s="267">
        <v>132</v>
      </c>
      <c r="I652" s="268">
        <v>22</v>
      </c>
      <c r="J652" s="269">
        <f t="shared" si="49"/>
        <v>22</v>
      </c>
      <c r="K652" s="270">
        <f t="shared" si="50"/>
        <v>6</v>
      </c>
      <c r="L652" s="271">
        <v>883943</v>
      </c>
      <c r="M652" s="269">
        <v>112205</v>
      </c>
      <c r="N652" s="272">
        <f>L652/M652</f>
        <v>7.877928791052092</v>
      </c>
      <c r="O652" s="338"/>
    </row>
    <row r="653" spans="1:15" ht="12" customHeight="1">
      <c r="A653" s="228">
        <v>650</v>
      </c>
      <c r="B653" s="245" t="s">
        <v>288</v>
      </c>
      <c r="C653" s="246">
        <v>39472</v>
      </c>
      <c r="D653" s="247" t="s">
        <v>292</v>
      </c>
      <c r="E653" s="248">
        <v>70</v>
      </c>
      <c r="F653" s="248">
        <v>1</v>
      </c>
      <c r="G653" s="248">
        <v>34</v>
      </c>
      <c r="H653" s="263">
        <v>130</v>
      </c>
      <c r="I653" s="258">
        <v>20</v>
      </c>
      <c r="J653" s="259">
        <f t="shared" si="49"/>
        <v>20</v>
      </c>
      <c r="K653" s="260">
        <f t="shared" si="50"/>
        <v>6.5</v>
      </c>
      <c r="L653" s="264">
        <v>883629</v>
      </c>
      <c r="M653" s="261">
        <v>112155</v>
      </c>
      <c r="N653" s="255">
        <f>+L653/M653</f>
        <v>7.8786411662431455</v>
      </c>
      <c r="O653" s="338"/>
    </row>
    <row r="654" spans="1:15" ht="13.5" customHeight="1">
      <c r="A654" s="228">
        <v>651</v>
      </c>
      <c r="B654" s="245" t="s">
        <v>288</v>
      </c>
      <c r="C654" s="246">
        <v>39472</v>
      </c>
      <c r="D654" s="247" t="s">
        <v>292</v>
      </c>
      <c r="E654" s="248">
        <v>70</v>
      </c>
      <c r="F654" s="248">
        <v>1</v>
      </c>
      <c r="G654" s="248">
        <v>35</v>
      </c>
      <c r="H654" s="249">
        <v>39</v>
      </c>
      <c r="I654" s="250">
        <v>6</v>
      </c>
      <c r="J654" s="251">
        <v>6</v>
      </c>
      <c r="K654" s="260">
        <v>6.5</v>
      </c>
      <c r="L654" s="253">
        <v>883668</v>
      </c>
      <c r="M654" s="254">
        <v>112161</v>
      </c>
      <c r="N654" s="255">
        <f>+L654/M654</f>
        <v>7.878567416481665</v>
      </c>
      <c r="O654" s="335"/>
    </row>
    <row r="655" spans="1:15" ht="12" customHeight="1">
      <c r="A655" s="228">
        <v>652</v>
      </c>
      <c r="B655" s="245" t="s">
        <v>327</v>
      </c>
      <c r="C655" s="246">
        <v>40081</v>
      </c>
      <c r="D655" s="247" t="s">
        <v>322</v>
      </c>
      <c r="E655" s="248">
        <v>10</v>
      </c>
      <c r="F655" s="248">
        <v>1</v>
      </c>
      <c r="G655" s="248">
        <v>8</v>
      </c>
      <c r="H655" s="249">
        <v>1780</v>
      </c>
      <c r="I655" s="250">
        <v>445</v>
      </c>
      <c r="J655" s="251">
        <f>(I655/F655)</f>
        <v>445</v>
      </c>
      <c r="K655" s="252">
        <f aca="true" t="shared" si="51" ref="K655:K661">H655/I655</f>
        <v>4</v>
      </c>
      <c r="L655" s="253">
        <f>15355.5+7416.5+5376.5+1210+1050.5+1780+1780+1780</f>
        <v>35749</v>
      </c>
      <c r="M655" s="254">
        <f>1226+729+733+198+202+445+445+445</f>
        <v>4423</v>
      </c>
      <c r="N655" s="255">
        <f>L655/M655</f>
        <v>8.082523174316075</v>
      </c>
      <c r="O655" s="273"/>
    </row>
    <row r="656" spans="1:15" ht="12" customHeight="1">
      <c r="A656" s="228">
        <v>653</v>
      </c>
      <c r="B656" s="245" t="s">
        <v>483</v>
      </c>
      <c r="C656" s="246">
        <v>39962</v>
      </c>
      <c r="D656" s="257" t="s">
        <v>270</v>
      </c>
      <c r="E656" s="248">
        <v>72</v>
      </c>
      <c r="F656" s="248">
        <v>1</v>
      </c>
      <c r="G656" s="248">
        <v>23</v>
      </c>
      <c r="H656" s="263">
        <v>516</v>
      </c>
      <c r="I656" s="258">
        <v>158</v>
      </c>
      <c r="J656" s="259">
        <f aca="true" t="shared" si="52" ref="J656:J665">I656/F656</f>
        <v>158</v>
      </c>
      <c r="K656" s="260">
        <f t="shared" si="51"/>
        <v>3.2658227848101267</v>
      </c>
      <c r="L656" s="264">
        <v>276947</v>
      </c>
      <c r="M656" s="261">
        <v>37748</v>
      </c>
      <c r="N656" s="255">
        <f>+L657/M657</f>
        <v>8.614293629382615</v>
      </c>
      <c r="O656" s="335"/>
    </row>
    <row r="657" spans="1:15" ht="12" customHeight="1">
      <c r="A657" s="228">
        <v>654</v>
      </c>
      <c r="B657" s="245" t="s">
        <v>358</v>
      </c>
      <c r="C657" s="246">
        <v>40158</v>
      </c>
      <c r="D657" s="247" t="s">
        <v>321</v>
      </c>
      <c r="E657" s="248">
        <v>141</v>
      </c>
      <c r="F657" s="248">
        <v>34</v>
      </c>
      <c r="G657" s="248">
        <v>5</v>
      </c>
      <c r="H657" s="249">
        <v>32443</v>
      </c>
      <c r="I657" s="250">
        <v>5335</v>
      </c>
      <c r="J657" s="251">
        <f t="shared" si="52"/>
        <v>156.91176470588235</v>
      </c>
      <c r="K657" s="252">
        <f t="shared" si="51"/>
        <v>6.08116213683224</v>
      </c>
      <c r="L657" s="253">
        <f>1607914+23244+32443</f>
        <v>1663601</v>
      </c>
      <c r="M657" s="254">
        <f>183968+3818+5335</f>
        <v>193121</v>
      </c>
      <c r="N657" s="255">
        <f>+L658/M658</f>
        <v>8.528182556948098</v>
      </c>
      <c r="O657" s="262"/>
    </row>
    <row r="658" spans="1:15" ht="12" customHeight="1">
      <c r="A658" s="228">
        <v>655</v>
      </c>
      <c r="B658" s="245" t="s">
        <v>358</v>
      </c>
      <c r="C658" s="246">
        <v>40158</v>
      </c>
      <c r="D658" s="247" t="s">
        <v>321</v>
      </c>
      <c r="E658" s="248">
        <v>141</v>
      </c>
      <c r="F658" s="248">
        <v>21</v>
      </c>
      <c r="G658" s="248">
        <v>6</v>
      </c>
      <c r="H658" s="249">
        <v>25994</v>
      </c>
      <c r="I658" s="258">
        <v>4998</v>
      </c>
      <c r="J658" s="259">
        <f t="shared" si="52"/>
        <v>238</v>
      </c>
      <c r="K658" s="260">
        <f t="shared" si="51"/>
        <v>5.200880352140857</v>
      </c>
      <c r="L658" s="253">
        <f>1607914+23244+32443+25994</f>
        <v>1689595</v>
      </c>
      <c r="M658" s="261">
        <f>183968+3818+5335+4998</f>
        <v>198119</v>
      </c>
      <c r="N658" s="255">
        <f>+L659/M659</f>
        <v>8.686259891578713</v>
      </c>
      <c r="O658" s="262"/>
    </row>
    <row r="659" spans="1:15" ht="12" customHeight="1">
      <c r="A659" s="228">
        <v>656</v>
      </c>
      <c r="B659" s="245" t="s">
        <v>358</v>
      </c>
      <c r="C659" s="246">
        <v>40158</v>
      </c>
      <c r="D659" s="247" t="s">
        <v>321</v>
      </c>
      <c r="E659" s="248">
        <v>141</v>
      </c>
      <c r="F659" s="248">
        <v>27</v>
      </c>
      <c r="G659" s="248">
        <v>4</v>
      </c>
      <c r="H659" s="249">
        <v>23244</v>
      </c>
      <c r="I659" s="250">
        <v>3818</v>
      </c>
      <c r="J659" s="251">
        <f t="shared" si="52"/>
        <v>141.40740740740742</v>
      </c>
      <c r="K659" s="260">
        <f t="shared" si="51"/>
        <v>6.088004190675746</v>
      </c>
      <c r="L659" s="253">
        <f>1607914+23244</f>
        <v>1631158</v>
      </c>
      <c r="M659" s="254">
        <f>183968+3818</f>
        <v>187786</v>
      </c>
      <c r="N659" s="255">
        <f>+L660/M660</f>
        <v>8.504841674974076</v>
      </c>
      <c r="O659" s="345"/>
    </row>
    <row r="660" spans="1:15" ht="12" customHeight="1">
      <c r="A660" s="228">
        <v>657</v>
      </c>
      <c r="B660" s="245" t="s">
        <v>358</v>
      </c>
      <c r="C660" s="246">
        <v>40158</v>
      </c>
      <c r="D660" s="247" t="s">
        <v>321</v>
      </c>
      <c r="E660" s="248">
        <v>141</v>
      </c>
      <c r="F660" s="248">
        <v>8</v>
      </c>
      <c r="G660" s="248">
        <v>7</v>
      </c>
      <c r="H660" s="263">
        <v>8150</v>
      </c>
      <c r="I660" s="258">
        <v>1502</v>
      </c>
      <c r="J660" s="259">
        <f t="shared" si="52"/>
        <v>187.75</v>
      </c>
      <c r="K660" s="260">
        <f t="shared" si="51"/>
        <v>5.426098535286285</v>
      </c>
      <c r="L660" s="264">
        <f>1607914+23244+32443+25994+8150</f>
        <v>1697745</v>
      </c>
      <c r="M660" s="261">
        <f>183968+3818+5335+4998+1502</f>
        <v>199621</v>
      </c>
      <c r="N660" s="272">
        <f>+L661/M661</f>
        <v>8.499817548349688</v>
      </c>
      <c r="O660" s="262"/>
    </row>
    <row r="661" spans="1:15" ht="12" customHeight="1">
      <c r="A661" s="228">
        <v>658</v>
      </c>
      <c r="B661" s="245" t="s">
        <v>358</v>
      </c>
      <c r="C661" s="265">
        <v>40158</v>
      </c>
      <c r="D661" s="247" t="s">
        <v>321</v>
      </c>
      <c r="E661" s="276">
        <v>141</v>
      </c>
      <c r="F661" s="276">
        <v>4</v>
      </c>
      <c r="G661" s="276">
        <v>8</v>
      </c>
      <c r="H661" s="267">
        <v>2669</v>
      </c>
      <c r="I661" s="268">
        <v>432</v>
      </c>
      <c r="J661" s="269">
        <f t="shared" si="52"/>
        <v>108</v>
      </c>
      <c r="K661" s="270">
        <f t="shared" si="51"/>
        <v>6.1782407407407405</v>
      </c>
      <c r="L661" s="271">
        <f>1607914+23244+32443+25994+8150+2669</f>
        <v>1700414</v>
      </c>
      <c r="M661" s="269">
        <f>183968+3818+5335+4998+1502+432</f>
        <v>200053</v>
      </c>
      <c r="N661" s="272">
        <f>L662/M662</f>
        <v>8.49824170554562</v>
      </c>
      <c r="O661" s="262"/>
    </row>
    <row r="662" spans="1:15" ht="12" customHeight="1">
      <c r="A662" s="228">
        <v>659</v>
      </c>
      <c r="B662" s="281" t="s">
        <v>358</v>
      </c>
      <c r="C662" s="265">
        <v>40158</v>
      </c>
      <c r="D662" s="247" t="s">
        <v>321</v>
      </c>
      <c r="E662" s="276">
        <v>141</v>
      </c>
      <c r="F662" s="276">
        <v>3</v>
      </c>
      <c r="G662" s="276">
        <v>9</v>
      </c>
      <c r="H662" s="267">
        <v>883</v>
      </c>
      <c r="I662" s="268">
        <v>141</v>
      </c>
      <c r="J662" s="269">
        <f t="shared" si="52"/>
        <v>47</v>
      </c>
      <c r="K662" s="270">
        <f>+H662/I662</f>
        <v>6.26241134751773</v>
      </c>
      <c r="L662" s="271">
        <f>1700414+883</f>
        <v>1701297</v>
      </c>
      <c r="M662" s="269">
        <f>200053+141</f>
        <v>200194</v>
      </c>
      <c r="N662" s="272">
        <f>+L663/M663</f>
        <v>8.494355724124164</v>
      </c>
      <c r="O662" s="262"/>
    </row>
    <row r="663" spans="1:15" ht="12" customHeight="1">
      <c r="A663" s="228">
        <v>660</v>
      </c>
      <c r="B663" s="281" t="s">
        <v>358</v>
      </c>
      <c r="C663" s="265">
        <v>40158</v>
      </c>
      <c r="D663" s="247" t="s">
        <v>321</v>
      </c>
      <c r="E663" s="276">
        <v>141</v>
      </c>
      <c r="F663" s="276">
        <v>1</v>
      </c>
      <c r="G663" s="276">
        <v>10</v>
      </c>
      <c r="H663" s="280">
        <v>803</v>
      </c>
      <c r="I663" s="282">
        <v>186</v>
      </c>
      <c r="J663" s="283">
        <f t="shared" si="52"/>
        <v>186</v>
      </c>
      <c r="K663" s="285">
        <f>H663/I663</f>
        <v>4.317204301075269</v>
      </c>
      <c r="L663" s="284">
        <v>1702099</v>
      </c>
      <c r="M663" s="283">
        <v>200380</v>
      </c>
      <c r="N663" s="272">
        <f>+L664/M664</f>
        <v>8.491651289212507</v>
      </c>
      <c r="O663" s="244"/>
    </row>
    <row r="664" spans="1:15" ht="12" customHeight="1">
      <c r="A664" s="228">
        <v>661</v>
      </c>
      <c r="B664" s="281" t="s">
        <v>358</v>
      </c>
      <c r="C664" s="265">
        <v>40158</v>
      </c>
      <c r="D664" s="247" t="s">
        <v>321</v>
      </c>
      <c r="E664" s="276">
        <v>141</v>
      </c>
      <c r="F664" s="276">
        <v>1</v>
      </c>
      <c r="G664" s="276">
        <v>11</v>
      </c>
      <c r="H664" s="280">
        <v>562</v>
      </c>
      <c r="I664" s="282">
        <v>130</v>
      </c>
      <c r="J664" s="283">
        <f t="shared" si="52"/>
        <v>130</v>
      </c>
      <c r="K664" s="285">
        <f>H664/I664</f>
        <v>4.323076923076923</v>
      </c>
      <c r="L664" s="284">
        <v>1702661</v>
      </c>
      <c r="M664" s="283">
        <v>200510</v>
      </c>
      <c r="N664" s="255">
        <f>L665/M665</f>
        <v>9.65701429613815</v>
      </c>
      <c r="O664" s="341"/>
    </row>
    <row r="665" spans="1:15" ht="12" customHeight="1">
      <c r="A665" s="228">
        <v>662</v>
      </c>
      <c r="B665" s="245" t="s">
        <v>319</v>
      </c>
      <c r="C665" s="265">
        <v>39829</v>
      </c>
      <c r="D665" s="275" t="s">
        <v>349</v>
      </c>
      <c r="E665" s="276">
        <v>27</v>
      </c>
      <c r="F665" s="276">
        <v>1</v>
      </c>
      <c r="G665" s="276">
        <v>27</v>
      </c>
      <c r="H665" s="263">
        <v>556</v>
      </c>
      <c r="I665" s="258">
        <v>134</v>
      </c>
      <c r="J665" s="269">
        <f t="shared" si="52"/>
        <v>134</v>
      </c>
      <c r="K665" s="270">
        <f>H665/I665</f>
        <v>4.149253731343284</v>
      </c>
      <c r="L665" s="271">
        <f>354992.5+968+417+405+556</f>
        <v>357338.5</v>
      </c>
      <c r="M665" s="269">
        <f>34663+92+49+815+174+99+126+262+271+160+77+81+134</f>
        <v>37003</v>
      </c>
      <c r="N665" s="272">
        <f>+L665/M665</f>
        <v>9.65701429613815</v>
      </c>
      <c r="O665" s="262"/>
    </row>
    <row r="666" spans="1:15" ht="12" customHeight="1">
      <c r="A666" s="228">
        <v>663</v>
      </c>
      <c r="B666" s="245" t="s">
        <v>274</v>
      </c>
      <c r="C666" s="265">
        <v>39920</v>
      </c>
      <c r="D666" s="275" t="s">
        <v>322</v>
      </c>
      <c r="E666" s="287">
        <v>133</v>
      </c>
      <c r="F666" s="287">
        <v>2</v>
      </c>
      <c r="G666" s="287">
        <v>23</v>
      </c>
      <c r="H666" s="288">
        <v>4040</v>
      </c>
      <c r="I666" s="326">
        <v>1010</v>
      </c>
      <c r="J666" s="269">
        <f>(I666/F666)</f>
        <v>505</v>
      </c>
      <c r="K666" s="270">
        <f>H666/I666</f>
        <v>4</v>
      </c>
      <c r="L666" s="271">
        <f>814797.5+158602+44526+7105.5+1443+731+330+3273+1356+388+2317+2290.5+138+112.5+37+1136+51+98+1424+1780+1780+2020+4040</f>
        <v>1049776</v>
      </c>
      <c r="M666" s="269">
        <f>100614+19257+6285+1176+234+205+67+783+301+48+521+500+23+18+9+170+23+30+356+445+445+505+1010</f>
        <v>133025</v>
      </c>
      <c r="N666" s="272">
        <f>L666/M666</f>
        <v>7.891569253899643</v>
      </c>
      <c r="O666" s="244"/>
    </row>
    <row r="667" spans="1:15" ht="12" customHeight="1">
      <c r="A667" s="228">
        <v>664</v>
      </c>
      <c r="B667" s="245" t="s">
        <v>274</v>
      </c>
      <c r="C667" s="265">
        <v>39920</v>
      </c>
      <c r="D667" s="275" t="s">
        <v>322</v>
      </c>
      <c r="E667" s="287">
        <v>133</v>
      </c>
      <c r="F667" s="287">
        <v>1</v>
      </c>
      <c r="G667" s="287">
        <v>22</v>
      </c>
      <c r="H667" s="288">
        <v>2020</v>
      </c>
      <c r="I667" s="289">
        <v>505</v>
      </c>
      <c r="J667" s="283">
        <f>(I667/F667)</f>
        <v>505</v>
      </c>
      <c r="K667" s="285">
        <f>H667/I667</f>
        <v>4</v>
      </c>
      <c r="L667" s="284">
        <f>814797.5+158602+44526+7105.5+1443+731+330+3273+1356+388+2317+2290.5+138+112.5+37+1136+51+98+1424+1780+1780+2020</f>
        <v>1045736</v>
      </c>
      <c r="M667" s="283">
        <f>100614+19257+6285+1176+234+205+67+783+301+48+521+500+23+18+9+170+23+30+356+445+445+505</f>
        <v>132015</v>
      </c>
      <c r="N667" s="290">
        <f>L667/M667</f>
        <v>7.921342271711548</v>
      </c>
      <c r="O667" s="341"/>
    </row>
    <row r="668" spans="1:16" s="90" customFormat="1" ht="12" customHeight="1">
      <c r="A668" s="228">
        <v>665</v>
      </c>
      <c r="B668" s="304" t="s">
        <v>274</v>
      </c>
      <c r="C668" s="305">
        <v>39920</v>
      </c>
      <c r="D668" s="275" t="s">
        <v>322</v>
      </c>
      <c r="E668" s="306">
        <v>133</v>
      </c>
      <c r="F668" s="306">
        <v>1</v>
      </c>
      <c r="G668" s="306">
        <v>20</v>
      </c>
      <c r="H668" s="263">
        <v>1780</v>
      </c>
      <c r="I668" s="258">
        <v>445</v>
      </c>
      <c r="J668" s="259">
        <f>(I668/F668)</f>
        <v>445</v>
      </c>
      <c r="K668" s="270">
        <f>+H668/I668</f>
        <v>4</v>
      </c>
      <c r="L668" s="264">
        <f>814797.5+158602+44526+7105.5+1443+731+330+3273+1356+388+2317+2290.5+138+112.5+37+1136+51+98+1424+1780</f>
        <v>1041936</v>
      </c>
      <c r="M668" s="261">
        <f>100614+19257+6285+1176+234+205+67+783+301+48+521+500+23+18+9+170+23+30+356+445</f>
        <v>131065</v>
      </c>
      <c r="N668" s="272">
        <f>L669/M669</f>
        <v>7.936400273743441</v>
      </c>
      <c r="O668" s="256"/>
      <c r="P668" s="93"/>
    </row>
    <row r="669" spans="1:16" s="90" customFormat="1" ht="12" customHeight="1">
      <c r="A669" s="228">
        <v>666</v>
      </c>
      <c r="B669" s="281" t="s">
        <v>274</v>
      </c>
      <c r="C669" s="308">
        <v>39920</v>
      </c>
      <c r="D669" s="275" t="s">
        <v>322</v>
      </c>
      <c r="E669" s="287">
        <v>133</v>
      </c>
      <c r="F669" s="287">
        <v>1</v>
      </c>
      <c r="G669" s="287">
        <v>21</v>
      </c>
      <c r="H669" s="288">
        <v>1780</v>
      </c>
      <c r="I669" s="289">
        <v>445</v>
      </c>
      <c r="J669" s="283">
        <f>(I669/F669)</f>
        <v>445</v>
      </c>
      <c r="K669" s="285">
        <f>H669/I669</f>
        <v>4</v>
      </c>
      <c r="L669" s="284">
        <f>814797.5+158602+44526+7105.5+1443+731+330+3273+1356+388+2317+2290.5+138+112.5+37+1136+51+98+1424+1780+1780</f>
        <v>1043716</v>
      </c>
      <c r="M669" s="283">
        <f>100614+19257+6285+1176+234+205+67+783+301+48+521+500+23+18+9+170+23+30+356+445+445</f>
        <v>131510</v>
      </c>
      <c r="N669" s="272">
        <f>+L670/M670</f>
        <v>7.903411795564277</v>
      </c>
      <c r="O669" s="274"/>
      <c r="P669" s="93"/>
    </row>
    <row r="670" spans="1:16" s="90" customFormat="1" ht="12" customHeight="1">
      <c r="A670" s="228">
        <v>667</v>
      </c>
      <c r="B670" s="245" t="s">
        <v>46</v>
      </c>
      <c r="C670" s="265">
        <v>40074</v>
      </c>
      <c r="D670" s="247" t="s">
        <v>444</v>
      </c>
      <c r="E670" s="276">
        <v>142</v>
      </c>
      <c r="F670" s="276">
        <v>1</v>
      </c>
      <c r="G670" s="276">
        <v>15</v>
      </c>
      <c r="H670" s="267">
        <v>318</v>
      </c>
      <c r="I670" s="268">
        <v>53</v>
      </c>
      <c r="J670" s="269">
        <f>IF(H670&lt;&gt;0,I670/F670,"")</f>
        <v>53</v>
      </c>
      <c r="K670" s="270">
        <f>IF(H670&lt;&gt;0,H670/I670,"")</f>
        <v>6</v>
      </c>
      <c r="L670" s="271">
        <v>813553.5</v>
      </c>
      <c r="M670" s="269">
        <v>102937</v>
      </c>
      <c r="N670" s="272">
        <f>IF(L670&lt;&gt;0,L670/M670,"")</f>
        <v>7.903411795564277</v>
      </c>
      <c r="O670" s="244"/>
      <c r="P670" s="93"/>
    </row>
    <row r="671" spans="1:16" s="90" customFormat="1" ht="12" customHeight="1">
      <c r="A671" s="228">
        <v>668</v>
      </c>
      <c r="B671" s="281" t="s">
        <v>47</v>
      </c>
      <c r="C671" s="308">
        <v>40074</v>
      </c>
      <c r="D671" s="286" t="s">
        <v>418</v>
      </c>
      <c r="E671" s="287">
        <v>142</v>
      </c>
      <c r="F671" s="287">
        <v>2</v>
      </c>
      <c r="G671" s="287">
        <v>13</v>
      </c>
      <c r="H671" s="288">
        <v>2077</v>
      </c>
      <c r="I671" s="289">
        <v>415</v>
      </c>
      <c r="J671" s="283">
        <f>I671/F671</f>
        <v>207.5</v>
      </c>
      <c r="K671" s="285">
        <f>H671/I671</f>
        <v>5.004819277108433</v>
      </c>
      <c r="L671" s="284">
        <v>812953.5</v>
      </c>
      <c r="M671" s="283">
        <v>102837</v>
      </c>
      <c r="N671" s="272">
        <f>+L672/M672</f>
        <v>7.901446786213321</v>
      </c>
      <c r="O671" s="262"/>
      <c r="P671" s="93"/>
    </row>
    <row r="672" spans="1:16" s="90" customFormat="1" ht="12" customHeight="1">
      <c r="A672" s="228">
        <v>669</v>
      </c>
      <c r="B672" s="245" t="s">
        <v>48</v>
      </c>
      <c r="C672" s="265">
        <v>40074</v>
      </c>
      <c r="D672" s="247" t="s">
        <v>444</v>
      </c>
      <c r="E672" s="276">
        <v>142</v>
      </c>
      <c r="F672" s="276">
        <v>2</v>
      </c>
      <c r="G672" s="276">
        <v>17</v>
      </c>
      <c r="H672" s="267">
        <v>420</v>
      </c>
      <c r="I672" s="268">
        <v>66</v>
      </c>
      <c r="J672" s="269">
        <f>IF(H672&lt;&gt;0,I672/F672,"")</f>
        <v>33</v>
      </c>
      <c r="K672" s="270">
        <f>H672/I672</f>
        <v>6.363636363636363</v>
      </c>
      <c r="L672" s="271">
        <f>813871.5+H672</f>
        <v>814291.5</v>
      </c>
      <c r="M672" s="269">
        <f>102990+I672</f>
        <v>103056</v>
      </c>
      <c r="N672" s="272">
        <f>+L672/M672</f>
        <v>7.901446786213321</v>
      </c>
      <c r="O672" s="338">
        <v>1</v>
      </c>
      <c r="P672" s="93"/>
    </row>
    <row r="673" spans="1:16" s="90" customFormat="1" ht="12" customHeight="1">
      <c r="A673" s="228">
        <v>670</v>
      </c>
      <c r="B673" s="245" t="s">
        <v>48</v>
      </c>
      <c r="C673" s="265">
        <v>40074</v>
      </c>
      <c r="D673" s="247" t="s">
        <v>444</v>
      </c>
      <c r="E673" s="276">
        <v>142</v>
      </c>
      <c r="F673" s="276">
        <v>1</v>
      </c>
      <c r="G673" s="276">
        <v>16</v>
      </c>
      <c r="H673" s="267">
        <v>318</v>
      </c>
      <c r="I673" s="268">
        <v>53</v>
      </c>
      <c r="J673" s="269">
        <f>IF(H673&lt;&gt;0,I673/F673,"")</f>
        <v>53</v>
      </c>
      <c r="K673" s="270">
        <f>IF(H673&lt;&gt;0,H673/I673,"")</f>
        <v>6</v>
      </c>
      <c r="L673" s="271">
        <f>813553.5+H673</f>
        <v>813871.5</v>
      </c>
      <c r="M673" s="269">
        <f>102937+J673</f>
        <v>102990</v>
      </c>
      <c r="N673" s="272">
        <f>+L673/M673</f>
        <v>7.902432274978153</v>
      </c>
      <c r="O673" s="335">
        <v>1</v>
      </c>
      <c r="P673" s="93"/>
    </row>
    <row r="674" spans="1:16" s="90" customFormat="1" ht="12" customHeight="1">
      <c r="A674" s="228">
        <v>671</v>
      </c>
      <c r="B674" s="245" t="s">
        <v>48</v>
      </c>
      <c r="C674" s="246">
        <v>40074</v>
      </c>
      <c r="D674" s="247" t="s">
        <v>444</v>
      </c>
      <c r="E674" s="248">
        <v>142</v>
      </c>
      <c r="F674" s="248">
        <v>1</v>
      </c>
      <c r="G674" s="248">
        <v>14</v>
      </c>
      <c r="H674" s="249">
        <v>282</v>
      </c>
      <c r="I674" s="250">
        <v>47</v>
      </c>
      <c r="J674" s="251">
        <f>IF(H674&lt;&gt;0,I674/F674,"")</f>
        <v>47</v>
      </c>
      <c r="K674" s="260">
        <f>IF(H674&lt;&gt;0,H674/I674,"")</f>
        <v>6</v>
      </c>
      <c r="L674" s="253">
        <v>813235.5</v>
      </c>
      <c r="M674" s="254">
        <v>102884</v>
      </c>
      <c r="N674" s="255">
        <f>IF(L674&lt;&gt;0,L674/M674,"")</f>
        <v>7.904392325337273</v>
      </c>
      <c r="O674" s="262"/>
      <c r="P674" s="93"/>
    </row>
    <row r="675" spans="1:16" s="90" customFormat="1" ht="12" customHeight="1">
      <c r="A675" s="228">
        <v>672</v>
      </c>
      <c r="B675" s="281" t="s">
        <v>47</v>
      </c>
      <c r="C675" s="265">
        <v>40074</v>
      </c>
      <c r="D675" s="286" t="s">
        <v>418</v>
      </c>
      <c r="E675" s="276">
        <v>142</v>
      </c>
      <c r="F675" s="276">
        <v>1</v>
      </c>
      <c r="G675" s="276">
        <v>12</v>
      </c>
      <c r="H675" s="280">
        <v>220</v>
      </c>
      <c r="I675" s="282">
        <v>31</v>
      </c>
      <c r="J675" s="283">
        <f>I675/F675</f>
        <v>31</v>
      </c>
      <c r="K675" s="285">
        <f>H675/I675</f>
        <v>7.096774193548387</v>
      </c>
      <c r="L675" s="284">
        <v>810876.5</v>
      </c>
      <c r="M675" s="283">
        <v>102422</v>
      </c>
      <c r="N675" s="299">
        <f>IF(L676&lt;&gt;0,L676/M676,"")</f>
        <v>7.917263236026604</v>
      </c>
      <c r="O675" s="335">
        <v>1</v>
      </c>
      <c r="P675" s="93"/>
    </row>
    <row r="676" spans="1:16" s="90" customFormat="1" ht="12" customHeight="1">
      <c r="A676" s="228">
        <v>673</v>
      </c>
      <c r="B676" s="245" t="s">
        <v>49</v>
      </c>
      <c r="C676" s="246">
        <v>40074</v>
      </c>
      <c r="D676" s="286" t="s">
        <v>418</v>
      </c>
      <c r="E676" s="248">
        <v>142</v>
      </c>
      <c r="F676" s="248">
        <v>1</v>
      </c>
      <c r="G676" s="248">
        <v>11</v>
      </c>
      <c r="H676" s="294">
        <v>203</v>
      </c>
      <c r="I676" s="295">
        <v>35</v>
      </c>
      <c r="J676" s="296">
        <f>IF(H676&lt;&gt;0,I676/F676,"")</f>
        <v>35</v>
      </c>
      <c r="K676" s="297">
        <f>IF(H676&lt;&gt;0,H676/I676,"")</f>
        <v>5.8</v>
      </c>
      <c r="L676" s="298">
        <v>810656.5</v>
      </c>
      <c r="M676" s="269">
        <v>102391</v>
      </c>
      <c r="N676" s="272">
        <f>L677/M677</f>
        <v>6.628820520573488</v>
      </c>
      <c r="O676" s="262"/>
      <c r="P676" s="93"/>
    </row>
    <row r="677" spans="1:16" s="92" customFormat="1" ht="12" customHeight="1">
      <c r="A677" s="228">
        <v>674</v>
      </c>
      <c r="B677" s="281" t="s">
        <v>50</v>
      </c>
      <c r="C677" s="308">
        <v>39766</v>
      </c>
      <c r="D677" s="286" t="s">
        <v>324</v>
      </c>
      <c r="E677" s="287">
        <v>50</v>
      </c>
      <c r="F677" s="287">
        <v>2</v>
      </c>
      <c r="G677" s="287">
        <v>33</v>
      </c>
      <c r="H677" s="288">
        <v>2372</v>
      </c>
      <c r="I677" s="289">
        <v>474</v>
      </c>
      <c r="J677" s="283">
        <f>I677/F677</f>
        <v>237</v>
      </c>
      <c r="K677" s="285">
        <f>H677/I677</f>
        <v>5.0042194092827</v>
      </c>
      <c r="L677" s="284">
        <v>263078</v>
      </c>
      <c r="M677" s="283">
        <v>39687</v>
      </c>
      <c r="N677" s="272">
        <f>+L678/M678</f>
        <v>7.385730887790786</v>
      </c>
      <c r="O677" s="262"/>
      <c r="P677" s="94"/>
    </row>
    <row r="678" spans="1:16" s="90" customFormat="1" ht="12" customHeight="1">
      <c r="A678" s="228">
        <v>675</v>
      </c>
      <c r="B678" s="245" t="s">
        <v>51</v>
      </c>
      <c r="C678" s="265">
        <v>39801</v>
      </c>
      <c r="D678" s="247" t="s">
        <v>322</v>
      </c>
      <c r="E678" s="276">
        <v>42</v>
      </c>
      <c r="F678" s="276">
        <v>1</v>
      </c>
      <c r="G678" s="276">
        <v>38</v>
      </c>
      <c r="H678" s="267">
        <v>2376</v>
      </c>
      <c r="I678" s="268">
        <v>594</v>
      </c>
      <c r="J678" s="269">
        <f>(I678/F678)</f>
        <v>594</v>
      </c>
      <c r="K678" s="270">
        <f>H678/I678</f>
        <v>4</v>
      </c>
      <c r="L678" s="271">
        <f>295344+204961.5+145464.5+116108.5+111972.5+49984+26327+32042+18579+20005+19180+15980+2686.5+3166.5+366+13433+4493+735.5+607.5+2528+83+198+248+2348+825+2700+2268+393+2002+2063+343+1188+2020+398.46+291.4+240.58+592+2+2376</f>
        <v>1104543.44</v>
      </c>
      <c r="M678" s="269">
        <f>36142+24747+19417+15404+14719+7567+3314+5289+3173+3275+3534+2826+540+724+52+2536+882+130+150+615+21+66+51+497+165+675+506+78+241+404+59+297+505+86+63+59+148+594</f>
        <v>149551</v>
      </c>
      <c r="N678" s="272">
        <f>L678/M678</f>
        <v>7.385730887790786</v>
      </c>
      <c r="O678" s="338">
        <v>1</v>
      </c>
      <c r="P678" s="93"/>
    </row>
    <row r="679" spans="1:16" s="91" customFormat="1" ht="12" customHeight="1">
      <c r="A679" s="228">
        <v>676</v>
      </c>
      <c r="B679" s="324" t="s">
        <v>52</v>
      </c>
      <c r="C679" s="265">
        <v>39801</v>
      </c>
      <c r="D679" s="275" t="s">
        <v>322</v>
      </c>
      <c r="E679" s="287">
        <v>42</v>
      </c>
      <c r="F679" s="287">
        <v>1</v>
      </c>
      <c r="G679" s="287">
        <v>33</v>
      </c>
      <c r="H679" s="288">
        <v>2020</v>
      </c>
      <c r="I679" s="289">
        <v>505</v>
      </c>
      <c r="J679" s="283">
        <f>I679/F679</f>
        <v>505</v>
      </c>
      <c r="K679" s="285">
        <f>H679/I679</f>
        <v>4</v>
      </c>
      <c r="L679" s="284">
        <f>295344+204961.5+145464.5+116108.5+111972.5+49984+26327+32042+18579+20005+19180+15980+2686.5+3166.5+366+13433+4493+735.5+607.5+2528+83+198+248+2348+825+2700+2268+393+2002+2063+343+1188+2020</f>
        <v>1100643</v>
      </c>
      <c r="M679" s="283">
        <f>36142+24747+19417+15404+14719+7567+3314+5289+3173+3275+3534+2826+540+724+52+2536+882+130+150+615+21+66+51+497+165+675+506+78+241+404+59+297+505</f>
        <v>148601</v>
      </c>
      <c r="N679" s="290">
        <f>+L679/M679</f>
        <v>7.406699820324224</v>
      </c>
      <c r="O679" s="256">
        <v>1</v>
      </c>
      <c r="P679" s="95"/>
    </row>
    <row r="680" spans="1:16" s="90" customFormat="1" ht="12" customHeight="1">
      <c r="A680" s="228">
        <v>677</v>
      </c>
      <c r="B680" s="293" t="s">
        <v>52</v>
      </c>
      <c r="C680" s="265">
        <v>39801</v>
      </c>
      <c r="D680" s="275" t="s">
        <v>322</v>
      </c>
      <c r="E680" s="276">
        <v>42</v>
      </c>
      <c r="F680" s="276">
        <v>1</v>
      </c>
      <c r="G680" s="276">
        <v>37</v>
      </c>
      <c r="H680" s="249">
        <v>592</v>
      </c>
      <c r="I680" s="250">
        <v>148</v>
      </c>
      <c r="J680" s="251">
        <f>(I680/F680)</f>
        <v>148</v>
      </c>
      <c r="K680" s="260">
        <f>H680/I680</f>
        <v>4</v>
      </c>
      <c r="L680" s="253">
        <f>295344+204961.5+145464.5+116108.5+111972.5+49984+26327+32042+18579+20005+19180+15980+2686.5+3166.5+366+13433+4493+735.5+607.5+2528+83+198+248+2348+825+2700+2268+393+2002+2063+343+1188+2020+398.46+291.4+240.58+592</f>
        <v>1102165.44</v>
      </c>
      <c r="M680" s="254">
        <f>36142+24747+19417+15404+14719+7567+3314+5289+3173+3275+3534+2826+540+724+52+2536+882+130+150+615+21+66+51+497+165+675+506+78+241+404+59+297+505+86+63+59+148</f>
        <v>148957</v>
      </c>
      <c r="N680" s="255">
        <f>L680/M680</f>
        <v>7.3992188349657955</v>
      </c>
      <c r="O680" s="262">
        <v>1</v>
      </c>
      <c r="P680" s="93"/>
    </row>
    <row r="681" spans="1:15" ht="12" customHeight="1">
      <c r="A681" s="228">
        <v>678</v>
      </c>
      <c r="B681" s="245" t="s">
        <v>52</v>
      </c>
      <c r="C681" s="265">
        <v>39801</v>
      </c>
      <c r="D681" s="275" t="s">
        <v>322</v>
      </c>
      <c r="E681" s="287">
        <v>42</v>
      </c>
      <c r="F681" s="287">
        <v>1</v>
      </c>
      <c r="G681" s="287">
        <v>34</v>
      </c>
      <c r="H681" s="288">
        <v>398.46</v>
      </c>
      <c r="I681" s="289">
        <v>86</v>
      </c>
      <c r="J681" s="283">
        <f>I681/F681</f>
        <v>86</v>
      </c>
      <c r="K681" s="285">
        <f>+H681/I681</f>
        <v>4.633255813953488</v>
      </c>
      <c r="L681" s="284">
        <f>295344+204961.5+145464.5+116108.5+111972.5+49984+26327+32042+18579+20005+19180+15980+2686.5+3166.5+366+13433+4493+735.5+607.5+2528+83+198+248+2348+825+2700+2268+393+2002+2063+343+1188+2020+398.46</f>
        <v>1101041.46</v>
      </c>
      <c r="M681" s="283">
        <f>36142+24747+19417+15404+14719+7567+3314+5289+3173+3275+3534+2826+540+724+52+2536+882+130+150+615+21+66+51+497+165+675+506+78+241+404+59+297+505+86</f>
        <v>148687</v>
      </c>
      <c r="N681" s="290">
        <f>+L681/M681</f>
        <v>7.405095670771487</v>
      </c>
      <c r="O681" s="347">
        <v>1</v>
      </c>
    </row>
    <row r="682" spans="1:15" ht="12" customHeight="1">
      <c r="A682" s="228">
        <v>679</v>
      </c>
      <c r="B682" s="245" t="s">
        <v>52</v>
      </c>
      <c r="C682" s="265">
        <v>39801</v>
      </c>
      <c r="D682" s="275" t="s">
        <v>322</v>
      </c>
      <c r="E682" s="287">
        <v>42</v>
      </c>
      <c r="F682" s="287">
        <v>1</v>
      </c>
      <c r="G682" s="287">
        <v>35</v>
      </c>
      <c r="H682" s="288">
        <v>291.4</v>
      </c>
      <c r="I682" s="289">
        <v>63</v>
      </c>
      <c r="J682" s="283">
        <f>(I682/F682)</f>
        <v>63</v>
      </c>
      <c r="K682" s="285">
        <f aca="true" t="shared" si="53" ref="K682:K694">H682/I682</f>
        <v>4.625396825396825</v>
      </c>
      <c r="L682" s="284">
        <f>295344+204961.5+145464.5+116108.5+111972.5+49984+26327+32042+18579+20005+19180+15980+2686.5+3166.5+366+13433+4493+735.5+607.5+2528+83+198+248+2348+825+2700+2268+393+2002+2063+343+1188+2020+398.46+291.4</f>
        <v>1101332.8599999999</v>
      </c>
      <c r="M682" s="283">
        <f>36142+24747+19417+15404+14719+7567+3314+5289+3173+3275+3534+2826+540+724+52+2536+882+130+150+615+21+66+51+497+165+675+506+78+241+404+59+297+505+86+63</f>
        <v>148750</v>
      </c>
      <c r="N682" s="290">
        <f>L682/M682</f>
        <v>7.403918386554621</v>
      </c>
      <c r="O682" s="340">
        <v>1</v>
      </c>
    </row>
    <row r="683" spans="1:15" ht="12" customHeight="1">
      <c r="A683" s="228">
        <v>680</v>
      </c>
      <c r="B683" s="245" t="s">
        <v>52</v>
      </c>
      <c r="C683" s="265">
        <v>39801</v>
      </c>
      <c r="D683" s="275" t="s">
        <v>322</v>
      </c>
      <c r="E683" s="287">
        <v>42</v>
      </c>
      <c r="F683" s="287">
        <v>1</v>
      </c>
      <c r="G683" s="287">
        <v>36</v>
      </c>
      <c r="H683" s="288">
        <v>240.58</v>
      </c>
      <c r="I683" s="326">
        <v>59</v>
      </c>
      <c r="J683" s="269">
        <f>(I683/F683)</f>
        <v>59</v>
      </c>
      <c r="K683" s="270">
        <f t="shared" si="53"/>
        <v>4.077627118644068</v>
      </c>
      <c r="L683" s="271">
        <f>295344+204961.5+145464.5+116108.5+111972.5+49984+26327+32042+18579+20005+19180+15980+2686.5+3166.5+366+13433+4493+735.5+607.5+2528+83+198+248+2348+825+2700+2268+393+2002+2063+343+1188+2020+398.46+291.4+240.58</f>
        <v>1101573.44</v>
      </c>
      <c r="M683" s="269">
        <f>36142+24747+19417+15404+14719+7567+3314+5289+3173+3275+3534+2826+540+724+52+2536+882+130+150+615+21+66+51+497+165+675+506+78+241+404+59+297+505+86+63+59</f>
        <v>148809</v>
      </c>
      <c r="N683" s="272">
        <f>L683/M683</f>
        <v>7.4025995739505</v>
      </c>
      <c r="O683" s="262">
        <v>1</v>
      </c>
    </row>
    <row r="684" spans="1:15" ht="12" customHeight="1">
      <c r="A684" s="228">
        <v>681</v>
      </c>
      <c r="B684" s="324" t="s">
        <v>97</v>
      </c>
      <c r="C684" s="265">
        <v>40074</v>
      </c>
      <c r="D684" s="275" t="s">
        <v>349</v>
      </c>
      <c r="E684" s="287">
        <v>201</v>
      </c>
      <c r="F684" s="287">
        <v>1</v>
      </c>
      <c r="G684" s="287">
        <v>11</v>
      </c>
      <c r="H684" s="288">
        <v>1918.5</v>
      </c>
      <c r="I684" s="289">
        <v>320</v>
      </c>
      <c r="J684" s="283">
        <f>I684/F684</f>
        <v>320</v>
      </c>
      <c r="K684" s="285">
        <f t="shared" si="53"/>
        <v>5.9953125</v>
      </c>
      <c r="L684" s="284">
        <f>492395.5+172608.75+93279.75+41455.5+4013+0.5+709.5+90+170+100+2036+1918+0.5</f>
        <v>808777</v>
      </c>
      <c r="M684" s="283">
        <f>60122+23227+13952+6612+619+91+9+17+10+407+320</f>
        <v>105386</v>
      </c>
      <c r="N684" s="272">
        <f>+L685/M685</f>
        <v>6.766005364275094</v>
      </c>
      <c r="O684" s="338"/>
    </row>
    <row r="685" spans="1:15" ht="12" customHeight="1">
      <c r="A685" s="228">
        <v>682</v>
      </c>
      <c r="B685" s="325" t="s">
        <v>503</v>
      </c>
      <c r="C685" s="265">
        <v>39926</v>
      </c>
      <c r="D685" s="275" t="s">
        <v>322</v>
      </c>
      <c r="E685" s="287">
        <v>40</v>
      </c>
      <c r="F685" s="287">
        <v>5</v>
      </c>
      <c r="G685" s="287">
        <v>37</v>
      </c>
      <c r="H685" s="288">
        <v>6592.5</v>
      </c>
      <c r="I685" s="289">
        <v>1697</v>
      </c>
      <c r="J685" s="283">
        <f>(I685/F685)</f>
        <v>339.4</v>
      </c>
      <c r="K685" s="285">
        <f t="shared" si="53"/>
        <v>3.8847967000589274</v>
      </c>
      <c r="L685" s="284">
        <f>35864.5+53058.5+35303.5+15734.5+12778.5+9687.5+8045+13953.5+10307+6140.75+1296+667+231+755+1970+2246+752.5+591.5+130+445+2051+750+1477+2060+1816+47+72+84+378+2301+1280+700+256+1780+92+200+187+6592.5</f>
        <v>232080.75</v>
      </c>
      <c r="M685" s="283">
        <f>3971+5771+3969+2398+2257+2131+1634+2509+1783+912+230+126+48+181+472+311+114+91+20+78+493+183+365+462+452+9+24+28+94+494+182+115+64+445+35+80+73+1697</f>
        <v>34301</v>
      </c>
      <c r="N685" s="290">
        <f>L685/M685</f>
        <v>6.766005364275094</v>
      </c>
      <c r="O685" s="274"/>
    </row>
    <row r="686" spans="1:15" ht="12" customHeight="1">
      <c r="A686" s="228">
        <v>683</v>
      </c>
      <c r="B686" s="325" t="s">
        <v>503</v>
      </c>
      <c r="C686" s="265">
        <v>39926</v>
      </c>
      <c r="D686" s="247" t="s">
        <v>334</v>
      </c>
      <c r="E686" s="276">
        <v>40</v>
      </c>
      <c r="F686" s="276">
        <v>2</v>
      </c>
      <c r="G686" s="276">
        <v>44</v>
      </c>
      <c r="H686" s="267">
        <v>3435</v>
      </c>
      <c r="I686" s="268">
        <v>599</v>
      </c>
      <c r="J686" s="269">
        <f>(I686/F686)</f>
        <v>299.5</v>
      </c>
      <c r="K686" s="270">
        <f t="shared" si="53"/>
        <v>5.734557595993322</v>
      </c>
      <c r="L686" s="271">
        <f>35864.5+53058.5+35303.5+15734.5+12778.5+9687.5+8045+13953.5+10307+6140.75+1296+667+231+755+1970+2246+752.5+591.5+130+445+2051+750+1477+2060+1816+47+72+84+378+2301+1280+700+256+1780+92+200+187+6592.5+2601.5+325.5+274.5+250.5+1365+122.5+3435</f>
        <v>240455.25</v>
      </c>
      <c r="M686" s="269">
        <f>3971+5771+3969+2398+2257+2131+1634+2509+1783+912+230+126+48+181+472+311+114+91+20+78+493+183+365+462+452+9+24+28+94+494+182+115+64+445+35+80+73+1697+671+84+61+68+336+35+599</f>
        <v>36155</v>
      </c>
      <c r="N686" s="272">
        <f>L686/M686</f>
        <v>6.650677637947725</v>
      </c>
      <c r="O686" s="338"/>
    </row>
    <row r="687" spans="1:15" ht="12" customHeight="1">
      <c r="A687" s="228">
        <v>684</v>
      </c>
      <c r="B687" s="325" t="s">
        <v>503</v>
      </c>
      <c r="C687" s="265">
        <v>39926</v>
      </c>
      <c r="D687" s="247" t="s">
        <v>322</v>
      </c>
      <c r="E687" s="276">
        <v>40</v>
      </c>
      <c r="F687" s="276">
        <v>2</v>
      </c>
      <c r="G687" s="276">
        <v>50</v>
      </c>
      <c r="H687" s="267">
        <v>3065.5</v>
      </c>
      <c r="I687" s="268">
        <v>757</v>
      </c>
      <c r="J687" s="269">
        <f>(I687/F687)</f>
        <v>378.5</v>
      </c>
      <c r="K687" s="270">
        <f t="shared" si="53"/>
        <v>4.0495376486129455</v>
      </c>
      <c r="L687" s="271">
        <f>35864.5+53058.5+35303.5+15734.5+12778.5+9687.5+8045+13953.5+10307+6140.75+1296+667+231+755+1970+2246+752.5+591.5+130+445+2051+750+1477+2060+1816+47+72+84+378+2301+1280+700+256+1780+92+200+187+6592.5+2601.5+325.5+274.5+250.5+1365+122.5+3435+71.5+299+201.5+277+84.5+3065.5</f>
        <v>244454.25</v>
      </c>
      <c r="M687" s="269">
        <f>3971+5771+3969+2398+2257+2131+1634+2509+1783+912+230+126+48+181+472+311+114+91+20+78+493+183+365+462+452+9+24+28+94+494+182+115+64+445+35+80+73+1697+671+84+61+68+336+35+599+11+46+31+42+13+757</f>
        <v>37055</v>
      </c>
      <c r="N687" s="272">
        <f>L687/M687</f>
        <v>6.597065173390906</v>
      </c>
      <c r="O687" s="262">
        <v>1</v>
      </c>
    </row>
    <row r="688" spans="1:15" ht="12" customHeight="1">
      <c r="A688" s="228">
        <v>685</v>
      </c>
      <c r="B688" s="325" t="s">
        <v>503</v>
      </c>
      <c r="C688" s="265">
        <v>39926</v>
      </c>
      <c r="D688" s="275" t="s">
        <v>322</v>
      </c>
      <c r="E688" s="287">
        <v>40</v>
      </c>
      <c r="F688" s="287">
        <v>3</v>
      </c>
      <c r="G688" s="287">
        <v>38</v>
      </c>
      <c r="H688" s="288">
        <v>2601.5</v>
      </c>
      <c r="I688" s="326">
        <v>671</v>
      </c>
      <c r="J688" s="269">
        <f>(I688/F688)</f>
        <v>223.66666666666666</v>
      </c>
      <c r="K688" s="270">
        <f t="shared" si="53"/>
        <v>3.877049180327869</v>
      </c>
      <c r="L688" s="271">
        <f>35864.5+53058.5+35303.5+15734.5+12778.5+9687.5+8045+13953.5+10307+6140.75+1296+667+231+755+1970+2246+752.5+591.5+130+445+2051+750+1477+2060+1816+47+72+84+378+2301+1280+700+256+1780+92+200+187+6592.5+2601.5</f>
        <v>234682.25</v>
      </c>
      <c r="M688" s="269">
        <f>3971+5771+3969+2398+2257+2131+1634+2509+1783+912+230+126+48+181+472+311+114+91+20+78+493+183+365+462+452+9+24+28+94+494+182+115+64+445+35+80+73+1697+671</f>
        <v>34972</v>
      </c>
      <c r="N688" s="272">
        <f>L688/M688</f>
        <v>6.710575603339815</v>
      </c>
      <c r="O688" s="262">
        <v>1</v>
      </c>
    </row>
    <row r="689" spans="1:15" ht="12" customHeight="1">
      <c r="A689" s="228">
        <v>686</v>
      </c>
      <c r="B689" s="325" t="s">
        <v>503</v>
      </c>
      <c r="C689" s="308">
        <v>39926</v>
      </c>
      <c r="D689" s="275" t="s">
        <v>322</v>
      </c>
      <c r="E689" s="287">
        <v>40</v>
      </c>
      <c r="F689" s="287">
        <v>1</v>
      </c>
      <c r="G689" s="287">
        <v>33</v>
      </c>
      <c r="H689" s="288">
        <v>1780</v>
      </c>
      <c r="I689" s="289">
        <v>445</v>
      </c>
      <c r="J689" s="283">
        <f>I689/F689</f>
        <v>445</v>
      </c>
      <c r="K689" s="285">
        <f t="shared" si="53"/>
        <v>4</v>
      </c>
      <c r="L689" s="284">
        <f>35864.5+53058.5+35303.5+15734.5+12778.5+9687.5+8045+13953.5+10307+6140.75+1296+667+231+755+1970+2246+752.5+591.5+130+445+2051+750+1477+2060+1816+47+72+84+378+2301+1280+700+256+1780</f>
        <v>225009.25</v>
      </c>
      <c r="M689" s="283">
        <f>3971+5771+3969+2398+2257+2131+1634+2509+1783+912+230+126+48+181+472+311+114+91+20+78+493+183+365+462+452+9+24+28+94+494+182+115+64+445</f>
        <v>32416</v>
      </c>
      <c r="N689" s="299">
        <f>IF(L691&lt;&gt;0,L691/M691,"")</f>
        <v>6.669230877509079</v>
      </c>
      <c r="O689" s="274"/>
    </row>
    <row r="690" spans="1:15" ht="12" customHeight="1">
      <c r="A690" s="228">
        <v>687</v>
      </c>
      <c r="B690" s="195" t="s">
        <v>503</v>
      </c>
      <c r="C690" s="192">
        <v>39926</v>
      </c>
      <c r="D690" s="175" t="s">
        <v>322</v>
      </c>
      <c r="E690" s="193">
        <v>40</v>
      </c>
      <c r="F690" s="193">
        <v>1</v>
      </c>
      <c r="G690" s="193">
        <v>57</v>
      </c>
      <c r="H690" s="206">
        <v>1424</v>
      </c>
      <c r="I690" s="207">
        <v>356</v>
      </c>
      <c r="J690" s="173">
        <f>(I690/F690)</f>
        <v>356</v>
      </c>
      <c r="K690" s="174">
        <f>H690/I690</f>
        <v>4</v>
      </c>
      <c r="L690" s="171">
        <f>35864.5+53058.5+35303.5+15734.5+12778.5+9687.5+8045+13953.5+10307+6140.75+1296+667+231+755+1970+2246+752.5+591.5+130+445+2051+750+1477+2060+1816+47+72+84+378+2301+1280+700+256+1780+92+200+187+6592.5+2601.5+325.5+274.5+250.5+1365+122.5+3435+71.5+299+201.5+277+84.5+3065.5+890.5+45.5+13+13+449+592+1424</f>
        <v>247881.25</v>
      </c>
      <c r="M690" s="172">
        <f>3971+5771+3969+2398+2257+2131+1634+2509+1783+912+230+126+48+181+472+311+114+91+20+78+493+183+365+462+452+9+24+28+94+494+182+115+64+445+35+80+73+1697+671+84+61+68+336+35+599+11+46+31+42+13+757+149+7+2+2+127+148+356</f>
        <v>37846</v>
      </c>
      <c r="N690" s="197">
        <f>L690/M690</f>
        <v>6.549734450140042</v>
      </c>
      <c r="O690" s="274"/>
    </row>
    <row r="691" spans="1:15" ht="12" customHeight="1">
      <c r="A691" s="228">
        <v>688</v>
      </c>
      <c r="B691" s="245" t="s">
        <v>503</v>
      </c>
      <c r="C691" s="265">
        <v>39926</v>
      </c>
      <c r="D691" s="275" t="s">
        <v>322</v>
      </c>
      <c r="E691" s="276">
        <v>40</v>
      </c>
      <c r="F691" s="276">
        <v>2</v>
      </c>
      <c r="G691" s="276">
        <v>42</v>
      </c>
      <c r="H691" s="263">
        <v>1365</v>
      </c>
      <c r="I691" s="258">
        <v>336</v>
      </c>
      <c r="J691" s="269">
        <f>I691/F691</f>
        <v>168</v>
      </c>
      <c r="K691" s="270">
        <f t="shared" si="53"/>
        <v>4.0625</v>
      </c>
      <c r="L691" s="271">
        <f>35864.5+53058.5+35303.5+15734.5+12778.5+9687.5+8045+13953.5+10307+6140.75+1296+667+231+755+1970+2246+752.5+591.5+130+445+2051+750+1477+2060+1816+47+72+84+378+2301+1280+700+256+1780+92+200+187+6592.5+2601.5+325.5+274.5+250.5+1365</f>
        <v>236897.75</v>
      </c>
      <c r="M691" s="269">
        <f>3971+5771+3969+2398+2257+2131+1634+2509+1783+912+230+126+48+181+472+311+114+91+20+78+493+183+365+462+452+9+24+28+94+494+182+115+64+445+35+80+73+1697+671+84+61+68+336</f>
        <v>35521</v>
      </c>
      <c r="N691" s="272">
        <f>+L691/M691</f>
        <v>6.669230877509079</v>
      </c>
      <c r="O691" s="338"/>
    </row>
    <row r="692" spans="1:15" ht="12" customHeight="1">
      <c r="A692" s="228">
        <v>689</v>
      </c>
      <c r="B692" s="325" t="s">
        <v>503</v>
      </c>
      <c r="C692" s="265">
        <v>39926</v>
      </c>
      <c r="D692" s="275" t="s">
        <v>322</v>
      </c>
      <c r="E692" s="276">
        <v>40</v>
      </c>
      <c r="F692" s="276">
        <v>2</v>
      </c>
      <c r="G692" s="276">
        <v>30</v>
      </c>
      <c r="H692" s="249">
        <v>1280</v>
      </c>
      <c r="I692" s="250">
        <v>182</v>
      </c>
      <c r="J692" s="251">
        <f>(I692/F692)</f>
        <v>91</v>
      </c>
      <c r="K692" s="260">
        <f t="shared" si="53"/>
        <v>7.032967032967033</v>
      </c>
      <c r="L692" s="253">
        <f>35864.5+53058.5+35303.5+15734.5+12778.5+9687.5+8045+13953.5+10307+6140.75+1296+667+231+755+1970+2246+752.5+591.5+130+445+2051+750+1477+2060+1816+47+72+84+378+2301+1280</f>
        <v>222273.25</v>
      </c>
      <c r="M692" s="254">
        <f>3971+5771+3969+2398+2257+2131+1634+2509+1783+912+230+126+48+181+472+311+114+91+20+78+493+183+365+462+452+9+24+28+94+494+182</f>
        <v>31792</v>
      </c>
      <c r="N692" s="255">
        <f>L693/M693</f>
        <v>6.594579883883453</v>
      </c>
      <c r="O692" s="273"/>
    </row>
    <row r="693" spans="1:15" ht="12" customHeight="1">
      <c r="A693" s="228">
        <v>690</v>
      </c>
      <c r="B693" s="245" t="s">
        <v>503</v>
      </c>
      <c r="C693" s="265">
        <v>39926</v>
      </c>
      <c r="D693" s="275" t="s">
        <v>322</v>
      </c>
      <c r="E693" s="276">
        <v>40</v>
      </c>
      <c r="F693" s="276">
        <v>2</v>
      </c>
      <c r="G693" s="276">
        <v>51</v>
      </c>
      <c r="H693" s="263">
        <v>890.5</v>
      </c>
      <c r="I693" s="258">
        <v>149</v>
      </c>
      <c r="J693" s="269">
        <f>(I693/F693)</f>
        <v>74.5</v>
      </c>
      <c r="K693" s="270">
        <f t="shared" si="53"/>
        <v>5.976510067114094</v>
      </c>
      <c r="L693" s="271">
        <f>35864.5+53058.5+35303.5+15734.5+12778.5+9687.5+8045+13953.5+10307+6140.75+1296+667+231+755+1970+2246+752.5+591.5+130+445+2051+750+1477+2060+1816+47+72+84+378+2301+1280+700+256+1780+92+200+187+6592.5+2601.5+325.5+274.5+250.5+1365+122.5+3435+71.5+299+201.5+277+84.5+3065.5+890.5</f>
        <v>245344.75</v>
      </c>
      <c r="M693" s="269">
        <f>3971+5771+3969+2398+2257+2131+1634+2509+1783+912+230+126+48+181+472+311+114+91+20+78+493+183+365+462+452+9+24+28+94+494+182+115+64+445+35+80+73+1697+671+84+61+68+336+35+599+11+46+31+42+13+757+149</f>
        <v>37204</v>
      </c>
      <c r="N693" s="272">
        <f>L693/M693</f>
        <v>6.594579883883453</v>
      </c>
      <c r="O693" s="338"/>
    </row>
    <row r="694" spans="1:15" ht="12" customHeight="1">
      <c r="A694" s="228">
        <v>691</v>
      </c>
      <c r="B694" s="325" t="s">
        <v>503</v>
      </c>
      <c r="C694" s="265">
        <v>39926</v>
      </c>
      <c r="D694" s="275" t="s">
        <v>322</v>
      </c>
      <c r="E694" s="276">
        <v>40</v>
      </c>
      <c r="F694" s="276">
        <v>2</v>
      </c>
      <c r="G694" s="276">
        <v>31</v>
      </c>
      <c r="H694" s="249">
        <v>700</v>
      </c>
      <c r="I694" s="250">
        <v>115</v>
      </c>
      <c r="J694" s="251">
        <f>(I694/F694)</f>
        <v>57.5</v>
      </c>
      <c r="K694" s="252">
        <f t="shared" si="53"/>
        <v>6.086956521739131</v>
      </c>
      <c r="L694" s="253">
        <f>35864.5+53058.5+35303.5+15734.5+12778.5+9687.5+8045+13953.5+10307+6140.75+1296+667+231+755+1970+2246+752.5+591.5+130+445+2051+750+1477+2060+1816+47+72+84+378+2301+1280+700</f>
        <v>222973.25</v>
      </c>
      <c r="M694" s="254">
        <f>3971+5771+3969+2398+2257+2131+1634+2509+1783+912+230+126+48+181+472+311+114+91+20+78+493+183+365+462+452+9+24+28+94+494+182+115</f>
        <v>31907</v>
      </c>
      <c r="N694" s="255">
        <f>L695/M695</f>
        <v>6.573946385702854</v>
      </c>
      <c r="O694" s="335"/>
    </row>
    <row r="695" spans="1:15" ht="12" customHeight="1">
      <c r="A695" s="228">
        <v>692</v>
      </c>
      <c r="B695" s="419" t="s">
        <v>503</v>
      </c>
      <c r="C695" s="265">
        <v>39926</v>
      </c>
      <c r="D695" s="414" t="s">
        <v>322</v>
      </c>
      <c r="E695" s="266">
        <v>40</v>
      </c>
      <c r="F695" s="266">
        <v>1</v>
      </c>
      <c r="G695" s="266">
        <v>56</v>
      </c>
      <c r="H695" s="415">
        <v>592</v>
      </c>
      <c r="I695" s="416">
        <v>148</v>
      </c>
      <c r="J695" s="269">
        <v>148</v>
      </c>
      <c r="K695" s="270">
        <v>4</v>
      </c>
      <c r="L695" s="417">
        <v>246457.25</v>
      </c>
      <c r="M695" s="418">
        <v>37490</v>
      </c>
      <c r="N695" s="272">
        <v>7.77812903859489</v>
      </c>
      <c r="O695" s="338"/>
    </row>
    <row r="696" spans="1:15" ht="12" customHeight="1">
      <c r="A696" s="228">
        <v>693</v>
      </c>
      <c r="B696" s="325" t="s">
        <v>503</v>
      </c>
      <c r="C696" s="246">
        <v>39926</v>
      </c>
      <c r="D696" s="247" t="s">
        <v>322</v>
      </c>
      <c r="E696" s="248">
        <v>40</v>
      </c>
      <c r="F696" s="248">
        <v>1</v>
      </c>
      <c r="G696" s="248">
        <v>55</v>
      </c>
      <c r="H696" s="263">
        <v>449</v>
      </c>
      <c r="I696" s="258">
        <v>127</v>
      </c>
      <c r="J696" s="259">
        <f aca="true" t="shared" si="54" ref="J696:J703">(I696/F696)</f>
        <v>127</v>
      </c>
      <c r="K696" s="260">
        <f aca="true" t="shared" si="55" ref="K696:K704">H696/I696</f>
        <v>3.5354330708661417</v>
      </c>
      <c r="L696" s="264">
        <f>35864.5+53058.5+35303.5+15734.5+12778.5+9687.5+8045+13953.5+10307+6140.75+1296+667+231+755+1970+2246+752.5+591.5+130+445+2051+750+1477+2060+1816+47+72+84+378+2301+1280+700+256+1780+92+200+187+6592.5+2601.5+325.5+274.5+250.5+1365+122.5+3435+71.5+299+201.5+277+84.5+3065.5+890.5+45.5+13+13+449</f>
        <v>245865.25</v>
      </c>
      <c r="M696" s="261">
        <f>3971+5771+3969+2398+2257+2131+1634+2509+1783+912+230+126+48+181+472+311+114+91+20+78+493+183+365+462+452+9+24+28+94+494+182+115+64+445+35+80+73+1697+671+84+61+68+336+35+599+11+46+31+42+13+757+149+7+2+2+127</f>
        <v>37342</v>
      </c>
      <c r="N696" s="255">
        <f>L696/M696</f>
        <v>6.584147876385839</v>
      </c>
      <c r="O696" s="274">
        <v>1</v>
      </c>
    </row>
    <row r="697" spans="1:15" ht="12" customHeight="1">
      <c r="A697" s="228">
        <v>694</v>
      </c>
      <c r="B697" s="325" t="s">
        <v>503</v>
      </c>
      <c r="C697" s="265">
        <v>39926</v>
      </c>
      <c r="D697" s="275" t="s">
        <v>322</v>
      </c>
      <c r="E697" s="276">
        <v>40</v>
      </c>
      <c r="F697" s="276">
        <v>3</v>
      </c>
      <c r="G697" s="276">
        <v>39</v>
      </c>
      <c r="H697" s="263">
        <v>325.5</v>
      </c>
      <c r="I697" s="258">
        <v>84</v>
      </c>
      <c r="J697" s="259">
        <f t="shared" si="54"/>
        <v>28</v>
      </c>
      <c r="K697" s="260">
        <f t="shared" si="55"/>
        <v>3.875</v>
      </c>
      <c r="L697" s="264">
        <f>35864.5+53058.5+35303.5+15734.5+12778.5+9687.5+8045+13953.5+10307+6140.75+1296+667+231+755+1970+2246+752.5+591.5+130+445+2051+750+1477+2060+1816+47+72+84+378+2301+1280+700+256+1780+92+200+187+6592.5+2601.5+325.5</f>
        <v>235007.75</v>
      </c>
      <c r="M697" s="261">
        <f>3971+5771+3969+2398+2257+2131+1634+2509+1783+912+230+126+48+181+472+311+114+91+20+78+493+183+365+462+452+9+24+28+94+494+182+115+64+445+35+80+73+1697+671+84</f>
        <v>35056</v>
      </c>
      <c r="N697" s="255">
        <f>L697/M697</f>
        <v>6.703781093108169</v>
      </c>
      <c r="O697" s="341">
        <v>1</v>
      </c>
    </row>
    <row r="698" spans="1:15" ht="12" customHeight="1">
      <c r="A698" s="228">
        <v>695</v>
      </c>
      <c r="B698" s="325" t="s">
        <v>503</v>
      </c>
      <c r="C698" s="265">
        <v>39926</v>
      </c>
      <c r="D698" s="247" t="s">
        <v>322</v>
      </c>
      <c r="E698" s="276">
        <v>40</v>
      </c>
      <c r="F698" s="276">
        <v>1</v>
      </c>
      <c r="G698" s="276">
        <v>46</v>
      </c>
      <c r="H698" s="267">
        <v>299</v>
      </c>
      <c r="I698" s="268">
        <v>46</v>
      </c>
      <c r="J698" s="269">
        <f t="shared" si="54"/>
        <v>46</v>
      </c>
      <c r="K698" s="270">
        <f t="shared" si="55"/>
        <v>6.5</v>
      </c>
      <c r="L698" s="271">
        <f>35864.5+53058.5+35303.5+15734.5+12778.5+9687.5+8045+13953.5+10307+6140.75+1296+667+231+755+1970+2246+752.5+591.5+130+445+2051+750+1477+2060+1816+47+72+84+378+2301+1280+700+256+1780+92+200+187+6592.5+2601.5+325.5+274.5+250.5+1365+122.5+3435+71.5+299</f>
        <v>240825.75</v>
      </c>
      <c r="M698" s="269">
        <f>3971+5771+3969+2398+2257+2131+1634+2509+1783+912+230+126+48+181+472+311+114+91+20+78+493+183+365+462+452+9+24+28+94+494+182+115+64+445+35+80+73+1697+671+84+61+68+336+35+599+11+46</f>
        <v>36212</v>
      </c>
      <c r="N698" s="272">
        <f>L698/M698</f>
        <v>6.6504404617253945</v>
      </c>
      <c r="O698" s="262"/>
    </row>
    <row r="699" spans="1:15" ht="12" customHeight="1">
      <c r="A699" s="228">
        <v>696</v>
      </c>
      <c r="B699" s="325" t="s">
        <v>503</v>
      </c>
      <c r="C699" s="265">
        <v>39926</v>
      </c>
      <c r="D699" s="247" t="s">
        <v>322</v>
      </c>
      <c r="E699" s="276">
        <v>40</v>
      </c>
      <c r="F699" s="276">
        <v>4</v>
      </c>
      <c r="G699" s="276">
        <v>48</v>
      </c>
      <c r="H699" s="267">
        <v>277</v>
      </c>
      <c r="I699" s="268">
        <v>42</v>
      </c>
      <c r="J699" s="269">
        <f t="shared" si="54"/>
        <v>10.5</v>
      </c>
      <c r="K699" s="270">
        <f t="shared" si="55"/>
        <v>6.595238095238095</v>
      </c>
      <c r="L699" s="271">
        <f>35864.5+53058.5+35303.5+15734.5+12778.5+9687.5+8045+13953.5+10307+6140.75+1296+667+231+755+1970+2246+752.5+591.5+130+445+2051+750+1477+2060+1816+47+72+84+378+2301+1280+700+256+1780+92+200+187+6592.5+2601.5+325.5+274.5+250.5+1365+122.5+3435+71.5+299+201.5+277</f>
        <v>241304.25</v>
      </c>
      <c r="M699" s="269">
        <f>3971+5771+3969+2398+2257+2131+1634+2509+1783+912+230+126+48+181+472+311+114+91+20+78+493+183+365+462+452+9+24+28+94+494+182+115+64+445+35+80+73+1697+671+84+61+68+336+35+599+11+46+31+42</f>
        <v>36285</v>
      </c>
      <c r="N699" s="272">
        <f>L699/M699</f>
        <v>6.6502480363786685</v>
      </c>
      <c r="O699" s="274"/>
    </row>
    <row r="700" spans="1:15" ht="12" customHeight="1">
      <c r="A700" s="228">
        <v>697</v>
      </c>
      <c r="B700" s="325" t="s">
        <v>503</v>
      </c>
      <c r="C700" s="265">
        <v>39926</v>
      </c>
      <c r="D700" s="275" t="s">
        <v>322</v>
      </c>
      <c r="E700" s="276">
        <v>40</v>
      </c>
      <c r="F700" s="276">
        <v>2</v>
      </c>
      <c r="G700" s="276">
        <v>40</v>
      </c>
      <c r="H700" s="263">
        <v>274.5</v>
      </c>
      <c r="I700" s="258">
        <v>61</v>
      </c>
      <c r="J700" s="269">
        <f t="shared" si="54"/>
        <v>30.5</v>
      </c>
      <c r="K700" s="270">
        <f t="shared" si="55"/>
        <v>4.5</v>
      </c>
      <c r="L700" s="271">
        <f>35864.5+53058.5+35303.5+15734.5+12778.5+9687.5+8045+13953.5+10307+6140.75+1296+667+231+755+1970+2246+752.5+591.5+130+445+2051+750+1477+2060+1816+47+72+84+378+2301+1280+700+256+1780+92+200+187+6592.5+2601.5+325.5+274.5</f>
        <v>235282.25</v>
      </c>
      <c r="M700" s="269">
        <f>3971+5771+3969+2398+2257+2131+1634+2509+1783+912+230+126+48+181+472+311+114+91+20+78+493+183+365+462+452+9+24+28+94+494+182+115+64+445+35+80+73+1697+671+84+61</f>
        <v>35117</v>
      </c>
      <c r="N700" s="272">
        <f>L700/M700</f>
        <v>6.699953014209642</v>
      </c>
      <c r="O700" s="274"/>
    </row>
    <row r="701" spans="1:15" ht="12" customHeight="1">
      <c r="A701" s="228">
        <v>698</v>
      </c>
      <c r="B701" s="325" t="s">
        <v>503</v>
      </c>
      <c r="C701" s="265">
        <v>39926</v>
      </c>
      <c r="D701" s="275" t="s">
        <v>322</v>
      </c>
      <c r="E701" s="276">
        <v>40</v>
      </c>
      <c r="F701" s="276">
        <v>1</v>
      </c>
      <c r="G701" s="276">
        <v>32</v>
      </c>
      <c r="H701" s="249">
        <v>256</v>
      </c>
      <c r="I701" s="258">
        <v>64</v>
      </c>
      <c r="J701" s="259">
        <f t="shared" si="54"/>
        <v>64</v>
      </c>
      <c r="K701" s="260">
        <f t="shared" si="55"/>
        <v>4</v>
      </c>
      <c r="L701" s="253">
        <f>35864.5+53058.5+35303.5+15734.5+12778.5+9687.5+8045+13953.5+10307+6140.75+1296+667+231+755+1970+2246+752.5+591.5+130+445+2051+750+1477+2060+1816+47+72+84+378+2301+1280+700+256</f>
        <v>223229.25</v>
      </c>
      <c r="M701" s="261">
        <f>3971+5771+3969+2398+2257+2131+1634+2509+1783+912+230+126+48+181+472+311+114+91+20+78+493+183+365+462+452+9+24+28+94+494+182+115+64</f>
        <v>31971</v>
      </c>
      <c r="N701" s="272">
        <f>+L702/M702</f>
        <v>6.694123916441665</v>
      </c>
      <c r="O701" s="244"/>
    </row>
    <row r="702" spans="1:15" ht="12" customHeight="1">
      <c r="A702" s="228">
        <v>699</v>
      </c>
      <c r="B702" s="245" t="s">
        <v>503</v>
      </c>
      <c r="C702" s="246">
        <v>39926</v>
      </c>
      <c r="D702" s="247" t="s">
        <v>322</v>
      </c>
      <c r="E702" s="248">
        <v>40</v>
      </c>
      <c r="F702" s="248">
        <v>1</v>
      </c>
      <c r="G702" s="248">
        <v>41</v>
      </c>
      <c r="H702" s="249">
        <v>250.5</v>
      </c>
      <c r="I702" s="250">
        <v>68</v>
      </c>
      <c r="J702" s="251">
        <f t="shared" si="54"/>
        <v>68</v>
      </c>
      <c r="K702" s="252">
        <f t="shared" si="55"/>
        <v>3.6838235294117645</v>
      </c>
      <c r="L702" s="253">
        <f>35864.5+53058.5+35303.5+15734.5+12778.5+9687.5+8045+13953.5+10307+6140.75+1296+667+231+755+1970+2246+752.5+591.5+130+445+2051+750+1477+2060+1816+47+72+84+378+2301+1280+700+256+1780+92+200+187+6592.5+2601.5+325.5+274.5+250.5</f>
        <v>235532.75</v>
      </c>
      <c r="M702" s="254">
        <f>3971+5771+3969+2398+2257+2131+1634+2509+1783+912+230+126+48+181+472+311+114+91+20+78+493+183+365+462+452+9+24+28+94+494+182+115+64+445+35+80+73+1697+671+84+61+68</f>
        <v>35185</v>
      </c>
      <c r="N702" s="255">
        <f>L702/M702</f>
        <v>6.694123916441665</v>
      </c>
      <c r="O702" s="262"/>
    </row>
    <row r="703" spans="1:15" ht="12" customHeight="1">
      <c r="A703" s="228">
        <v>700</v>
      </c>
      <c r="B703" s="325" t="s">
        <v>503</v>
      </c>
      <c r="C703" s="265">
        <v>39926</v>
      </c>
      <c r="D703" s="247" t="s">
        <v>322</v>
      </c>
      <c r="E703" s="276">
        <v>40</v>
      </c>
      <c r="F703" s="276">
        <v>1</v>
      </c>
      <c r="G703" s="276">
        <v>47</v>
      </c>
      <c r="H703" s="267">
        <v>201.5</v>
      </c>
      <c r="I703" s="268">
        <v>31</v>
      </c>
      <c r="J703" s="269">
        <f t="shared" si="54"/>
        <v>31</v>
      </c>
      <c r="K703" s="270">
        <f t="shared" si="55"/>
        <v>6.5</v>
      </c>
      <c r="L703" s="271">
        <f>35864.5+53058.5+35303.5+15734.5+12778.5+9687.5+8045+13953.5+10307+6140.75+1296+667+231+755+1970+2246+752.5+591.5+130+445+2051+750+1477+2060+1816+47+72+84+378+2301+1280+700+256+1780+92+200+187+6592.5+2601.5+325.5+274.5+250.5+1365+122.5+3435+71.5+299+201.5</f>
        <v>241027.25</v>
      </c>
      <c r="M703" s="269">
        <f>3971+5771+3969+2398+2257+2131+1634+2509+1783+912+230+126+48+181+472+311+114+91+20+78+493+183+365+462+452+9+24+28+94+494+182+115+64+445+35+80+73+1697+671+84+61+68+336+35+599+11+46+31</f>
        <v>36243</v>
      </c>
      <c r="N703" s="272">
        <f>L703/M703</f>
        <v>6.650311784344563</v>
      </c>
      <c r="O703" s="262"/>
    </row>
    <row r="704" spans="1:15" ht="12" customHeight="1">
      <c r="A704" s="228">
        <v>701</v>
      </c>
      <c r="B704" s="325" t="s">
        <v>503</v>
      </c>
      <c r="C704" s="265">
        <v>39926</v>
      </c>
      <c r="D704" s="275" t="s">
        <v>322</v>
      </c>
      <c r="E704" s="287">
        <v>40</v>
      </c>
      <c r="F704" s="287">
        <v>1</v>
      </c>
      <c r="G704" s="287">
        <v>35</v>
      </c>
      <c r="H704" s="288">
        <v>200</v>
      </c>
      <c r="I704" s="289">
        <v>80</v>
      </c>
      <c r="J704" s="283">
        <f>I704/F704</f>
        <v>80</v>
      </c>
      <c r="K704" s="285">
        <f t="shared" si="55"/>
        <v>2.5</v>
      </c>
      <c r="L704" s="284">
        <f>35864.5+53058.5+35303.5+15734.5+12778.5+9687.5+8045+13953.5+10307+6140.75+1296+667+231+755+1970+2246+752.5+591.5+130+445+2051+750+1477+2060+1816+47+72+84+378+2301+1280+700+256+1780+92+200</f>
        <v>225301.25</v>
      </c>
      <c r="M704" s="283">
        <f>3971+5771+3969+2398+2257+2131+1634+2509+1783+912+230+126+48+181+472+311+114+91+20+78+493+183+365+462+452+9+24+28+94+494+182+115+64+445+35+80</f>
        <v>32531</v>
      </c>
      <c r="N704" s="290">
        <f>+L704/M704</f>
        <v>6.925740063324214</v>
      </c>
      <c r="O704" s="262"/>
    </row>
    <row r="705" spans="1:15" ht="12" customHeight="1">
      <c r="A705" s="228">
        <v>702</v>
      </c>
      <c r="B705" s="325" t="s">
        <v>503</v>
      </c>
      <c r="C705" s="265">
        <v>39926</v>
      </c>
      <c r="D705" s="275" t="s">
        <v>322</v>
      </c>
      <c r="E705" s="287">
        <v>40</v>
      </c>
      <c r="F705" s="287">
        <v>1</v>
      </c>
      <c r="G705" s="287">
        <v>36</v>
      </c>
      <c r="H705" s="288">
        <v>187</v>
      </c>
      <c r="I705" s="289">
        <v>73</v>
      </c>
      <c r="J705" s="283">
        <f>I705/F705</f>
        <v>73</v>
      </c>
      <c r="K705" s="285">
        <f>+H705/I705</f>
        <v>2.5616438356164384</v>
      </c>
      <c r="L705" s="284">
        <f>35864.5+53058.5+35303.5+15734.5+12778.5+9687.5+8045+13953.5+10307+6140.75+1296+667+231+755+1970+2246+752.5+591.5+130+445+2051+750+1477+2060+1816+47+72+84+378+2301+1280+700+256+1780+92+200+187</f>
        <v>225488.25</v>
      </c>
      <c r="M705" s="283">
        <f>3971+5771+3969+2398+2257+2131+1634+2509+1783+912+230+126+48+181+472+311+114+91+20+78+493+183+365+462+452+9+24+28+94+494+182+115+64+445+35+80+73</f>
        <v>32604</v>
      </c>
      <c r="N705" s="290">
        <f>+L705/M705</f>
        <v>6.915968899521531</v>
      </c>
      <c r="O705" s="340"/>
    </row>
    <row r="706" spans="1:15" ht="12" customHeight="1">
      <c r="A706" s="228">
        <v>703</v>
      </c>
      <c r="B706" s="281" t="s">
        <v>503</v>
      </c>
      <c r="C706" s="265">
        <v>39926</v>
      </c>
      <c r="D706" s="275" t="s">
        <v>334</v>
      </c>
      <c r="E706" s="276">
        <v>40</v>
      </c>
      <c r="F706" s="276">
        <v>1</v>
      </c>
      <c r="G706" s="276">
        <v>43</v>
      </c>
      <c r="H706" s="263">
        <v>122.5</v>
      </c>
      <c r="I706" s="258">
        <v>35</v>
      </c>
      <c r="J706" s="259">
        <f aca="true" t="shared" si="56" ref="J706:J712">(I706/F706)</f>
        <v>35</v>
      </c>
      <c r="K706" s="260">
        <f aca="true" t="shared" si="57" ref="K706:K722">H706/I706</f>
        <v>3.5</v>
      </c>
      <c r="L706" s="264">
        <f>35864.5+53058.5+35303.5+15734.5+12778.5+9687.5+8045+13953.5+10307+6140.75+1296+667+231+755+1970+2246+752.5+591.5+130+445+2051+750+1477+2060+1816+47+72+84+378+2301+1280+700+256+1780+92+200+187+6592.5+2601.5+325.5+274.5+250.5+1365+122.5</f>
        <v>237020.25</v>
      </c>
      <c r="M706" s="261">
        <f>3971+5771+3969+2398+2257+2131+1634+2509+1783+912+230+126+48+181+472+311+114+91+20+78+493+183+365+462+452+9+24+28+94+494+182+115+64+445+35+80+73+1697+671+84+61+68+336+35</f>
        <v>35556</v>
      </c>
      <c r="N706" s="255">
        <f aca="true" t="shared" si="58" ref="N706:N712">L706/M706</f>
        <v>6.66611120485994</v>
      </c>
      <c r="O706" s="262"/>
    </row>
    <row r="707" spans="1:15" ht="12" customHeight="1">
      <c r="A707" s="228">
        <v>704</v>
      </c>
      <c r="B707" s="325" t="s">
        <v>503</v>
      </c>
      <c r="C707" s="265">
        <v>39926</v>
      </c>
      <c r="D707" s="275" t="s">
        <v>322</v>
      </c>
      <c r="E707" s="287">
        <v>40</v>
      </c>
      <c r="F707" s="287">
        <v>1</v>
      </c>
      <c r="G707" s="287">
        <v>34</v>
      </c>
      <c r="H707" s="288">
        <v>92</v>
      </c>
      <c r="I707" s="289">
        <v>35</v>
      </c>
      <c r="J707" s="283">
        <f t="shared" si="56"/>
        <v>35</v>
      </c>
      <c r="K707" s="285">
        <f t="shared" si="57"/>
        <v>2.6285714285714286</v>
      </c>
      <c r="L707" s="284">
        <f>35864.5+53058.5+35303.5+15734.5+12778.5+9687.5+8045+13953.5+10307+6140.75+1296+667+231+755+1970+2246+752.5+591.5+130+445+2051+750+1477+2060+1816+47+72+84+378+2301+1280+700+256+1780+92</f>
        <v>225101.25</v>
      </c>
      <c r="M707" s="283">
        <f>3971+5771+3969+2398+2257+2131+1634+2509+1783+912+230+126+48+181+472+311+114+91+20+78+493+183+365+462+452+9+24+28+94+494+182+115+64+445+35</f>
        <v>32451</v>
      </c>
      <c r="N707" s="290">
        <f t="shared" si="58"/>
        <v>6.936650642507165</v>
      </c>
      <c r="O707" s="244"/>
    </row>
    <row r="708" spans="1:15" ht="12" customHeight="1">
      <c r="A708" s="228">
        <v>705</v>
      </c>
      <c r="B708" s="325" t="s">
        <v>503</v>
      </c>
      <c r="C708" s="265">
        <v>39926</v>
      </c>
      <c r="D708" s="247" t="s">
        <v>322</v>
      </c>
      <c r="E708" s="276">
        <v>40</v>
      </c>
      <c r="F708" s="276">
        <v>1</v>
      </c>
      <c r="G708" s="276">
        <v>49</v>
      </c>
      <c r="H708" s="267">
        <v>84.5</v>
      </c>
      <c r="I708" s="268">
        <v>13</v>
      </c>
      <c r="J708" s="269">
        <f t="shared" si="56"/>
        <v>13</v>
      </c>
      <c r="K708" s="270">
        <f t="shared" si="57"/>
        <v>6.5</v>
      </c>
      <c r="L708" s="271">
        <f>35864.5+53058.5+35303.5+15734.5+12778.5+9687.5+8045+13953.5+10307+6140.75+1296+667+231+755+1970+2246+752.5+591.5+130+445+2051+750+1477+2060+1816+47+72+84+378+2301+1280+700+256+1780+92+200+187+6592.5+2601.5+325.5+274.5+250.5+1365+122.5+3435+71.5+299+201.5+277+84.5</f>
        <v>241388.75</v>
      </c>
      <c r="M708" s="269">
        <f>3971+5771+3969+2398+2257+2131+1634+2509+1783+912+230+126+48+181+472+311+114+91+20+78+493+183+365+462+452+9+24+28+94+494+182+115+64+445+35+80+73+1697+671+84+61+68+336+35+599+11+46+31+42+13</f>
        <v>36298</v>
      </c>
      <c r="N708" s="272">
        <f t="shared" si="58"/>
        <v>6.650194225577167</v>
      </c>
      <c r="O708" s="262"/>
    </row>
    <row r="709" spans="1:15" ht="12" customHeight="1">
      <c r="A709" s="228">
        <v>706</v>
      </c>
      <c r="B709" s="325" t="s">
        <v>503</v>
      </c>
      <c r="C709" s="265">
        <v>39926</v>
      </c>
      <c r="D709" s="247" t="s">
        <v>322</v>
      </c>
      <c r="E709" s="276">
        <v>40</v>
      </c>
      <c r="F709" s="276">
        <v>1</v>
      </c>
      <c r="G709" s="276">
        <v>45</v>
      </c>
      <c r="H709" s="267">
        <v>71.5</v>
      </c>
      <c r="I709" s="268">
        <v>11</v>
      </c>
      <c r="J709" s="269">
        <f t="shared" si="56"/>
        <v>11</v>
      </c>
      <c r="K709" s="270">
        <f t="shared" si="57"/>
        <v>6.5</v>
      </c>
      <c r="L709" s="271">
        <f>35864.5+53058.5+35303.5+15734.5+12778.5+9687.5+8045+13953.5+10307+6140.75+1296+667+231+755+1970+2246+752.5+591.5+130+445+2051+750+1477+2060+1816+47+72+84+378+2301+1280+700+256+1780+92+200+187+6592.5+2601.5+325.5+274.5+250.5+1365+122.5+3435+71.5</f>
        <v>240526.75</v>
      </c>
      <c r="M709" s="269">
        <f>3971+5771+3969+2398+2257+2131+1634+2509+1783+912+230+126+48+181+472+311+114+91+20+78+493+183+365+462+452+9+24+28+94+494+182+115+64+445+35+80+73+1697+671+84+61+68+336+35+599+11</f>
        <v>36166</v>
      </c>
      <c r="N709" s="272">
        <f t="shared" si="58"/>
        <v>6.650631808881269</v>
      </c>
      <c r="O709" s="262"/>
    </row>
    <row r="710" spans="1:15" ht="12" customHeight="1">
      <c r="A710" s="228">
        <v>707</v>
      </c>
      <c r="B710" s="325" t="s">
        <v>503</v>
      </c>
      <c r="C710" s="265">
        <v>39926</v>
      </c>
      <c r="D710" s="247" t="s">
        <v>322</v>
      </c>
      <c r="E710" s="276">
        <v>40</v>
      </c>
      <c r="F710" s="276">
        <v>1</v>
      </c>
      <c r="G710" s="276">
        <v>52</v>
      </c>
      <c r="H710" s="267">
        <v>45.5</v>
      </c>
      <c r="I710" s="268">
        <v>7</v>
      </c>
      <c r="J710" s="269">
        <f t="shared" si="56"/>
        <v>7</v>
      </c>
      <c r="K710" s="270">
        <f t="shared" si="57"/>
        <v>6.5</v>
      </c>
      <c r="L710" s="271">
        <f>35864.5+53058.5+35303.5+15734.5+12778.5+9687.5+8045+13953.5+10307+6140.75+1296+667+231+755+1970+2246+752.5+591.5+130+445+2051+750+1477+2060+1816+47+72+84+378+2301+1280+700+256+1780+92+200+187+6592.5+2601.5+325.5+274.5+250.5+1365+122.5+3435+71.5+299+201.5+277+84.5+3065.5+890.5+45.5</f>
        <v>245390.25</v>
      </c>
      <c r="M710" s="269">
        <f>3971+5771+3969+2398+2257+2131+1634+2509+1783+912+230+126+48+181+472+311+114+91+20+78+493+183+365+462+452+9+24+28+94+494+182+115+64+445+35+80+73+1697+671+84+61+68+336+35+599+11+46+31+42+13+757+149+7</f>
        <v>37211</v>
      </c>
      <c r="N710" s="272">
        <f t="shared" si="58"/>
        <v>6.594562091854559</v>
      </c>
      <c r="O710" s="262"/>
    </row>
    <row r="711" spans="1:15" ht="12" customHeight="1">
      <c r="A711" s="228">
        <v>708</v>
      </c>
      <c r="B711" s="325" t="s">
        <v>503</v>
      </c>
      <c r="C711" s="265">
        <v>39926</v>
      </c>
      <c r="D711" s="247" t="s">
        <v>322</v>
      </c>
      <c r="E711" s="276">
        <v>40</v>
      </c>
      <c r="F711" s="276">
        <v>1</v>
      </c>
      <c r="G711" s="276">
        <v>54</v>
      </c>
      <c r="H711" s="267">
        <v>13</v>
      </c>
      <c r="I711" s="268">
        <v>2</v>
      </c>
      <c r="J711" s="269">
        <f t="shared" si="56"/>
        <v>2</v>
      </c>
      <c r="K711" s="270">
        <f t="shared" si="57"/>
        <v>6.5</v>
      </c>
      <c r="L711" s="271">
        <f>35864.5+53058.5+35303.5+15734.5+12778.5+9687.5+8045+13953.5+10307+6140.75+1296+667+231+755+1970+2246+752.5+591.5+130+445+2051+750+1477+2060+1816+47+72+84+378+2301+1280+700+256+1780+92+200+187+6592.5+2601.5+325.5+274.5+250.5+1365+122.5+3435+71.5+299+201.5+277+84.5+3065.5+890.5+45.5+13+13</f>
        <v>245416.25</v>
      </c>
      <c r="M711" s="269">
        <f>3971+5771+3969+2398+2257+2131+1634+2509+1783+912+230+126+48+181+472+311+114+91+20+78+493+183+365+462+452+9+24+28+94+494+182+115+64+445+35+80+73+1697+671+84+61+68+336+35+599+11+46+31+42+13+757+149+7+2+2</f>
        <v>37215</v>
      </c>
      <c r="N711" s="272">
        <f t="shared" si="58"/>
        <v>6.594551927986027</v>
      </c>
      <c r="O711" s="339"/>
    </row>
    <row r="712" spans="1:15" ht="12" customHeight="1">
      <c r="A712" s="228">
        <v>709</v>
      </c>
      <c r="B712" s="325" t="s">
        <v>503</v>
      </c>
      <c r="C712" s="265">
        <v>39926</v>
      </c>
      <c r="D712" s="247" t="s">
        <v>322</v>
      </c>
      <c r="E712" s="276">
        <v>40</v>
      </c>
      <c r="F712" s="276">
        <v>1</v>
      </c>
      <c r="G712" s="276">
        <v>53</v>
      </c>
      <c r="H712" s="267">
        <v>13</v>
      </c>
      <c r="I712" s="268">
        <v>2</v>
      </c>
      <c r="J712" s="269">
        <f t="shared" si="56"/>
        <v>2</v>
      </c>
      <c r="K712" s="270">
        <f t="shared" si="57"/>
        <v>6.5</v>
      </c>
      <c r="L712" s="271">
        <f>35864.5+53058.5+35303.5+15734.5+12778.5+9687.5+8045+13953.5+10307+6140.75+1296+667+231+755+1970+2246+752.5+591.5+130+445+2051+750+1477+2060+1816+47+72+84+378+2301+1280+700+256+1780+92+200+187+6592.5+2601.5+325.5+274.5+250.5+1365+122.5+3435+71.5+299+201.5+277+84.5+3065.5+890.5+45.5+13</f>
        <v>245403.25</v>
      </c>
      <c r="M712" s="269">
        <f>3971+5771+3969+2398+2257+2131+1634+2509+1783+912+230+126+48+181+472+311+114+91+20+78+493+183+365+462+452+9+24+28+94+494+182+115+64+445+35+80+73+1697+671+84+61+68+336+35+599+11+46+31+42+13+757+149+7+2</f>
        <v>37213</v>
      </c>
      <c r="N712" s="272">
        <f t="shared" si="58"/>
        <v>6.594557009647167</v>
      </c>
      <c r="O712" s="262"/>
    </row>
    <row r="713" spans="1:15" ht="12" customHeight="1">
      <c r="A713" s="228">
        <v>710</v>
      </c>
      <c r="B713" s="281" t="s">
        <v>428</v>
      </c>
      <c r="C713" s="265">
        <v>40053</v>
      </c>
      <c r="D713" s="275" t="s">
        <v>322</v>
      </c>
      <c r="E713" s="276">
        <v>14</v>
      </c>
      <c r="F713" s="276">
        <v>1</v>
      </c>
      <c r="G713" s="276">
        <v>9</v>
      </c>
      <c r="H713" s="280">
        <v>83</v>
      </c>
      <c r="I713" s="282">
        <v>20</v>
      </c>
      <c r="J713" s="283">
        <f>I713/F713</f>
        <v>20</v>
      </c>
      <c r="K713" s="285">
        <f t="shared" si="57"/>
        <v>4.15</v>
      </c>
      <c r="L713" s="284">
        <f>46744+27773.5+29652+15092+1850+3126+1717.5+468+83</f>
        <v>126506</v>
      </c>
      <c r="M713" s="283">
        <f>3724+2772+2752+1903+308+472+380+135+20</f>
        <v>12466</v>
      </c>
      <c r="N713" s="272">
        <f>L714/M714</f>
        <v>10.137776353732779</v>
      </c>
      <c r="O713" s="244"/>
    </row>
    <row r="714" spans="1:15" ht="12" customHeight="1">
      <c r="A714" s="228">
        <v>711</v>
      </c>
      <c r="B714" s="281" t="s">
        <v>428</v>
      </c>
      <c r="C714" s="308">
        <v>40053</v>
      </c>
      <c r="D714" s="275" t="s">
        <v>322</v>
      </c>
      <c r="E714" s="287">
        <v>14</v>
      </c>
      <c r="F714" s="287">
        <v>1</v>
      </c>
      <c r="G714" s="287">
        <v>10</v>
      </c>
      <c r="H714" s="288">
        <v>54</v>
      </c>
      <c r="I714" s="289">
        <v>18</v>
      </c>
      <c r="J714" s="283">
        <f>(I714/F714)</f>
        <v>18</v>
      </c>
      <c r="K714" s="285">
        <f t="shared" si="57"/>
        <v>3</v>
      </c>
      <c r="L714" s="284">
        <f>46744+27773.5+29652+15092+1850+3126+1717.5+468+83+54</f>
        <v>126560</v>
      </c>
      <c r="M714" s="283">
        <f>3724+2772+2752+1903+308+472+380+135+20+18</f>
        <v>12484</v>
      </c>
      <c r="N714" s="255">
        <f aca="true" t="shared" si="59" ref="N714:N723">+L715/M715</f>
        <v>8.884296940780242</v>
      </c>
      <c r="O714" s="262"/>
    </row>
    <row r="715" spans="1:15" ht="12" customHeight="1">
      <c r="A715" s="228">
        <v>712</v>
      </c>
      <c r="B715" s="245" t="s">
        <v>98</v>
      </c>
      <c r="C715" s="246">
        <v>40165</v>
      </c>
      <c r="D715" s="247" t="s">
        <v>321</v>
      </c>
      <c r="E715" s="248">
        <v>36</v>
      </c>
      <c r="F715" s="248">
        <v>8</v>
      </c>
      <c r="G715" s="248">
        <v>4</v>
      </c>
      <c r="H715" s="249">
        <v>7119</v>
      </c>
      <c r="I715" s="258">
        <v>1206</v>
      </c>
      <c r="J715" s="259">
        <f aca="true" t="shared" si="60" ref="J715:J722">I715/F715</f>
        <v>150.75</v>
      </c>
      <c r="K715" s="260">
        <f t="shared" si="57"/>
        <v>5.902985074626866</v>
      </c>
      <c r="L715" s="253">
        <f>119500+7119</f>
        <v>126619</v>
      </c>
      <c r="M715" s="261">
        <f>13046+1206</f>
        <v>14252</v>
      </c>
      <c r="N715" s="255">
        <f t="shared" si="59"/>
        <v>8.642736156351791</v>
      </c>
      <c r="O715" s="341">
        <v>1</v>
      </c>
    </row>
    <row r="716" spans="1:15" ht="12" customHeight="1">
      <c r="A716" s="228">
        <v>713</v>
      </c>
      <c r="B716" s="324" t="s">
        <v>98</v>
      </c>
      <c r="C716" s="308">
        <v>40165</v>
      </c>
      <c r="D716" s="247" t="s">
        <v>321</v>
      </c>
      <c r="E716" s="287">
        <v>36</v>
      </c>
      <c r="F716" s="287">
        <v>1</v>
      </c>
      <c r="G716" s="287">
        <v>9</v>
      </c>
      <c r="H716" s="288">
        <v>3250</v>
      </c>
      <c r="I716" s="289">
        <v>650</v>
      </c>
      <c r="J716" s="283">
        <f t="shared" si="60"/>
        <v>650</v>
      </c>
      <c r="K716" s="285">
        <f t="shared" si="57"/>
        <v>5</v>
      </c>
      <c r="L716" s="284">
        <f>129416+3250</f>
        <v>132666</v>
      </c>
      <c r="M716" s="283">
        <f>14700+650</f>
        <v>15350</v>
      </c>
      <c r="N716" s="255">
        <f t="shared" si="59"/>
        <v>8.822309224534653</v>
      </c>
      <c r="O716" s="262">
        <v>1</v>
      </c>
    </row>
    <row r="717" spans="1:15" ht="12" customHeight="1">
      <c r="A717" s="228">
        <v>714</v>
      </c>
      <c r="B717" s="245" t="s">
        <v>98</v>
      </c>
      <c r="C717" s="246">
        <v>40165</v>
      </c>
      <c r="D717" s="247" t="s">
        <v>321</v>
      </c>
      <c r="E717" s="248">
        <v>36</v>
      </c>
      <c r="F717" s="248">
        <v>5</v>
      </c>
      <c r="G717" s="248">
        <v>5</v>
      </c>
      <c r="H717" s="263">
        <v>1825</v>
      </c>
      <c r="I717" s="258">
        <v>307</v>
      </c>
      <c r="J717" s="259">
        <f t="shared" si="60"/>
        <v>61.4</v>
      </c>
      <c r="K717" s="260">
        <f t="shared" si="57"/>
        <v>5.944625407166124</v>
      </c>
      <c r="L717" s="264">
        <f>119500+7119+1825</f>
        <v>128444</v>
      </c>
      <c r="M717" s="261">
        <f>13046+1206+307</f>
        <v>14559</v>
      </c>
      <c r="N717" s="255">
        <f t="shared" si="59"/>
        <v>8.587027651247835</v>
      </c>
      <c r="O717" s="262">
        <v>1</v>
      </c>
    </row>
    <row r="718" spans="1:15" ht="12" customHeight="1">
      <c r="A718" s="228">
        <v>715</v>
      </c>
      <c r="B718" s="245" t="s">
        <v>98</v>
      </c>
      <c r="C718" s="246">
        <v>40165</v>
      </c>
      <c r="D718" s="247" t="s">
        <v>321</v>
      </c>
      <c r="E718" s="248">
        <v>36</v>
      </c>
      <c r="F718" s="248">
        <v>1</v>
      </c>
      <c r="G718" s="248">
        <v>10</v>
      </c>
      <c r="H718" s="249">
        <v>1180</v>
      </c>
      <c r="I718" s="258">
        <v>237</v>
      </c>
      <c r="J718" s="259">
        <f t="shared" si="60"/>
        <v>237</v>
      </c>
      <c r="K718" s="260">
        <f t="shared" si="57"/>
        <v>4.9789029535864975</v>
      </c>
      <c r="L718" s="253">
        <f>129416+3250+1180</f>
        <v>133846</v>
      </c>
      <c r="M718" s="261">
        <f>14700+650+237</f>
        <v>15587</v>
      </c>
      <c r="N718" s="272">
        <f t="shared" si="59"/>
        <v>9.159895753487659</v>
      </c>
      <c r="O718" s="262">
        <v>1</v>
      </c>
    </row>
    <row r="719" spans="1:15" ht="12" customHeight="1">
      <c r="A719" s="228">
        <v>716</v>
      </c>
      <c r="B719" s="245" t="s">
        <v>99</v>
      </c>
      <c r="C719" s="246">
        <v>40165</v>
      </c>
      <c r="D719" s="247" t="s">
        <v>321</v>
      </c>
      <c r="E719" s="248">
        <v>36</v>
      </c>
      <c r="F719" s="248">
        <v>1</v>
      </c>
      <c r="G719" s="248">
        <v>3</v>
      </c>
      <c r="H719" s="249">
        <v>852</v>
      </c>
      <c r="I719" s="250">
        <v>142</v>
      </c>
      <c r="J719" s="251">
        <f t="shared" si="60"/>
        <v>142</v>
      </c>
      <c r="K719" s="260">
        <f t="shared" si="57"/>
        <v>6</v>
      </c>
      <c r="L719" s="253">
        <v>119500</v>
      </c>
      <c r="M719" s="254">
        <v>13046</v>
      </c>
      <c r="N719" s="272">
        <f t="shared" si="59"/>
        <v>8.813629851968074</v>
      </c>
      <c r="O719" s="262">
        <v>1</v>
      </c>
    </row>
    <row r="720" spans="1:15" ht="12" customHeight="1">
      <c r="A720" s="228">
        <v>717</v>
      </c>
      <c r="B720" s="245" t="s">
        <v>98</v>
      </c>
      <c r="C720" s="265">
        <v>40165</v>
      </c>
      <c r="D720" s="247" t="s">
        <v>321</v>
      </c>
      <c r="E720" s="276">
        <v>36</v>
      </c>
      <c r="F720" s="276">
        <v>2</v>
      </c>
      <c r="G720" s="276">
        <v>6</v>
      </c>
      <c r="H720" s="267">
        <v>755</v>
      </c>
      <c r="I720" s="268">
        <v>100</v>
      </c>
      <c r="J720" s="269">
        <f t="shared" si="60"/>
        <v>50</v>
      </c>
      <c r="K720" s="270">
        <f t="shared" si="57"/>
        <v>7.55</v>
      </c>
      <c r="L720" s="271">
        <f>119500+7119+1825+755</f>
        <v>129199</v>
      </c>
      <c r="M720" s="269">
        <f>13046+1206+307+100</f>
        <v>14659</v>
      </c>
      <c r="N720" s="272">
        <f t="shared" si="59"/>
        <v>8.807668732547844</v>
      </c>
      <c r="O720" s="256">
        <v>1</v>
      </c>
    </row>
    <row r="721" spans="1:15" ht="12" customHeight="1">
      <c r="A721" s="228">
        <v>718</v>
      </c>
      <c r="B721" s="281" t="s">
        <v>98</v>
      </c>
      <c r="C721" s="265">
        <v>40165</v>
      </c>
      <c r="D721" s="247" t="s">
        <v>321</v>
      </c>
      <c r="E721" s="276">
        <v>36</v>
      </c>
      <c r="F721" s="276">
        <v>1</v>
      </c>
      <c r="G721" s="276">
        <v>7</v>
      </c>
      <c r="H721" s="267">
        <v>124</v>
      </c>
      <c r="I721" s="268">
        <v>24</v>
      </c>
      <c r="J721" s="269">
        <f t="shared" si="60"/>
        <v>24</v>
      </c>
      <c r="K721" s="270">
        <f t="shared" si="57"/>
        <v>5.166666666666667</v>
      </c>
      <c r="L721" s="271">
        <f>129199+124</f>
        <v>129323</v>
      </c>
      <c r="M721" s="269">
        <f>14659+24</f>
        <v>14683</v>
      </c>
      <c r="N721" s="272">
        <f t="shared" si="59"/>
        <v>8.803809523809523</v>
      </c>
      <c r="O721" s="244">
        <v>1</v>
      </c>
    </row>
    <row r="722" spans="1:15" ht="12" customHeight="1">
      <c r="A722" s="228">
        <v>719</v>
      </c>
      <c r="B722" s="281" t="s">
        <v>98</v>
      </c>
      <c r="C722" s="265">
        <v>40165</v>
      </c>
      <c r="D722" s="247" t="s">
        <v>321</v>
      </c>
      <c r="E722" s="276">
        <v>36</v>
      </c>
      <c r="F722" s="276">
        <v>1</v>
      </c>
      <c r="G722" s="276">
        <v>8</v>
      </c>
      <c r="H722" s="280">
        <v>93</v>
      </c>
      <c r="I722" s="282">
        <v>17</v>
      </c>
      <c r="J722" s="283">
        <f t="shared" si="60"/>
        <v>17</v>
      </c>
      <c r="K722" s="285">
        <f t="shared" si="57"/>
        <v>5.470588235294118</v>
      </c>
      <c r="L722" s="284">
        <v>129416</v>
      </c>
      <c r="M722" s="283">
        <v>14700</v>
      </c>
      <c r="N722" s="272">
        <f t="shared" si="59"/>
        <v>12.39297124600639</v>
      </c>
      <c r="O722" s="340">
        <v>1</v>
      </c>
    </row>
    <row r="723" spans="1:15" ht="12" customHeight="1">
      <c r="A723" s="228">
        <v>720</v>
      </c>
      <c r="B723" s="281" t="s">
        <v>277</v>
      </c>
      <c r="C723" s="265">
        <v>40088</v>
      </c>
      <c r="D723" s="286" t="s">
        <v>270</v>
      </c>
      <c r="E723" s="276">
        <v>5</v>
      </c>
      <c r="F723" s="276">
        <v>4</v>
      </c>
      <c r="G723" s="276">
        <v>6</v>
      </c>
      <c r="H723" s="267">
        <v>898</v>
      </c>
      <c r="I723" s="268">
        <v>104</v>
      </c>
      <c r="J723" s="269">
        <f>+I723/F723</f>
        <v>26</v>
      </c>
      <c r="K723" s="270">
        <f>+H723/I723</f>
        <v>8.634615384615385</v>
      </c>
      <c r="L723" s="271">
        <v>11637</v>
      </c>
      <c r="M723" s="269">
        <v>939</v>
      </c>
      <c r="N723" s="272">
        <f t="shared" si="59"/>
        <v>7.1458934529973535</v>
      </c>
      <c r="O723" s="244"/>
    </row>
    <row r="724" spans="1:15" ht="12" customHeight="1">
      <c r="A724" s="228">
        <v>721</v>
      </c>
      <c r="B724" s="245" t="s">
        <v>100</v>
      </c>
      <c r="C724" s="265">
        <v>39703</v>
      </c>
      <c r="D724" s="275" t="s">
        <v>322</v>
      </c>
      <c r="E724" s="287">
        <v>6</v>
      </c>
      <c r="F724" s="287">
        <v>1</v>
      </c>
      <c r="G724" s="287">
        <v>20</v>
      </c>
      <c r="H724" s="288">
        <v>226.58</v>
      </c>
      <c r="I724" s="289">
        <v>57</v>
      </c>
      <c r="J724" s="283">
        <f>(I724/F724)</f>
        <v>57</v>
      </c>
      <c r="K724" s="285">
        <f>H724/I724</f>
        <v>3.9750877192982457</v>
      </c>
      <c r="L724" s="284">
        <f>18453+18044+4959+3105.5+2221+2795+1156+907+1188+3416+108+86+53+73+1664+1508+46+2020+75.88+226.58</f>
        <v>62104.96</v>
      </c>
      <c r="M724" s="283">
        <f>1896+1808+596+485+314+510+270+216+297+854+33+15+9+11+416+377+4+505+18+57</f>
        <v>8691</v>
      </c>
      <c r="N724" s="290">
        <f>L724/M724</f>
        <v>7.1458934529973535</v>
      </c>
      <c r="O724" s="262">
        <v>1</v>
      </c>
    </row>
    <row r="725" spans="1:15" ht="12" customHeight="1">
      <c r="A725" s="228">
        <v>722</v>
      </c>
      <c r="B725" s="245" t="s">
        <v>100</v>
      </c>
      <c r="C725" s="265">
        <v>39703</v>
      </c>
      <c r="D725" s="275" t="s">
        <v>322</v>
      </c>
      <c r="E725" s="287">
        <v>6</v>
      </c>
      <c r="F725" s="287">
        <v>1</v>
      </c>
      <c r="G725" s="287">
        <v>21</v>
      </c>
      <c r="H725" s="288">
        <v>109.64</v>
      </c>
      <c r="I725" s="326">
        <v>27</v>
      </c>
      <c r="J725" s="269">
        <f>(I725/F725)</f>
        <v>27</v>
      </c>
      <c r="K725" s="270">
        <f>H725/I725</f>
        <v>4.060740740740741</v>
      </c>
      <c r="L725" s="271">
        <f>18453+18044+4959+3105.5+2221+2795+1156+907+1188+3416+108+86+53+73+1664+1508+46+2020+75.88+226.58+109.64</f>
        <v>62214.6</v>
      </c>
      <c r="M725" s="269">
        <f>1896+1808+596+485+314+510+270+216+297+854+33+15+9+11+416+377+4+505+18+57+27</f>
        <v>8718</v>
      </c>
      <c r="N725" s="272">
        <f>L725/M725</f>
        <v>7.136338609772883</v>
      </c>
      <c r="O725" s="274">
        <v>1</v>
      </c>
    </row>
    <row r="726" spans="1:15" ht="12" customHeight="1">
      <c r="A726" s="228">
        <v>723</v>
      </c>
      <c r="B726" s="245" t="s">
        <v>100</v>
      </c>
      <c r="C726" s="265">
        <v>39703</v>
      </c>
      <c r="D726" s="275" t="s">
        <v>322</v>
      </c>
      <c r="E726" s="287">
        <v>6</v>
      </c>
      <c r="F726" s="287">
        <v>1</v>
      </c>
      <c r="G726" s="287">
        <v>19</v>
      </c>
      <c r="H726" s="288">
        <v>75.88</v>
      </c>
      <c r="I726" s="289">
        <v>18</v>
      </c>
      <c r="J726" s="283">
        <f>I726/F726</f>
        <v>18</v>
      </c>
      <c r="K726" s="285">
        <f>+H726/I726</f>
        <v>4.2155555555555555</v>
      </c>
      <c r="L726" s="284">
        <f>18453+18044+4959+3105.5+2221+2795+1156+907+1188+3416+108+86+53+73+1664+1508+46+2020+75.88</f>
        <v>61878.38</v>
      </c>
      <c r="M726" s="283">
        <f>1896+1808+596+485+314+510+270+216+297+854+33+15+9+11+416+377+4+505+18</f>
        <v>8634</v>
      </c>
      <c r="N726" s="290">
        <f>+L726/M726</f>
        <v>7.166826499884179</v>
      </c>
      <c r="O726" s="262">
        <v>1</v>
      </c>
    </row>
    <row r="727" spans="1:15" ht="12" customHeight="1">
      <c r="A727" s="228">
        <v>724</v>
      </c>
      <c r="B727" s="324" t="s">
        <v>493</v>
      </c>
      <c r="C727" s="265">
        <v>39164</v>
      </c>
      <c r="D727" s="336" t="s">
        <v>418</v>
      </c>
      <c r="E727" s="287">
        <v>118</v>
      </c>
      <c r="F727" s="287">
        <v>1</v>
      </c>
      <c r="G727" s="287">
        <v>32</v>
      </c>
      <c r="H727" s="288">
        <v>150</v>
      </c>
      <c r="I727" s="289">
        <v>30</v>
      </c>
      <c r="J727" s="283">
        <f>I727/F727</f>
        <v>30</v>
      </c>
      <c r="K727" s="285">
        <f>H727/I727</f>
        <v>5</v>
      </c>
      <c r="L727" s="284">
        <v>1513549.5</v>
      </c>
      <c r="M727" s="283">
        <v>202489</v>
      </c>
      <c r="N727" s="290">
        <f>+L727/M727</f>
        <v>7.474724552938678</v>
      </c>
      <c r="O727" s="341"/>
    </row>
    <row r="728" spans="1:15" ht="12" customHeight="1">
      <c r="A728" s="228">
        <v>725</v>
      </c>
      <c r="B728" s="281" t="s">
        <v>348</v>
      </c>
      <c r="C728" s="265">
        <v>40046</v>
      </c>
      <c r="D728" s="344" t="s">
        <v>320</v>
      </c>
      <c r="E728" s="276">
        <v>55</v>
      </c>
      <c r="F728" s="276">
        <v>2</v>
      </c>
      <c r="G728" s="276">
        <v>12</v>
      </c>
      <c r="H728" s="280">
        <v>2059</v>
      </c>
      <c r="I728" s="282">
        <v>466</v>
      </c>
      <c r="J728" s="283">
        <f>I728/F728</f>
        <v>233</v>
      </c>
      <c r="K728" s="285">
        <f aca="true" t="shared" si="61" ref="K728:K735">+H728/I728</f>
        <v>4.418454935622318</v>
      </c>
      <c r="L728" s="284">
        <v>189359</v>
      </c>
      <c r="M728" s="283">
        <v>19405</v>
      </c>
      <c r="N728" s="349">
        <f>+L729/M729</f>
        <v>9.889645704630656</v>
      </c>
      <c r="O728" s="244"/>
    </row>
    <row r="729" spans="1:15" ht="12" customHeight="1">
      <c r="A729" s="228">
        <v>726</v>
      </c>
      <c r="B729" s="350" t="s">
        <v>348</v>
      </c>
      <c r="C729" s="351">
        <v>40046</v>
      </c>
      <c r="D729" s="344" t="s">
        <v>320</v>
      </c>
      <c r="E729" s="352">
        <v>55</v>
      </c>
      <c r="F729" s="352">
        <v>1</v>
      </c>
      <c r="G729" s="352">
        <v>11</v>
      </c>
      <c r="H729" s="353">
        <v>650</v>
      </c>
      <c r="I729" s="354">
        <v>100</v>
      </c>
      <c r="J729" s="355">
        <f>I729/F729</f>
        <v>100</v>
      </c>
      <c r="K729" s="356">
        <f t="shared" si="61"/>
        <v>6.5</v>
      </c>
      <c r="L729" s="357">
        <v>187300</v>
      </c>
      <c r="M729" s="355">
        <v>18939</v>
      </c>
      <c r="N729" s="272">
        <f>+L730/M730</f>
        <v>9.756229406919275</v>
      </c>
      <c r="O729" s="244"/>
    </row>
    <row r="730" spans="1:15" ht="12" customHeight="1">
      <c r="A730" s="228">
        <v>727</v>
      </c>
      <c r="B730" s="281" t="s">
        <v>348</v>
      </c>
      <c r="C730" s="265">
        <v>40046</v>
      </c>
      <c r="D730" s="344" t="s">
        <v>320</v>
      </c>
      <c r="E730" s="276">
        <v>55</v>
      </c>
      <c r="F730" s="276">
        <v>1</v>
      </c>
      <c r="G730" s="276">
        <v>13</v>
      </c>
      <c r="H730" s="280">
        <v>146</v>
      </c>
      <c r="I730" s="268">
        <v>19</v>
      </c>
      <c r="J730" s="269">
        <f>I730/F730</f>
        <v>19</v>
      </c>
      <c r="K730" s="270">
        <f t="shared" si="61"/>
        <v>7.684210526315789</v>
      </c>
      <c r="L730" s="284">
        <v>189505</v>
      </c>
      <c r="M730" s="269">
        <v>19424</v>
      </c>
      <c r="N730" s="272">
        <f>+L731/M731</f>
        <v>10.168084042021011</v>
      </c>
      <c r="O730" s="262"/>
    </row>
    <row r="731" spans="1:15" ht="12" customHeight="1">
      <c r="A731" s="228">
        <v>728</v>
      </c>
      <c r="B731" s="309" t="s">
        <v>352</v>
      </c>
      <c r="C731" s="246">
        <v>40130</v>
      </c>
      <c r="D731" s="362" t="s">
        <v>270</v>
      </c>
      <c r="E731" s="310">
        <v>17</v>
      </c>
      <c r="F731" s="310">
        <v>10</v>
      </c>
      <c r="G731" s="310">
        <v>9</v>
      </c>
      <c r="H731" s="363">
        <v>5776</v>
      </c>
      <c r="I731" s="364">
        <v>991</v>
      </c>
      <c r="J731" s="296">
        <f>+I731/F731</f>
        <v>99.1</v>
      </c>
      <c r="K731" s="297">
        <f t="shared" si="61"/>
        <v>5.8284561049445</v>
      </c>
      <c r="L731" s="365">
        <v>60978</v>
      </c>
      <c r="M731" s="366">
        <v>5997</v>
      </c>
      <c r="N731" s="299">
        <f>+L732/M732</f>
        <v>11.027167399121055</v>
      </c>
      <c r="O731" s="262"/>
    </row>
    <row r="732" spans="1:15" ht="12" customHeight="1">
      <c r="A732" s="228">
        <v>729</v>
      </c>
      <c r="B732" s="309" t="s">
        <v>352</v>
      </c>
      <c r="C732" s="246">
        <v>40130</v>
      </c>
      <c r="D732" s="362" t="s">
        <v>270</v>
      </c>
      <c r="E732" s="310">
        <v>17</v>
      </c>
      <c r="F732" s="310">
        <v>8</v>
      </c>
      <c r="G732" s="310">
        <v>8</v>
      </c>
      <c r="H732" s="363">
        <v>3794</v>
      </c>
      <c r="I732" s="370">
        <v>543</v>
      </c>
      <c r="J732" s="301">
        <f>+I732/F732</f>
        <v>67.875</v>
      </c>
      <c r="K732" s="302">
        <f t="shared" si="61"/>
        <v>6.987108655616943</v>
      </c>
      <c r="L732" s="365">
        <v>55202</v>
      </c>
      <c r="M732" s="372">
        <v>5006</v>
      </c>
      <c r="N732" s="272">
        <f>L733/M733</f>
        <v>9.839816933638444</v>
      </c>
      <c r="O732" s="341"/>
    </row>
    <row r="733" spans="1:15" ht="12" customHeight="1">
      <c r="A733" s="228">
        <v>730</v>
      </c>
      <c r="B733" s="281" t="s">
        <v>352</v>
      </c>
      <c r="C733" s="265">
        <v>40130</v>
      </c>
      <c r="D733" s="286" t="s">
        <v>270</v>
      </c>
      <c r="E733" s="276">
        <v>17</v>
      </c>
      <c r="F733" s="276">
        <v>2</v>
      </c>
      <c r="G733" s="276">
        <v>12</v>
      </c>
      <c r="H733" s="267">
        <v>1939</v>
      </c>
      <c r="I733" s="268">
        <v>254</v>
      </c>
      <c r="J733" s="269">
        <f>I733/F733</f>
        <v>127</v>
      </c>
      <c r="K733" s="270">
        <f t="shared" si="61"/>
        <v>7.633858267716535</v>
      </c>
      <c r="L733" s="271">
        <v>64500</v>
      </c>
      <c r="M733" s="269">
        <v>6555</v>
      </c>
      <c r="N733" s="272">
        <f>+L734/M734</f>
        <v>9.928741469608</v>
      </c>
      <c r="O733" s="345"/>
    </row>
    <row r="734" spans="1:15" ht="12" customHeight="1">
      <c r="A734" s="228">
        <v>731</v>
      </c>
      <c r="B734" s="309" t="s">
        <v>352</v>
      </c>
      <c r="C734" s="265">
        <v>40130</v>
      </c>
      <c r="D734" s="286" t="s">
        <v>270</v>
      </c>
      <c r="E734" s="276">
        <v>17</v>
      </c>
      <c r="F734" s="276">
        <v>4</v>
      </c>
      <c r="G734" s="276">
        <v>11</v>
      </c>
      <c r="H734" s="267">
        <v>1442</v>
      </c>
      <c r="I734" s="268">
        <v>266</v>
      </c>
      <c r="J734" s="269">
        <f>+I734/F734</f>
        <v>66.5</v>
      </c>
      <c r="K734" s="270">
        <f t="shared" si="61"/>
        <v>5.421052631578948</v>
      </c>
      <c r="L734" s="271">
        <v>62561</v>
      </c>
      <c r="M734" s="269">
        <v>6301</v>
      </c>
      <c r="N734" s="299">
        <f>+L735/M735</f>
        <v>11.518709388303831</v>
      </c>
      <c r="O734" s="262"/>
    </row>
    <row r="735" spans="1:15" ht="12" customHeight="1">
      <c r="A735" s="228">
        <v>732</v>
      </c>
      <c r="B735" s="309" t="s">
        <v>352</v>
      </c>
      <c r="C735" s="246">
        <v>40130</v>
      </c>
      <c r="D735" s="375" t="s">
        <v>270</v>
      </c>
      <c r="E735" s="310">
        <v>17</v>
      </c>
      <c r="F735" s="310">
        <v>2</v>
      </c>
      <c r="G735" s="310">
        <v>7</v>
      </c>
      <c r="H735" s="363">
        <v>254</v>
      </c>
      <c r="I735" s="370">
        <v>41</v>
      </c>
      <c r="J735" s="301">
        <f>+I735/F735</f>
        <v>20.5</v>
      </c>
      <c r="K735" s="297">
        <f t="shared" si="61"/>
        <v>6.195121951219512</v>
      </c>
      <c r="L735" s="365">
        <v>51408</v>
      </c>
      <c r="M735" s="372">
        <v>4463</v>
      </c>
      <c r="N735" s="255">
        <f>+L736/M736</f>
        <v>10.127423363711682</v>
      </c>
      <c r="O735" s="244"/>
    </row>
    <row r="736" spans="1:15" ht="12" customHeight="1">
      <c r="A736" s="228">
        <v>733</v>
      </c>
      <c r="B736" s="309" t="s">
        <v>352</v>
      </c>
      <c r="C736" s="246">
        <v>40130</v>
      </c>
      <c r="D736" s="257" t="s">
        <v>270</v>
      </c>
      <c r="E736" s="248">
        <v>17</v>
      </c>
      <c r="F736" s="248">
        <v>1</v>
      </c>
      <c r="G736" s="248">
        <v>10</v>
      </c>
      <c r="H736" s="263">
        <v>141</v>
      </c>
      <c r="I736" s="258">
        <v>38</v>
      </c>
      <c r="J736" s="259">
        <f>I736/F736</f>
        <v>38</v>
      </c>
      <c r="K736" s="260">
        <f>H736/I736</f>
        <v>3.710526315789474</v>
      </c>
      <c r="L736" s="264">
        <v>61119</v>
      </c>
      <c r="M736" s="261">
        <v>6035</v>
      </c>
      <c r="N736" s="272">
        <f>L737/M737</f>
        <v>7.879657720037119</v>
      </c>
      <c r="O736" s="347"/>
    </row>
    <row r="737" spans="1:15" ht="12" customHeight="1">
      <c r="A737" s="228">
        <v>734</v>
      </c>
      <c r="B737" s="324" t="s">
        <v>259</v>
      </c>
      <c r="C737" s="308">
        <v>39472</v>
      </c>
      <c r="D737" s="286" t="s">
        <v>324</v>
      </c>
      <c r="E737" s="287">
        <v>70</v>
      </c>
      <c r="F737" s="287">
        <v>1</v>
      </c>
      <c r="G737" s="287">
        <v>32</v>
      </c>
      <c r="H737" s="288">
        <v>472</v>
      </c>
      <c r="I737" s="289">
        <v>94</v>
      </c>
      <c r="J737" s="283">
        <f>I737/F737</f>
        <v>94</v>
      </c>
      <c r="K737" s="285">
        <f>H737/I737</f>
        <v>5.0212765957446805</v>
      </c>
      <c r="L737" s="284">
        <v>883089</v>
      </c>
      <c r="M737" s="283">
        <v>112072</v>
      </c>
      <c r="N737" s="272">
        <f aca="true" t="shared" si="62" ref="N737:N744">+L738/M738</f>
        <v>8.274983260398386</v>
      </c>
      <c r="O737" s="262"/>
    </row>
    <row r="738" spans="1:15" ht="12" customHeight="1">
      <c r="A738" s="228">
        <v>735</v>
      </c>
      <c r="B738" s="281" t="s">
        <v>101</v>
      </c>
      <c r="C738" s="265">
        <v>40144</v>
      </c>
      <c r="D738" s="344" t="s">
        <v>320</v>
      </c>
      <c r="E738" s="276">
        <v>128</v>
      </c>
      <c r="F738" s="276">
        <v>17</v>
      </c>
      <c r="G738" s="276">
        <v>10</v>
      </c>
      <c r="H738" s="267">
        <v>28138</v>
      </c>
      <c r="I738" s="268">
        <v>5971</v>
      </c>
      <c r="J738" s="269">
        <f>I738/F738</f>
        <v>351.2352941176471</v>
      </c>
      <c r="K738" s="270">
        <f>+H738/I738</f>
        <v>4.712443476804555</v>
      </c>
      <c r="L738" s="271">
        <v>2607621</v>
      </c>
      <c r="M738" s="269">
        <v>315121</v>
      </c>
      <c r="N738" s="272">
        <f t="shared" si="62"/>
        <v>8.259017138959157</v>
      </c>
      <c r="O738" s="262">
        <v>1</v>
      </c>
    </row>
    <row r="739" spans="1:15" ht="12" customHeight="1">
      <c r="A739" s="228">
        <v>736</v>
      </c>
      <c r="B739" s="281" t="s">
        <v>227</v>
      </c>
      <c r="C739" s="265">
        <v>40144</v>
      </c>
      <c r="D739" s="344" t="s">
        <v>320</v>
      </c>
      <c r="E739" s="276">
        <v>128</v>
      </c>
      <c r="F739" s="276">
        <v>9</v>
      </c>
      <c r="G739" s="276">
        <v>11</v>
      </c>
      <c r="H739" s="267">
        <v>7572</v>
      </c>
      <c r="I739" s="268">
        <v>1526</v>
      </c>
      <c r="J739" s="269">
        <f>(I739/F739)</f>
        <v>169.55555555555554</v>
      </c>
      <c r="K739" s="270">
        <f>(J739/G739)</f>
        <v>15.414141414141413</v>
      </c>
      <c r="L739" s="271">
        <v>2615193</v>
      </c>
      <c r="M739" s="269">
        <v>316647</v>
      </c>
      <c r="N739" s="272">
        <f t="shared" si="62"/>
        <v>8.349094254541685</v>
      </c>
      <c r="O739" s="256">
        <v>1</v>
      </c>
    </row>
    <row r="740" spans="1:15" ht="12" customHeight="1">
      <c r="A740" s="228">
        <v>737</v>
      </c>
      <c r="B740" s="281" t="s">
        <v>101</v>
      </c>
      <c r="C740" s="265">
        <v>40144</v>
      </c>
      <c r="D740" s="344" t="s">
        <v>320</v>
      </c>
      <c r="E740" s="276">
        <v>128</v>
      </c>
      <c r="F740" s="276">
        <v>6</v>
      </c>
      <c r="G740" s="276">
        <v>8</v>
      </c>
      <c r="H740" s="280">
        <v>4834</v>
      </c>
      <c r="I740" s="268">
        <v>783</v>
      </c>
      <c r="J740" s="269">
        <f aca="true" t="shared" si="63" ref="J740:J746">I740/F740</f>
        <v>130.5</v>
      </c>
      <c r="K740" s="270">
        <f>+H740/I740</f>
        <v>6.173690932311622</v>
      </c>
      <c r="L740" s="284">
        <v>2577332</v>
      </c>
      <c r="M740" s="269">
        <v>308696</v>
      </c>
      <c r="N740" s="272">
        <f t="shared" si="62"/>
        <v>8.35462614439793</v>
      </c>
      <c r="O740" s="367">
        <v>1</v>
      </c>
    </row>
    <row r="741" spans="1:15" ht="12" customHeight="1">
      <c r="A741" s="228">
        <v>738</v>
      </c>
      <c r="B741" s="281" t="s">
        <v>101</v>
      </c>
      <c r="C741" s="265">
        <v>40144</v>
      </c>
      <c r="D741" s="344" t="s">
        <v>320</v>
      </c>
      <c r="E741" s="276">
        <v>128</v>
      </c>
      <c r="F741" s="276">
        <v>5</v>
      </c>
      <c r="G741" s="276">
        <v>7</v>
      </c>
      <c r="H741" s="280">
        <v>2478</v>
      </c>
      <c r="I741" s="282">
        <v>419</v>
      </c>
      <c r="J741" s="283">
        <f t="shared" si="63"/>
        <v>83.8</v>
      </c>
      <c r="K741" s="285">
        <f>+H741/I741</f>
        <v>5.914081145584726</v>
      </c>
      <c r="L741" s="284">
        <v>2572498</v>
      </c>
      <c r="M741" s="283">
        <v>307913</v>
      </c>
      <c r="N741" s="349">
        <f t="shared" si="62"/>
        <v>8.357951699870567</v>
      </c>
      <c r="O741" s="348">
        <v>1</v>
      </c>
    </row>
    <row r="742" spans="1:15" ht="12" customHeight="1">
      <c r="A742" s="228">
        <v>739</v>
      </c>
      <c r="B742" s="350" t="s">
        <v>101</v>
      </c>
      <c r="C742" s="351">
        <v>40144</v>
      </c>
      <c r="D742" s="344" t="s">
        <v>320</v>
      </c>
      <c r="E742" s="352">
        <v>128</v>
      </c>
      <c r="F742" s="352">
        <v>7</v>
      </c>
      <c r="G742" s="352">
        <v>6</v>
      </c>
      <c r="H742" s="353">
        <v>1964</v>
      </c>
      <c r="I742" s="354">
        <v>269</v>
      </c>
      <c r="J742" s="355">
        <f t="shared" si="63"/>
        <v>38.42857142857143</v>
      </c>
      <c r="K742" s="356">
        <f>+H742/I742</f>
        <v>7.301115241635688</v>
      </c>
      <c r="L742" s="357">
        <v>2570020</v>
      </c>
      <c r="M742" s="355">
        <v>307494</v>
      </c>
      <c r="N742" s="272">
        <f t="shared" si="62"/>
        <v>8.346186454389542</v>
      </c>
      <c r="O742" s="345">
        <v>1</v>
      </c>
    </row>
    <row r="743" spans="1:15" ht="12" customHeight="1">
      <c r="A743" s="228">
        <v>740</v>
      </c>
      <c r="B743" s="281" t="s">
        <v>101</v>
      </c>
      <c r="C743" s="265">
        <v>40144</v>
      </c>
      <c r="D743" s="344" t="s">
        <v>320</v>
      </c>
      <c r="E743" s="276">
        <v>128</v>
      </c>
      <c r="F743" s="276">
        <v>4</v>
      </c>
      <c r="G743" s="276">
        <v>9</v>
      </c>
      <c r="H743" s="267">
        <v>1890</v>
      </c>
      <c r="I743" s="268">
        <v>334</v>
      </c>
      <c r="J743" s="269">
        <f t="shared" si="63"/>
        <v>83.5</v>
      </c>
      <c r="K743" s="270">
        <f>+H743/I743</f>
        <v>5.658682634730539</v>
      </c>
      <c r="L743" s="271">
        <v>2579222</v>
      </c>
      <c r="M743" s="269">
        <v>309030</v>
      </c>
      <c r="N743" s="272">
        <f t="shared" si="62"/>
        <v>8.246818688902755</v>
      </c>
      <c r="O743" s="244">
        <v>1</v>
      </c>
    </row>
    <row r="744" spans="1:15" ht="12" customHeight="1">
      <c r="A744" s="228">
        <v>741</v>
      </c>
      <c r="B744" s="324" t="s">
        <v>101</v>
      </c>
      <c r="C744" s="308">
        <v>40144</v>
      </c>
      <c r="D744" s="344" t="s">
        <v>320</v>
      </c>
      <c r="E744" s="287">
        <v>128</v>
      </c>
      <c r="F744" s="287">
        <v>1</v>
      </c>
      <c r="G744" s="287">
        <v>16</v>
      </c>
      <c r="H744" s="288">
        <v>1218</v>
      </c>
      <c r="I744" s="289">
        <v>560</v>
      </c>
      <c r="J744" s="283">
        <f t="shared" si="63"/>
        <v>560</v>
      </c>
      <c r="K744" s="285">
        <f>H744/I744</f>
        <v>2.175</v>
      </c>
      <c r="L744" s="284">
        <v>2616897</v>
      </c>
      <c r="M744" s="283">
        <v>317322</v>
      </c>
      <c r="N744" s="272">
        <f t="shared" si="62"/>
        <v>8.241465733842986</v>
      </c>
      <c r="O744" s="347">
        <v>1</v>
      </c>
    </row>
    <row r="745" spans="1:15" ht="12" customHeight="1">
      <c r="A745" s="228">
        <v>742</v>
      </c>
      <c r="B745" s="324" t="s">
        <v>101</v>
      </c>
      <c r="C745" s="308">
        <v>40144</v>
      </c>
      <c r="D745" s="344" t="s">
        <v>320</v>
      </c>
      <c r="E745" s="287">
        <v>128</v>
      </c>
      <c r="F745" s="287">
        <v>1</v>
      </c>
      <c r="G745" s="287">
        <v>17</v>
      </c>
      <c r="H745" s="288">
        <v>609</v>
      </c>
      <c r="I745" s="289">
        <v>280</v>
      </c>
      <c r="J745" s="283">
        <f t="shared" si="63"/>
        <v>280</v>
      </c>
      <c r="K745" s="285">
        <f>+H745/I745</f>
        <v>2.175</v>
      </c>
      <c r="L745" s="284">
        <v>2617506</v>
      </c>
      <c r="M745" s="283">
        <v>317602</v>
      </c>
      <c r="N745" s="255">
        <f>L746/M746</f>
        <v>8.257429587024188</v>
      </c>
      <c r="O745" s="262">
        <v>1</v>
      </c>
    </row>
    <row r="746" spans="1:15" ht="12" customHeight="1">
      <c r="A746" s="228">
        <v>743</v>
      </c>
      <c r="B746" s="281" t="s">
        <v>227</v>
      </c>
      <c r="C746" s="265">
        <v>40144</v>
      </c>
      <c r="D746" s="344" t="s">
        <v>320</v>
      </c>
      <c r="E746" s="276">
        <v>128</v>
      </c>
      <c r="F746" s="276">
        <v>1</v>
      </c>
      <c r="G746" s="276">
        <v>12</v>
      </c>
      <c r="H746" s="280">
        <v>546</v>
      </c>
      <c r="I746" s="282">
        <v>127</v>
      </c>
      <c r="J746" s="283">
        <f t="shared" si="63"/>
        <v>127</v>
      </c>
      <c r="K746" s="285">
        <f>+H746/I746</f>
        <v>4.299212598425197</v>
      </c>
      <c r="L746" s="284">
        <v>2615739</v>
      </c>
      <c r="M746" s="283">
        <v>316774</v>
      </c>
      <c r="N746" s="272">
        <f>+L747/M747</f>
        <v>8.213290504829597</v>
      </c>
      <c r="O746" s="262"/>
    </row>
    <row r="747" spans="1:15" ht="12" customHeight="1">
      <c r="A747" s="228">
        <v>744</v>
      </c>
      <c r="B747" s="293" t="s">
        <v>284</v>
      </c>
      <c r="C747" s="265">
        <v>39829</v>
      </c>
      <c r="D747" s="275" t="s">
        <v>322</v>
      </c>
      <c r="E747" s="276">
        <v>80</v>
      </c>
      <c r="F747" s="276">
        <v>4</v>
      </c>
      <c r="G747" s="276">
        <v>39</v>
      </c>
      <c r="H747" s="249">
        <v>1450</v>
      </c>
      <c r="I747" s="250">
        <v>290</v>
      </c>
      <c r="J747" s="251">
        <f aca="true" t="shared" si="64" ref="J747:J755">(I747/F747)</f>
        <v>72.5</v>
      </c>
      <c r="K747" s="260">
        <f aca="true" t="shared" si="65" ref="K747:K753">H747/I747</f>
        <v>5</v>
      </c>
      <c r="L747" s="253">
        <f>783409.5+672566+392418+168504+54411+64946+58601+64120+20152+13919+28038+18395+13488+12795+8277+3206+3326.5+2899+422+2494+2511+191208.5+52491.25+20983+9705.5+4052+4553+3287+2148+4646.5+4535.5+5023+5448+1873+1975.25+1426+176+100+1450</f>
        <v>2703979.5</v>
      </c>
      <c r="M747" s="254">
        <f>86363+71043+43171+22546+8141+10573+9585+10952+3417+2596+4707+3339+2364+2380+1458+540+671+701+80+511+492+23153+7937+3484+2007+768+830+670+362+791+720+747+935+313+335+201+22+25+290</f>
        <v>329220</v>
      </c>
      <c r="N747" s="255">
        <f>L747/M747</f>
        <v>8.213290504829597</v>
      </c>
      <c r="O747" s="262"/>
    </row>
    <row r="748" spans="1:15" ht="12" customHeight="1">
      <c r="A748" s="228">
        <v>745</v>
      </c>
      <c r="B748" s="293" t="s">
        <v>353</v>
      </c>
      <c r="C748" s="265">
        <v>40137</v>
      </c>
      <c r="D748" s="275" t="s">
        <v>322</v>
      </c>
      <c r="E748" s="276">
        <v>147</v>
      </c>
      <c r="F748" s="276">
        <v>146</v>
      </c>
      <c r="G748" s="276">
        <v>23</v>
      </c>
      <c r="H748" s="249">
        <v>107573</v>
      </c>
      <c r="I748" s="250">
        <v>12631</v>
      </c>
      <c r="J748" s="251">
        <f t="shared" si="64"/>
        <v>86.51369863013699</v>
      </c>
      <c r="K748" s="260">
        <f t="shared" si="65"/>
        <v>8.51658617686644</v>
      </c>
      <c r="L748" s="253">
        <f>4499732.5+3362984.5+1262292.25+664013.75+490740.5+244990+87796+33908+25213+8908+4440+435+625+2349+3362+4879+291+2014+126+373.5+718+1821+107573</f>
        <v>10809585</v>
      </c>
      <c r="M748" s="254">
        <f>493806+365411+142937+78728+74756+40294+15922+6247+4692+1746+904+107+157+579+840+1220+56+504+21+69+99+305+12631</f>
        <v>1242031</v>
      </c>
      <c r="N748" s="255">
        <f>L748/M748</f>
        <v>8.703152336777423</v>
      </c>
      <c r="O748" s="244"/>
    </row>
    <row r="749" spans="1:15" ht="12" customHeight="1">
      <c r="A749" s="228">
        <v>746</v>
      </c>
      <c r="B749" s="281" t="s">
        <v>353</v>
      </c>
      <c r="C749" s="265">
        <v>40137</v>
      </c>
      <c r="D749" s="275" t="s">
        <v>322</v>
      </c>
      <c r="E749" s="276">
        <v>147</v>
      </c>
      <c r="F749" s="276">
        <v>57</v>
      </c>
      <c r="G749" s="276">
        <v>7</v>
      </c>
      <c r="H749" s="249">
        <v>87796</v>
      </c>
      <c r="I749" s="250">
        <v>15922</v>
      </c>
      <c r="J749" s="251">
        <f t="shared" si="64"/>
        <v>279.3333333333333</v>
      </c>
      <c r="K749" s="260">
        <f t="shared" si="65"/>
        <v>5.514131390528828</v>
      </c>
      <c r="L749" s="253">
        <f>4499732.5+3362984.5+1262292.25+664013.75+490740.5+244990+87796</f>
        <v>10612549.5</v>
      </c>
      <c r="M749" s="254">
        <f>493806+365411+142937+78728+74756+40294+15922</f>
        <v>1211854</v>
      </c>
      <c r="N749" s="255">
        <f>L750/M750</f>
        <v>8.740209145218664</v>
      </c>
      <c r="O749" s="262"/>
    </row>
    <row r="750" spans="1:15" ht="12" customHeight="1">
      <c r="A750" s="228">
        <v>747</v>
      </c>
      <c r="B750" s="281" t="s">
        <v>353</v>
      </c>
      <c r="C750" s="265">
        <v>40137</v>
      </c>
      <c r="D750" s="275" t="s">
        <v>322</v>
      </c>
      <c r="E750" s="276">
        <v>147</v>
      </c>
      <c r="F750" s="276">
        <v>32</v>
      </c>
      <c r="G750" s="276">
        <v>8</v>
      </c>
      <c r="H750" s="249">
        <v>33908</v>
      </c>
      <c r="I750" s="250">
        <v>6247</v>
      </c>
      <c r="J750" s="251">
        <f t="shared" si="64"/>
        <v>195.21875</v>
      </c>
      <c r="K750" s="252">
        <f t="shared" si="65"/>
        <v>5.427885384984792</v>
      </c>
      <c r="L750" s="253">
        <f>4499732.5+3362984.5+1262292.25+664013.75+490740.5+244990+87796+33908</f>
        <v>10646457.5</v>
      </c>
      <c r="M750" s="254">
        <f>493806+365411+142937+78728+74756+40294+15922+6247</f>
        <v>1218101</v>
      </c>
      <c r="N750" s="255">
        <f>L751/M751</f>
        <v>8.727291127770604</v>
      </c>
      <c r="O750" s="262"/>
    </row>
    <row r="751" spans="1:15" ht="12" customHeight="1">
      <c r="A751" s="228">
        <v>748</v>
      </c>
      <c r="B751" s="304" t="s">
        <v>353</v>
      </c>
      <c r="C751" s="305">
        <v>40137</v>
      </c>
      <c r="D751" s="275" t="s">
        <v>322</v>
      </c>
      <c r="E751" s="306">
        <v>147</v>
      </c>
      <c r="F751" s="306">
        <v>18</v>
      </c>
      <c r="G751" s="306">
        <v>9</v>
      </c>
      <c r="H751" s="249">
        <v>25213</v>
      </c>
      <c r="I751" s="258">
        <v>4692</v>
      </c>
      <c r="J751" s="259">
        <f t="shared" si="64"/>
        <v>260.6666666666667</v>
      </c>
      <c r="K751" s="260">
        <f t="shared" si="65"/>
        <v>5.373614663256607</v>
      </c>
      <c r="L751" s="253">
        <f>4499732.5+3362984.5+1262292.25+664013.75+490740.5+244990+87796+33908+25213</f>
        <v>10671670.5</v>
      </c>
      <c r="M751" s="261">
        <f>493806+365411+142937+78728+74756+40294+15922+6247+4692</f>
        <v>1222793</v>
      </c>
      <c r="N751" s="255">
        <f>L752/M752</f>
        <v>8.722121957732664</v>
      </c>
      <c r="O751" s="256"/>
    </row>
    <row r="752" spans="1:15" ht="12" customHeight="1">
      <c r="A752" s="228">
        <v>749</v>
      </c>
      <c r="B752" s="281" t="s">
        <v>353</v>
      </c>
      <c r="C752" s="265">
        <v>40137</v>
      </c>
      <c r="D752" s="275" t="s">
        <v>322</v>
      </c>
      <c r="E752" s="276">
        <v>147</v>
      </c>
      <c r="F752" s="276">
        <v>10</v>
      </c>
      <c r="G752" s="276">
        <v>10</v>
      </c>
      <c r="H752" s="263">
        <v>8908</v>
      </c>
      <c r="I752" s="258">
        <v>1746</v>
      </c>
      <c r="J752" s="259">
        <f t="shared" si="64"/>
        <v>174.6</v>
      </c>
      <c r="K752" s="260">
        <f t="shared" si="65"/>
        <v>5.101947308132875</v>
      </c>
      <c r="L752" s="264">
        <f>4499732.5+3362984.5+1262292.25+664013.75+490740.5+244990+87796+33908+25213+8908</f>
        <v>10680578.5</v>
      </c>
      <c r="M752" s="261">
        <f>493806+365411+142937+78728+74756+40294+15922+6247+4692+1746</f>
        <v>1224539</v>
      </c>
      <c r="N752" s="255">
        <f>L753/M753</f>
        <v>8.708188490864952</v>
      </c>
      <c r="O752" s="345"/>
    </row>
    <row r="753" spans="1:15" ht="12" customHeight="1">
      <c r="A753" s="228">
        <v>750</v>
      </c>
      <c r="B753" s="245" t="s">
        <v>353</v>
      </c>
      <c r="C753" s="246">
        <v>40137</v>
      </c>
      <c r="D753" s="275" t="s">
        <v>322</v>
      </c>
      <c r="E753" s="248">
        <v>147</v>
      </c>
      <c r="F753" s="248">
        <v>2</v>
      </c>
      <c r="G753" s="248">
        <v>16</v>
      </c>
      <c r="H753" s="249">
        <v>4879</v>
      </c>
      <c r="I753" s="258">
        <v>1220</v>
      </c>
      <c r="J753" s="259">
        <f t="shared" si="64"/>
        <v>610</v>
      </c>
      <c r="K753" s="260">
        <f t="shared" si="65"/>
        <v>3.9991803278688525</v>
      </c>
      <c r="L753" s="253">
        <f>4499732.5+3362984.5+1262292.25+664013.75+490740.5+244990+87796+33908+25213+8908+4440+435+625+2349+3362+4879</f>
        <v>10696668.5</v>
      </c>
      <c r="M753" s="261">
        <f>493806+365411+142937+78728+74756+40294+15922+6247+4692+1746+904+107+157+579+840+1220</f>
        <v>1228346</v>
      </c>
      <c r="N753" s="255">
        <f>IF(L754&lt;&gt;0,L754/M754,"")</f>
        <v>8.719310894101154</v>
      </c>
      <c r="O753" s="262"/>
    </row>
    <row r="754" spans="1:15" ht="12" customHeight="1">
      <c r="A754" s="228">
        <v>751</v>
      </c>
      <c r="B754" s="304" t="s">
        <v>353</v>
      </c>
      <c r="C754" s="305">
        <v>40137</v>
      </c>
      <c r="D754" s="275" t="s">
        <v>322</v>
      </c>
      <c r="E754" s="306">
        <v>147</v>
      </c>
      <c r="F754" s="306">
        <v>7</v>
      </c>
      <c r="G754" s="306">
        <v>11</v>
      </c>
      <c r="H754" s="263">
        <v>4440</v>
      </c>
      <c r="I754" s="258">
        <v>904</v>
      </c>
      <c r="J754" s="259">
        <f t="shared" si="64"/>
        <v>129.14285714285714</v>
      </c>
      <c r="K754" s="270">
        <f>+H754/I754</f>
        <v>4.911504424778761</v>
      </c>
      <c r="L754" s="264">
        <f>4499732.5+3362984.5+1262292.25+664013.75+490740.5+244990+87796+33908+25213+8908+4440</f>
        <v>10685018.5</v>
      </c>
      <c r="M754" s="261">
        <f>493806+365411+142937+78728+74756+40294+15922+6247+4692+1746+904</f>
        <v>1225443</v>
      </c>
      <c r="N754" s="272">
        <f>L755/M755</f>
        <v>8.712870153513169</v>
      </c>
      <c r="O754" s="262"/>
    </row>
    <row r="755" spans="1:15" ht="12" customHeight="1">
      <c r="A755" s="228">
        <v>752</v>
      </c>
      <c r="B755" s="281" t="s">
        <v>353</v>
      </c>
      <c r="C755" s="308">
        <v>40137</v>
      </c>
      <c r="D755" s="275" t="s">
        <v>322</v>
      </c>
      <c r="E755" s="287">
        <v>147</v>
      </c>
      <c r="F755" s="287">
        <v>3</v>
      </c>
      <c r="G755" s="287">
        <v>15</v>
      </c>
      <c r="H755" s="288">
        <v>3362</v>
      </c>
      <c r="I755" s="289">
        <v>840</v>
      </c>
      <c r="J755" s="283">
        <f t="shared" si="64"/>
        <v>280</v>
      </c>
      <c r="K755" s="285">
        <f>H755/I755</f>
        <v>4.002380952380952</v>
      </c>
      <c r="L755" s="284">
        <f>4499732.5+3362984.5+1262292.25+664013.75+490740.5+244990+87796+33908+25213+8908+4440+435+625+2349+3362</f>
        <v>10691789.5</v>
      </c>
      <c r="M755" s="283">
        <f>493806+365411+142937+78728+74756+40294+15922+6247+4692+1746+904+107+157+579+840</f>
        <v>1227126</v>
      </c>
      <c r="N755" s="272">
        <f>+L756/M756</f>
        <v>8.716096815914069</v>
      </c>
      <c r="O755" s="339"/>
    </row>
    <row r="756" spans="1:15" ht="12" customHeight="1">
      <c r="A756" s="228">
        <v>753</v>
      </c>
      <c r="B756" s="281" t="s">
        <v>353</v>
      </c>
      <c r="C756" s="265">
        <v>40137</v>
      </c>
      <c r="D756" s="275" t="s">
        <v>322</v>
      </c>
      <c r="E756" s="276">
        <v>147</v>
      </c>
      <c r="F756" s="276">
        <v>2</v>
      </c>
      <c r="G756" s="276">
        <v>14</v>
      </c>
      <c r="H756" s="280">
        <v>2349</v>
      </c>
      <c r="I756" s="282">
        <v>579</v>
      </c>
      <c r="J756" s="283">
        <f>I756/F756</f>
        <v>289.5</v>
      </c>
      <c r="K756" s="285">
        <f>H756/I756</f>
        <v>4.05699481865285</v>
      </c>
      <c r="L756" s="284">
        <f>4499732.5+3362984.5+1262292.25+664013.75+490740.5+244990+87796+33908+25213+8908+4440+435+625+2349</f>
        <v>10688427.5</v>
      </c>
      <c r="M756" s="283">
        <f>493806+365411+142937+78728+74756+40294+15922+6247+4692+1746+904+107+157+579</f>
        <v>1226286</v>
      </c>
      <c r="N756" s="272">
        <f>L757/M757</f>
        <v>8.70609590969529</v>
      </c>
      <c r="O756" s="341">
        <v>1</v>
      </c>
    </row>
    <row r="757" spans="1:15" ht="12" customHeight="1">
      <c r="A757" s="228">
        <v>754</v>
      </c>
      <c r="B757" s="324" t="s">
        <v>353</v>
      </c>
      <c r="C757" s="265">
        <v>40137</v>
      </c>
      <c r="D757" s="275" t="s">
        <v>322</v>
      </c>
      <c r="E757" s="287">
        <v>147</v>
      </c>
      <c r="F757" s="287">
        <v>1</v>
      </c>
      <c r="G757" s="287">
        <v>18</v>
      </c>
      <c r="H757" s="288">
        <v>2014</v>
      </c>
      <c r="I757" s="289">
        <v>504</v>
      </c>
      <c r="J757" s="283">
        <f>I757/F757</f>
        <v>504</v>
      </c>
      <c r="K757" s="285">
        <f>H757/I757</f>
        <v>3.996031746031746</v>
      </c>
      <c r="L757" s="284">
        <f>4499732.5+3362984.5+1262292.25+664013.75+490740.5+244990+87796+33908+25213+8908+4440+435+625+2349+3362+4879+291+2014</f>
        <v>10698973.5</v>
      </c>
      <c r="M757" s="283">
        <f>493806+365411+142937+78728+74756+40294+15922+6247+4692+1746+904+107+157+579+840+1220+56+504</f>
        <v>1228906</v>
      </c>
      <c r="N757" s="290">
        <f>+L757/M757</f>
        <v>8.70609590969529</v>
      </c>
      <c r="O757" s="273"/>
    </row>
    <row r="758" spans="1:15" ht="12" customHeight="1">
      <c r="A758" s="228">
        <v>755</v>
      </c>
      <c r="B758" s="245" t="s">
        <v>353</v>
      </c>
      <c r="C758" s="246">
        <v>40137</v>
      </c>
      <c r="D758" s="247" t="s">
        <v>334</v>
      </c>
      <c r="E758" s="248">
        <v>147</v>
      </c>
      <c r="F758" s="248">
        <v>3</v>
      </c>
      <c r="G758" s="248">
        <v>22</v>
      </c>
      <c r="H758" s="249">
        <v>1821</v>
      </c>
      <c r="I758" s="250">
        <v>305</v>
      </c>
      <c r="J758" s="251">
        <f>I758/F758</f>
        <v>101.66666666666667</v>
      </c>
      <c r="K758" s="260">
        <f>H758/I758</f>
        <v>5.970491803278689</v>
      </c>
      <c r="L758" s="253">
        <f>4499732.5+3362984.5+1262292.25+664013.75+490740.5+244990+87796+33908+25213+8908+4440+435+625+2349+3362+4879+291+2014+126+373.5+718+1821</f>
        <v>10702012</v>
      </c>
      <c r="M758" s="254">
        <f>493806+365411+142937+78728+74756+40294+15922+6247+4692+1746+904+107+157+579+840+1220+56+504+21+69+99+305</f>
        <v>1229400</v>
      </c>
      <c r="N758" s="255">
        <f>+L758/M758</f>
        <v>8.705069139417603</v>
      </c>
      <c r="O758" s="262"/>
    </row>
    <row r="759" spans="1:15" ht="12" customHeight="1">
      <c r="A759" s="228">
        <v>756</v>
      </c>
      <c r="B759" s="245" t="s">
        <v>353</v>
      </c>
      <c r="C759" s="265">
        <v>40137</v>
      </c>
      <c r="D759" s="247" t="s">
        <v>322</v>
      </c>
      <c r="E759" s="276">
        <v>147</v>
      </c>
      <c r="F759" s="276">
        <v>1</v>
      </c>
      <c r="G759" s="276">
        <v>28</v>
      </c>
      <c r="H759" s="267">
        <v>1782</v>
      </c>
      <c r="I759" s="268">
        <v>446</v>
      </c>
      <c r="J759" s="269">
        <v>22</v>
      </c>
      <c r="K759" s="270">
        <v>10</v>
      </c>
      <c r="L759" s="271">
        <f>10813638+1782</f>
        <v>10815420</v>
      </c>
      <c r="M759" s="269">
        <f>1242823+446</f>
        <v>1243269</v>
      </c>
      <c r="N759" s="272">
        <v>8.700867299687888</v>
      </c>
      <c r="O759" s="262"/>
    </row>
    <row r="760" spans="1:15" ht="12" customHeight="1">
      <c r="A760" s="228">
        <v>757</v>
      </c>
      <c r="B760" s="245" t="s">
        <v>353</v>
      </c>
      <c r="C760" s="246">
        <v>40137</v>
      </c>
      <c r="D760" s="247" t="s">
        <v>322</v>
      </c>
      <c r="E760" s="248">
        <v>147</v>
      </c>
      <c r="F760" s="248">
        <v>2</v>
      </c>
      <c r="G760" s="248">
        <v>25</v>
      </c>
      <c r="H760" s="263">
        <v>752</v>
      </c>
      <c r="I760" s="258">
        <v>92</v>
      </c>
      <c r="J760" s="259">
        <f>(I760/F760)</f>
        <v>46</v>
      </c>
      <c r="K760" s="260">
        <f>H760/I760</f>
        <v>8.173913043478262</v>
      </c>
      <c r="L760" s="264">
        <f>4499732.5+3362984.5+1262292.25+664013.75+490740.5+244990+87796+33908+25213+8908+4440+435+625+2349+3362+4879+291+2014+126+373.5+718+1821+107573+2907+752</f>
        <v>10813244</v>
      </c>
      <c r="M760" s="261">
        <f>493806+365411+142937+78728+74756+40294+15922+6247+4692+1746+904+107+157+579+840+1220+56+504+21+69+99+305+12631+649+92</f>
        <v>1242772</v>
      </c>
      <c r="N760" s="255">
        <f>L760/M760</f>
        <v>8.700907326524897</v>
      </c>
      <c r="O760" s="262"/>
    </row>
    <row r="761" spans="1:15" ht="12" customHeight="1">
      <c r="A761" s="228">
        <v>758</v>
      </c>
      <c r="B761" s="281" t="s">
        <v>353</v>
      </c>
      <c r="C761" s="265">
        <v>40137</v>
      </c>
      <c r="D761" s="275" t="s">
        <v>334</v>
      </c>
      <c r="E761" s="276">
        <v>147</v>
      </c>
      <c r="F761" s="276">
        <v>1</v>
      </c>
      <c r="G761" s="276">
        <v>21</v>
      </c>
      <c r="H761" s="263">
        <v>718</v>
      </c>
      <c r="I761" s="258">
        <v>99</v>
      </c>
      <c r="J761" s="259">
        <f>(I761/F761)</f>
        <v>99</v>
      </c>
      <c r="K761" s="260">
        <f>H761/I761</f>
        <v>7.252525252525253</v>
      </c>
      <c r="L761" s="264">
        <f>4499732.5+3362984.5+1262292.25+664013.75+490740.5+244990+87796+33908+25213+8908+4440+435+625+2349+3362+4879+291+2014+126+373.5+718</f>
        <v>10700191</v>
      </c>
      <c r="M761" s="261">
        <f>493806+365411+142937+78728+74756+40294+15922+6247+4692+1746+904+107+157+579+840+1220+56+504+21+69+99</f>
        <v>1229095</v>
      </c>
      <c r="N761" s="255">
        <f>L761/M761</f>
        <v>8.705747724952099</v>
      </c>
      <c r="O761" s="244"/>
    </row>
    <row r="762" spans="1:15" ht="12" customHeight="1">
      <c r="A762" s="228">
        <v>759</v>
      </c>
      <c r="B762" s="281" t="s">
        <v>353</v>
      </c>
      <c r="C762" s="265">
        <v>40137</v>
      </c>
      <c r="D762" s="275" t="s">
        <v>322</v>
      </c>
      <c r="E762" s="276">
        <v>147</v>
      </c>
      <c r="F762" s="276">
        <v>1</v>
      </c>
      <c r="G762" s="276">
        <v>13</v>
      </c>
      <c r="H762" s="280">
        <v>625</v>
      </c>
      <c r="I762" s="282">
        <v>157</v>
      </c>
      <c r="J762" s="283">
        <f>(I762/F762)</f>
        <v>157</v>
      </c>
      <c r="K762" s="285">
        <f>H762/I762</f>
        <v>3.9808917197452227</v>
      </c>
      <c r="L762" s="284">
        <f>4499732.5+3362984.5+1262292.25+664013.75+490740.5+244990+87796+33908+25213+8908+4440+435+625</f>
        <v>10686078.5</v>
      </c>
      <c r="M762" s="283">
        <f>493806+365411+142937+78728+74756+40294+15922+6247+4692+1746+904+107+157</f>
        <v>1225707</v>
      </c>
      <c r="N762" s="272">
        <f>L763/M763</f>
        <v>8.718904573456815</v>
      </c>
      <c r="O762" s="262"/>
    </row>
    <row r="763" spans="1:15" ht="12" customHeight="1">
      <c r="A763" s="228">
        <v>760</v>
      </c>
      <c r="B763" s="281" t="s">
        <v>353</v>
      </c>
      <c r="C763" s="265">
        <v>40137</v>
      </c>
      <c r="D763" s="275" t="s">
        <v>322</v>
      </c>
      <c r="E763" s="276">
        <v>147</v>
      </c>
      <c r="F763" s="276">
        <v>1</v>
      </c>
      <c r="G763" s="276">
        <v>12</v>
      </c>
      <c r="H763" s="267">
        <v>435</v>
      </c>
      <c r="I763" s="268">
        <v>107</v>
      </c>
      <c r="J763" s="269">
        <f>I763/F763</f>
        <v>107</v>
      </c>
      <c r="K763" s="270">
        <f>+H763/I763</f>
        <v>4.065420560747664</v>
      </c>
      <c r="L763" s="271">
        <f>4499732.5+3362984.5+1262292.25+664013.75+490740.5+244990+87796+33908+25213+8908+4440+435</f>
        <v>10685453.5</v>
      </c>
      <c r="M763" s="269">
        <f>493806+365411+142937+78728+74756+40294+15922+6247+4692+1746+904+107</f>
        <v>1225550</v>
      </c>
      <c r="N763" s="255">
        <f>L764/M764</f>
        <v>8.705864787192148</v>
      </c>
      <c r="O763" s="335"/>
    </row>
    <row r="764" spans="1:15" ht="12" customHeight="1">
      <c r="A764" s="228">
        <v>761</v>
      </c>
      <c r="B764" s="245" t="s">
        <v>353</v>
      </c>
      <c r="C764" s="265">
        <v>40137</v>
      </c>
      <c r="D764" s="275" t="s">
        <v>322</v>
      </c>
      <c r="E764" s="276">
        <v>147</v>
      </c>
      <c r="F764" s="276">
        <v>2</v>
      </c>
      <c r="G764" s="276">
        <v>20</v>
      </c>
      <c r="H764" s="263">
        <v>373.5</v>
      </c>
      <c r="I764" s="258">
        <v>69</v>
      </c>
      <c r="J764" s="269">
        <f>I764/F764</f>
        <v>34.5</v>
      </c>
      <c r="K764" s="270">
        <f>H764/I764</f>
        <v>5.413043478260869</v>
      </c>
      <c r="L764" s="271">
        <f>4499732.5+3362984.5+1262292.25+664013.75+490740.5+244990+87796+33908+25213+8908+4440+435+625+2349+3362+4879+291+2014+126+373.5</f>
        <v>10699473</v>
      </c>
      <c r="M764" s="269">
        <f>493806+365411+142937+78728+74756+40294+15922+6247+4692+1746+904+107+157+579+840+1220+56+504+21+69</f>
        <v>1228996</v>
      </c>
      <c r="N764" s="272">
        <f>+L764/M764</f>
        <v>8.705864787192148</v>
      </c>
      <c r="O764" s="335"/>
    </row>
    <row r="765" spans="1:15" ht="12" customHeight="1">
      <c r="A765" s="228">
        <v>762</v>
      </c>
      <c r="B765" s="245" t="s">
        <v>353</v>
      </c>
      <c r="C765" s="246">
        <v>40137</v>
      </c>
      <c r="D765" s="275" t="s">
        <v>322</v>
      </c>
      <c r="E765" s="248">
        <v>147</v>
      </c>
      <c r="F765" s="248">
        <v>1</v>
      </c>
      <c r="G765" s="248">
        <v>17</v>
      </c>
      <c r="H765" s="249">
        <v>291</v>
      </c>
      <c r="I765" s="250">
        <v>56</v>
      </c>
      <c r="J765" s="251">
        <f>(I765/F765)</f>
        <v>56</v>
      </c>
      <c r="K765" s="252">
        <f>H765/I765</f>
        <v>5.196428571428571</v>
      </c>
      <c r="L765" s="253">
        <f>4499732.5+3362984.5+1262292.25+664013.75+490740.5+244990+87796+33908+25213+8908+4440+435+625+2349+3362+4879+291</f>
        <v>10696959.5</v>
      </c>
      <c r="M765" s="254">
        <f>493806+365411+142937+78728+74756+40294+15922+6247+4692+1746+904+107+157+579+840+1220+56</f>
        <v>1228402</v>
      </c>
      <c r="N765" s="255">
        <f>+L766/M766</f>
        <v>8.700867299687888</v>
      </c>
      <c r="O765" s="262"/>
    </row>
    <row r="766" spans="1:15" ht="12" customHeight="1">
      <c r="A766" s="228">
        <v>763</v>
      </c>
      <c r="B766" s="281" t="s">
        <v>353</v>
      </c>
      <c r="C766" s="265">
        <v>40137</v>
      </c>
      <c r="D766" s="247" t="s">
        <v>322</v>
      </c>
      <c r="E766" s="276">
        <v>147</v>
      </c>
      <c r="F766" s="276">
        <v>1</v>
      </c>
      <c r="G766" s="276">
        <v>27</v>
      </c>
      <c r="H766" s="280">
        <v>220</v>
      </c>
      <c r="I766" s="282">
        <v>22</v>
      </c>
      <c r="J766" s="283">
        <v>22</v>
      </c>
      <c r="K766" s="285">
        <v>10</v>
      </c>
      <c r="L766" s="284">
        <v>10813638</v>
      </c>
      <c r="M766" s="283">
        <v>1242823</v>
      </c>
      <c r="N766" s="272">
        <v>8.700867299687888</v>
      </c>
      <c r="O766" s="274"/>
    </row>
    <row r="767" spans="1:15" ht="12" customHeight="1">
      <c r="A767" s="228">
        <v>764</v>
      </c>
      <c r="B767" s="245" t="s">
        <v>353</v>
      </c>
      <c r="C767" s="265">
        <v>40137</v>
      </c>
      <c r="D767" s="247" t="s">
        <v>322</v>
      </c>
      <c r="E767" s="276">
        <v>147</v>
      </c>
      <c r="F767" s="276">
        <v>1</v>
      </c>
      <c r="G767" s="276">
        <v>26</v>
      </c>
      <c r="H767" s="267">
        <v>174</v>
      </c>
      <c r="I767" s="268">
        <v>29</v>
      </c>
      <c r="J767" s="269">
        <f>(I767/F767)</f>
        <v>29</v>
      </c>
      <c r="K767" s="270">
        <f>H767/I767</f>
        <v>6</v>
      </c>
      <c r="L767" s="271">
        <f>4499732.5+3362984.5+1262292.25+664013.75+490740.5+244990+87796+33908+25213+8908+4440+435+625+2349+3362+4879+291+2014+126+373.5+718+1821+107573+2907+752+174</f>
        <v>10813418</v>
      </c>
      <c r="M767" s="269">
        <f>493806+365411+142937+78728+74756+40294+15922+6247+4692+1746+904+107+157+579+840+1220+56+504+21+69+99+305+12631+649+92+29</f>
        <v>1242801</v>
      </c>
      <c r="N767" s="272">
        <f>L767/M767</f>
        <v>8.700844302506999</v>
      </c>
      <c r="O767" s="262"/>
    </row>
    <row r="768" spans="1:15" ht="12" customHeight="1">
      <c r="A768" s="228">
        <v>765</v>
      </c>
      <c r="B768" s="245" t="s">
        <v>353</v>
      </c>
      <c r="C768" s="246">
        <v>40137</v>
      </c>
      <c r="D768" s="247" t="s">
        <v>322</v>
      </c>
      <c r="E768" s="248">
        <v>147</v>
      </c>
      <c r="F768" s="248">
        <v>1</v>
      </c>
      <c r="G768" s="248">
        <v>19</v>
      </c>
      <c r="H768" s="249">
        <v>126</v>
      </c>
      <c r="I768" s="250">
        <v>21</v>
      </c>
      <c r="J768" s="251">
        <f>(I768/F768)</f>
        <v>21</v>
      </c>
      <c r="K768" s="252">
        <f>H768/I768</f>
        <v>6</v>
      </c>
      <c r="L768" s="253">
        <f>4499732.5+3362984.5+1262292.25+664013.75+490740.5+244990+87796+33908+25213+8908+4440+435+625+2349+3362+4879+291+2014+126</f>
        <v>10699099.5</v>
      </c>
      <c r="M768" s="254">
        <f>493806+365411+142937+78728+74756+40294+15922+6247+4692+1746+904+107+157+579+840+1220+56+504+21</f>
        <v>1228927</v>
      </c>
      <c r="N768" s="255">
        <f>L768/M768</f>
        <v>8.706049667718261</v>
      </c>
      <c r="O768" s="244"/>
    </row>
    <row r="769" spans="1:15" ht="12" customHeight="1">
      <c r="A769" s="228">
        <v>766</v>
      </c>
      <c r="B769" s="245" t="s">
        <v>353</v>
      </c>
      <c r="C769" s="265">
        <v>40137</v>
      </c>
      <c r="D769" s="275" t="s">
        <v>322</v>
      </c>
      <c r="E769" s="276">
        <v>147</v>
      </c>
      <c r="F769" s="276">
        <v>1</v>
      </c>
      <c r="G769" s="276">
        <v>29</v>
      </c>
      <c r="H769" s="263">
        <v>94</v>
      </c>
      <c r="I769" s="258">
        <v>17</v>
      </c>
      <c r="J769" s="269">
        <v>22</v>
      </c>
      <c r="K769" s="270">
        <v>10</v>
      </c>
      <c r="L769" s="271">
        <f>10813638+1782+94</f>
        <v>10815514</v>
      </c>
      <c r="M769" s="269">
        <f>1242823+446+17</f>
        <v>1243286</v>
      </c>
      <c r="N769" s="272">
        <v>8.700867299687888</v>
      </c>
      <c r="O769" s="244">
        <v>1</v>
      </c>
    </row>
    <row r="770" spans="1:15" ht="12" customHeight="1">
      <c r="A770" s="228">
        <v>767</v>
      </c>
      <c r="B770" s="245" t="s">
        <v>443</v>
      </c>
      <c r="C770" s="246">
        <v>40081</v>
      </c>
      <c r="D770" s="247" t="s">
        <v>321</v>
      </c>
      <c r="E770" s="248">
        <v>70</v>
      </c>
      <c r="F770" s="248">
        <v>1</v>
      </c>
      <c r="G770" s="248">
        <v>13</v>
      </c>
      <c r="H770" s="249">
        <v>1671</v>
      </c>
      <c r="I770" s="258">
        <v>278</v>
      </c>
      <c r="J770" s="259">
        <f aca="true" t="shared" si="66" ref="J770:J780">I770/F770</f>
        <v>278</v>
      </c>
      <c r="K770" s="260">
        <f>H770/I770</f>
        <v>6.010791366906475</v>
      </c>
      <c r="L770" s="253">
        <f>1392975+803+1671</f>
        <v>1395449</v>
      </c>
      <c r="M770" s="261">
        <f>137156+132+278</f>
        <v>137566</v>
      </c>
      <c r="N770" s="255">
        <f aca="true" t="shared" si="67" ref="N770:N775">+L771/M771</f>
        <v>10.15222015034089</v>
      </c>
      <c r="O770" s="256"/>
    </row>
    <row r="771" spans="1:15" ht="12" customHeight="1">
      <c r="A771" s="228">
        <v>768</v>
      </c>
      <c r="B771" s="245" t="s">
        <v>443</v>
      </c>
      <c r="C771" s="246">
        <v>40081</v>
      </c>
      <c r="D771" s="247" t="s">
        <v>321</v>
      </c>
      <c r="E771" s="248">
        <v>70</v>
      </c>
      <c r="F771" s="248">
        <v>1</v>
      </c>
      <c r="G771" s="248">
        <v>12</v>
      </c>
      <c r="H771" s="249">
        <v>803</v>
      </c>
      <c r="I771" s="250">
        <v>132</v>
      </c>
      <c r="J771" s="251">
        <f t="shared" si="66"/>
        <v>132</v>
      </c>
      <c r="K771" s="252">
        <f>H771/I771</f>
        <v>6.083333333333333</v>
      </c>
      <c r="L771" s="253">
        <f>1392975+803</f>
        <v>1393778</v>
      </c>
      <c r="M771" s="254">
        <f>137156+132</f>
        <v>137288</v>
      </c>
      <c r="N771" s="272">
        <f t="shared" si="67"/>
        <v>6.698634721355791</v>
      </c>
      <c r="O771" s="262"/>
    </row>
    <row r="772" spans="1:15" ht="12" customHeight="1">
      <c r="A772" s="228">
        <v>769</v>
      </c>
      <c r="B772" s="359" t="s">
        <v>228</v>
      </c>
      <c r="C772" s="265">
        <v>39871</v>
      </c>
      <c r="D772" s="336" t="s">
        <v>349</v>
      </c>
      <c r="E772" s="276">
        <v>192</v>
      </c>
      <c r="F772" s="276">
        <v>1</v>
      </c>
      <c r="G772" s="276">
        <v>22</v>
      </c>
      <c r="H772" s="280">
        <v>1918</v>
      </c>
      <c r="I772" s="282">
        <v>319</v>
      </c>
      <c r="J772" s="283">
        <f t="shared" si="66"/>
        <v>319</v>
      </c>
      <c r="K772" s="285">
        <f>H772/I772</f>
        <v>6.012539184952978</v>
      </c>
      <c r="L772" s="284">
        <f>568084.5+439199.5+199559+109980+164256.5-20+26773.5+13463+1383+6404+0.5+715+335+85+378+1008+757+6618+713+0.75+243+1525+380+105+2395+1918</f>
        <v>1546259.25</v>
      </c>
      <c r="M772" s="283">
        <f>79686+62524+31158+18444+26844-3+5195+2619+207+1137+130+77+14+84+252+149+1160+124+32+241+76+21+342+319</f>
        <v>230832</v>
      </c>
      <c r="N772" s="272">
        <f t="shared" si="67"/>
        <v>9.353614436176715</v>
      </c>
      <c r="O772" s="341"/>
    </row>
    <row r="773" spans="1:15" ht="12" customHeight="1">
      <c r="A773" s="228">
        <v>770</v>
      </c>
      <c r="B773" s="281" t="s">
        <v>346</v>
      </c>
      <c r="C773" s="265">
        <v>40102</v>
      </c>
      <c r="D773" s="344" t="s">
        <v>320</v>
      </c>
      <c r="E773" s="276">
        <v>99</v>
      </c>
      <c r="F773" s="276">
        <v>1</v>
      </c>
      <c r="G773" s="276">
        <v>19</v>
      </c>
      <c r="H773" s="280">
        <v>5600</v>
      </c>
      <c r="I773" s="282">
        <v>1400</v>
      </c>
      <c r="J773" s="283">
        <f t="shared" si="66"/>
        <v>1400</v>
      </c>
      <c r="K773" s="285">
        <f>H773/I773</f>
        <v>4</v>
      </c>
      <c r="L773" s="284">
        <v>2602082</v>
      </c>
      <c r="M773" s="283">
        <v>278190</v>
      </c>
      <c r="N773" s="272">
        <f t="shared" si="67"/>
        <v>9.326807110411675</v>
      </c>
      <c r="O773" s="262"/>
    </row>
    <row r="774" spans="1:15" ht="12" customHeight="1">
      <c r="A774" s="228">
        <v>771</v>
      </c>
      <c r="B774" s="281" t="s">
        <v>346</v>
      </c>
      <c r="C774" s="308">
        <v>40102</v>
      </c>
      <c r="D774" s="344" t="s">
        <v>320</v>
      </c>
      <c r="E774" s="287">
        <v>99</v>
      </c>
      <c r="F774" s="287">
        <v>1</v>
      </c>
      <c r="G774" s="287">
        <v>20</v>
      </c>
      <c r="H774" s="288">
        <v>5600</v>
      </c>
      <c r="I774" s="289">
        <v>1400</v>
      </c>
      <c r="J774" s="283">
        <f t="shared" si="66"/>
        <v>1400</v>
      </c>
      <c r="K774" s="285">
        <f>+H774/I774</f>
        <v>4</v>
      </c>
      <c r="L774" s="284">
        <v>2607682</v>
      </c>
      <c r="M774" s="283">
        <v>279590</v>
      </c>
      <c r="N774" s="272">
        <f t="shared" si="67"/>
        <v>9.380692944109253</v>
      </c>
      <c r="O774" s="262"/>
    </row>
    <row r="775" spans="1:15" ht="12" customHeight="1">
      <c r="A775" s="228">
        <v>772</v>
      </c>
      <c r="B775" s="281" t="s">
        <v>346</v>
      </c>
      <c r="C775" s="265">
        <v>40102</v>
      </c>
      <c r="D775" s="344" t="s">
        <v>320</v>
      </c>
      <c r="E775" s="276">
        <v>99</v>
      </c>
      <c r="F775" s="276">
        <v>2</v>
      </c>
      <c r="G775" s="276">
        <v>18</v>
      </c>
      <c r="H775" s="280">
        <v>5089</v>
      </c>
      <c r="I775" s="282">
        <v>1400</v>
      </c>
      <c r="J775" s="283">
        <f t="shared" si="66"/>
        <v>700</v>
      </c>
      <c r="K775" s="285">
        <f>+H775/I775</f>
        <v>3.635</v>
      </c>
      <c r="L775" s="284">
        <v>2596482</v>
      </c>
      <c r="M775" s="283">
        <v>276790</v>
      </c>
      <c r="N775" s="272">
        <f t="shared" si="67"/>
        <v>9.248832772285288</v>
      </c>
      <c r="O775" s="262"/>
    </row>
    <row r="776" spans="1:15" ht="12" customHeight="1">
      <c r="A776" s="228">
        <v>773</v>
      </c>
      <c r="B776" s="324" t="s">
        <v>346</v>
      </c>
      <c r="C776" s="308">
        <v>40102</v>
      </c>
      <c r="D776" s="344" t="s">
        <v>320</v>
      </c>
      <c r="E776" s="287">
        <v>99</v>
      </c>
      <c r="F776" s="287">
        <v>1</v>
      </c>
      <c r="G776" s="287">
        <v>22</v>
      </c>
      <c r="H776" s="288">
        <v>4830</v>
      </c>
      <c r="I776" s="289">
        <v>1610</v>
      </c>
      <c r="J776" s="283">
        <f t="shared" si="66"/>
        <v>1610</v>
      </c>
      <c r="K776" s="285">
        <f>H776/I776</f>
        <v>3</v>
      </c>
      <c r="L776" s="284">
        <v>2612860</v>
      </c>
      <c r="M776" s="283">
        <v>282507</v>
      </c>
      <c r="N776" s="272">
        <f>L777/M777</f>
        <v>9.435323837128651</v>
      </c>
      <c r="O776" s="262"/>
    </row>
    <row r="777" spans="1:15" ht="12" customHeight="1">
      <c r="A777" s="228">
        <v>774</v>
      </c>
      <c r="B777" s="281" t="s">
        <v>346</v>
      </c>
      <c r="C777" s="265">
        <v>40102</v>
      </c>
      <c r="D777" s="344" t="s">
        <v>320</v>
      </c>
      <c r="E777" s="276">
        <v>99</v>
      </c>
      <c r="F777" s="276">
        <v>8</v>
      </c>
      <c r="G777" s="276">
        <v>15</v>
      </c>
      <c r="H777" s="267">
        <v>4479</v>
      </c>
      <c r="I777" s="268">
        <v>839</v>
      </c>
      <c r="J777" s="269">
        <f t="shared" si="66"/>
        <v>104.875</v>
      </c>
      <c r="K777" s="270">
        <f>+H777/I777</f>
        <v>5.33849821215733</v>
      </c>
      <c r="L777" s="271">
        <v>2584656</v>
      </c>
      <c r="M777" s="269">
        <v>273934</v>
      </c>
      <c r="N777" s="272">
        <f>+L778/M778</f>
        <v>9.423857526147753</v>
      </c>
      <c r="O777" s="244"/>
    </row>
    <row r="778" spans="1:15" ht="12" customHeight="1">
      <c r="A778" s="228">
        <v>775</v>
      </c>
      <c r="B778" s="281" t="s">
        <v>346</v>
      </c>
      <c r="C778" s="265">
        <v>40102</v>
      </c>
      <c r="D778" s="344" t="s">
        <v>320</v>
      </c>
      <c r="E778" s="276">
        <v>99</v>
      </c>
      <c r="F778" s="276">
        <v>5</v>
      </c>
      <c r="G778" s="276">
        <v>16</v>
      </c>
      <c r="H778" s="267">
        <v>3974</v>
      </c>
      <c r="I778" s="268">
        <v>755</v>
      </c>
      <c r="J778" s="269">
        <f t="shared" si="66"/>
        <v>151</v>
      </c>
      <c r="K778" s="270">
        <f>+H778/I778</f>
        <v>5.263576158940397</v>
      </c>
      <c r="L778" s="271">
        <v>2588630</v>
      </c>
      <c r="M778" s="269">
        <v>274689</v>
      </c>
      <c r="N778" s="272">
        <f>+L779/M779</f>
        <v>9.221783454747847</v>
      </c>
      <c r="O778" s="348"/>
    </row>
    <row r="779" spans="1:15" ht="12" customHeight="1">
      <c r="A779" s="228">
        <v>776</v>
      </c>
      <c r="B779" s="245" t="s">
        <v>346</v>
      </c>
      <c r="C779" s="265">
        <v>40102</v>
      </c>
      <c r="D779" s="344" t="s">
        <v>320</v>
      </c>
      <c r="E779" s="287">
        <v>99</v>
      </c>
      <c r="F779" s="287">
        <v>3</v>
      </c>
      <c r="G779" s="287">
        <v>28</v>
      </c>
      <c r="H779" s="288">
        <v>3828</v>
      </c>
      <c r="I779" s="289">
        <v>1060</v>
      </c>
      <c r="J779" s="283">
        <f t="shared" si="66"/>
        <v>353.3333333333333</v>
      </c>
      <c r="K779" s="285">
        <f>+H779/I779</f>
        <v>3.611320754716981</v>
      </c>
      <c r="L779" s="284">
        <v>2617843</v>
      </c>
      <c r="M779" s="283">
        <v>283876</v>
      </c>
      <c r="N779" s="290">
        <f>+L779/M779</f>
        <v>9.221783454747847</v>
      </c>
      <c r="O779" s="262"/>
    </row>
    <row r="780" spans="1:15" ht="12" customHeight="1">
      <c r="A780" s="228">
        <v>777</v>
      </c>
      <c r="B780" s="281" t="s">
        <v>346</v>
      </c>
      <c r="C780" s="265">
        <v>40102</v>
      </c>
      <c r="D780" s="344" t="s">
        <v>320</v>
      </c>
      <c r="E780" s="276">
        <v>99</v>
      </c>
      <c r="F780" s="276">
        <v>9</v>
      </c>
      <c r="G780" s="276">
        <v>14</v>
      </c>
      <c r="H780" s="280">
        <v>3375</v>
      </c>
      <c r="I780" s="268">
        <v>911</v>
      </c>
      <c r="J780" s="269">
        <f t="shared" si="66"/>
        <v>101.22222222222223</v>
      </c>
      <c r="K780" s="270">
        <f>+H780/I780</f>
        <v>3.7047200878155873</v>
      </c>
      <c r="L780" s="284">
        <v>2580177</v>
      </c>
      <c r="M780" s="269">
        <v>273095</v>
      </c>
      <c r="N780" s="272">
        <f>L781/M781</f>
        <v>9.409902320345692</v>
      </c>
      <c r="O780" s="244"/>
    </row>
    <row r="781" spans="1:15" ht="12" customHeight="1">
      <c r="A781" s="228">
        <v>778</v>
      </c>
      <c r="B781" s="281" t="s">
        <v>346</v>
      </c>
      <c r="C781" s="265">
        <v>40102</v>
      </c>
      <c r="D781" s="344" t="s">
        <v>320</v>
      </c>
      <c r="E781" s="276">
        <v>99</v>
      </c>
      <c r="F781" s="276">
        <v>5</v>
      </c>
      <c r="G781" s="276">
        <v>17</v>
      </c>
      <c r="H781" s="267">
        <v>2763</v>
      </c>
      <c r="I781" s="268">
        <v>701</v>
      </c>
      <c r="J781" s="269">
        <f>(I781/F781)</f>
        <v>140.2</v>
      </c>
      <c r="K781" s="270">
        <f>(J781/G781)</f>
        <v>8.24705882352941</v>
      </c>
      <c r="L781" s="271">
        <v>2591393</v>
      </c>
      <c r="M781" s="269">
        <v>275390</v>
      </c>
      <c r="N781" s="349">
        <f>+L782/M782</f>
        <v>9.470172742181008</v>
      </c>
      <c r="O781" s="262"/>
    </row>
    <row r="782" spans="1:15" ht="12" customHeight="1">
      <c r="A782" s="228">
        <v>779</v>
      </c>
      <c r="B782" s="350" t="s">
        <v>346</v>
      </c>
      <c r="C782" s="351">
        <v>40102</v>
      </c>
      <c r="D782" s="344" t="s">
        <v>320</v>
      </c>
      <c r="E782" s="352">
        <v>99</v>
      </c>
      <c r="F782" s="352">
        <v>15</v>
      </c>
      <c r="G782" s="352">
        <v>12</v>
      </c>
      <c r="H782" s="353">
        <v>2194</v>
      </c>
      <c r="I782" s="354">
        <v>315</v>
      </c>
      <c r="J782" s="355">
        <f aca="true" t="shared" si="68" ref="J782:J788">I782/F782</f>
        <v>21</v>
      </c>
      <c r="K782" s="356">
        <f>+H782/I782</f>
        <v>6.965079365079365</v>
      </c>
      <c r="L782" s="357">
        <v>2575565</v>
      </c>
      <c r="M782" s="355">
        <v>271966</v>
      </c>
      <c r="N782" s="272">
        <f>+L783/M783</f>
        <v>9.28407983208225</v>
      </c>
      <c r="O782" s="348"/>
    </row>
    <row r="783" spans="1:15" ht="12" customHeight="1">
      <c r="A783" s="228">
        <v>780</v>
      </c>
      <c r="B783" s="281" t="s">
        <v>346</v>
      </c>
      <c r="C783" s="308">
        <v>40102</v>
      </c>
      <c r="D783" s="344" t="s">
        <v>320</v>
      </c>
      <c r="E783" s="287">
        <v>99</v>
      </c>
      <c r="F783" s="287">
        <v>1</v>
      </c>
      <c r="G783" s="287">
        <v>21</v>
      </c>
      <c r="H783" s="288">
        <v>1980</v>
      </c>
      <c r="I783" s="289">
        <v>1500</v>
      </c>
      <c r="J783" s="283">
        <f t="shared" si="68"/>
        <v>1500</v>
      </c>
      <c r="K783" s="285">
        <f>H783/I783</f>
        <v>1.32</v>
      </c>
      <c r="L783" s="284">
        <v>2609662</v>
      </c>
      <c r="M783" s="283">
        <v>281090</v>
      </c>
      <c r="N783" s="272">
        <f>+L784/M784</f>
        <v>9.467132527995767</v>
      </c>
      <c r="O783" s="274"/>
    </row>
    <row r="784" spans="1:15" ht="12" customHeight="1">
      <c r="A784" s="228">
        <v>781</v>
      </c>
      <c r="B784" s="281" t="s">
        <v>346</v>
      </c>
      <c r="C784" s="265">
        <v>40102</v>
      </c>
      <c r="D784" s="344" t="s">
        <v>320</v>
      </c>
      <c r="E784" s="276">
        <v>99</v>
      </c>
      <c r="F784" s="276">
        <v>5</v>
      </c>
      <c r="G784" s="276">
        <v>13</v>
      </c>
      <c r="H784" s="280">
        <v>1237</v>
      </c>
      <c r="I784" s="282">
        <v>218</v>
      </c>
      <c r="J784" s="283">
        <f t="shared" si="68"/>
        <v>43.6</v>
      </c>
      <c r="K784" s="285">
        <f>+H784/I784</f>
        <v>5.674311926605505</v>
      </c>
      <c r="L784" s="284">
        <v>2576802</v>
      </c>
      <c r="M784" s="283">
        <v>272184</v>
      </c>
      <c r="N784" s="272">
        <f>+L785/M785</f>
        <v>9.242811580674362</v>
      </c>
      <c r="O784" s="262"/>
    </row>
    <row r="785" spans="1:15" ht="12" customHeight="1">
      <c r="A785" s="228">
        <v>782</v>
      </c>
      <c r="B785" s="245" t="s">
        <v>346</v>
      </c>
      <c r="C785" s="265">
        <v>40102</v>
      </c>
      <c r="D785" s="344" t="s">
        <v>320</v>
      </c>
      <c r="E785" s="287">
        <v>99</v>
      </c>
      <c r="F785" s="287">
        <v>1</v>
      </c>
      <c r="G785" s="287">
        <v>27</v>
      </c>
      <c r="H785" s="288">
        <v>1127</v>
      </c>
      <c r="I785" s="289">
        <v>307</v>
      </c>
      <c r="J785" s="283">
        <f t="shared" si="68"/>
        <v>307</v>
      </c>
      <c r="K785" s="285">
        <f>H785/I785</f>
        <v>3.6710097719869705</v>
      </c>
      <c r="L785" s="284">
        <v>2614015</v>
      </c>
      <c r="M785" s="283">
        <v>282816</v>
      </c>
      <c r="N785" s="290">
        <f>+L785/M785</f>
        <v>9.242811580674362</v>
      </c>
      <c r="O785" s="262"/>
    </row>
    <row r="786" spans="1:15" ht="12" customHeight="1">
      <c r="A786" s="228">
        <v>783</v>
      </c>
      <c r="B786" s="245" t="s">
        <v>346</v>
      </c>
      <c r="C786" s="265">
        <v>40102</v>
      </c>
      <c r="D786" s="344" t="s">
        <v>320</v>
      </c>
      <c r="E786" s="287">
        <v>99</v>
      </c>
      <c r="F786" s="287">
        <v>1</v>
      </c>
      <c r="G786" s="287">
        <v>30</v>
      </c>
      <c r="H786" s="288">
        <v>609</v>
      </c>
      <c r="I786" s="326">
        <v>280</v>
      </c>
      <c r="J786" s="269">
        <f t="shared" si="68"/>
        <v>280</v>
      </c>
      <c r="K786" s="270">
        <f>+H786/I786</f>
        <v>2.175</v>
      </c>
      <c r="L786" s="271">
        <v>2618452</v>
      </c>
      <c r="M786" s="269">
        <v>284156</v>
      </c>
      <c r="N786" s="272">
        <f>+L786/M786</f>
        <v>9.214839735919707</v>
      </c>
      <c r="O786" s="335"/>
    </row>
    <row r="787" spans="1:15" ht="12" customHeight="1">
      <c r="A787" s="228">
        <v>784</v>
      </c>
      <c r="B787" s="245" t="s">
        <v>346</v>
      </c>
      <c r="C787" s="265">
        <v>40102</v>
      </c>
      <c r="D787" s="344" t="s">
        <v>320</v>
      </c>
      <c r="E787" s="276">
        <v>99</v>
      </c>
      <c r="F787" s="276">
        <v>1</v>
      </c>
      <c r="G787" s="276">
        <v>32</v>
      </c>
      <c r="H787" s="263">
        <v>609</v>
      </c>
      <c r="I787" s="258">
        <v>280</v>
      </c>
      <c r="J787" s="269">
        <f t="shared" si="68"/>
        <v>280</v>
      </c>
      <c r="K787" s="270">
        <f>+H787/I787</f>
        <v>2.175</v>
      </c>
      <c r="L787" s="271">
        <v>2619061</v>
      </c>
      <c r="M787" s="269">
        <v>284436</v>
      </c>
      <c r="N787" s="272">
        <f>+L787/M787</f>
        <v>9.20790968794386</v>
      </c>
      <c r="O787" s="256">
        <v>1</v>
      </c>
    </row>
    <row r="788" spans="1:15" ht="12" customHeight="1">
      <c r="A788" s="228">
        <v>785</v>
      </c>
      <c r="B788" s="245" t="s">
        <v>346</v>
      </c>
      <c r="C788" s="246">
        <v>40102</v>
      </c>
      <c r="D788" s="247" t="s">
        <v>320</v>
      </c>
      <c r="E788" s="248">
        <v>99</v>
      </c>
      <c r="F788" s="248">
        <v>1</v>
      </c>
      <c r="G788" s="248">
        <v>33</v>
      </c>
      <c r="H788" s="249">
        <v>608</v>
      </c>
      <c r="I788" s="250">
        <v>280</v>
      </c>
      <c r="J788" s="251">
        <f t="shared" si="68"/>
        <v>280</v>
      </c>
      <c r="K788" s="252">
        <f>+H788/I788</f>
        <v>2.1714285714285713</v>
      </c>
      <c r="L788" s="253">
        <v>2619669</v>
      </c>
      <c r="M788" s="254">
        <v>284716</v>
      </c>
      <c r="N788" s="255">
        <f>+L788/M788</f>
        <v>9.200989758215204</v>
      </c>
      <c r="O788" s="262">
        <v>1</v>
      </c>
    </row>
    <row r="789" spans="1:15" ht="12" customHeight="1">
      <c r="A789" s="228">
        <v>786</v>
      </c>
      <c r="B789" s="245" t="s">
        <v>346</v>
      </c>
      <c r="C789" s="246">
        <v>40102</v>
      </c>
      <c r="D789" s="247" t="s">
        <v>320</v>
      </c>
      <c r="E789" s="248">
        <v>99</v>
      </c>
      <c r="F789" s="248">
        <v>1</v>
      </c>
      <c r="G789" s="248">
        <v>40</v>
      </c>
      <c r="H789" s="249">
        <v>459</v>
      </c>
      <c r="I789" s="250">
        <v>51</v>
      </c>
      <c r="J789" s="251">
        <v>51</v>
      </c>
      <c r="K789" s="260">
        <v>9</v>
      </c>
      <c r="L789" s="253">
        <v>2620813</v>
      </c>
      <c r="M789" s="254">
        <v>284904</v>
      </c>
      <c r="N789" s="255">
        <v>9.198933675904867</v>
      </c>
      <c r="O789" s="338">
        <v>1</v>
      </c>
    </row>
    <row r="790" spans="1:15" ht="12" customHeight="1">
      <c r="A790" s="228">
        <v>787</v>
      </c>
      <c r="B790" s="281" t="s">
        <v>229</v>
      </c>
      <c r="C790" s="265">
        <v>40095</v>
      </c>
      <c r="D790" s="275" t="s">
        <v>322</v>
      </c>
      <c r="E790" s="276">
        <v>52</v>
      </c>
      <c r="F790" s="276">
        <v>2</v>
      </c>
      <c r="G790" s="276">
        <v>8</v>
      </c>
      <c r="H790" s="263">
        <v>2968</v>
      </c>
      <c r="I790" s="258">
        <v>742</v>
      </c>
      <c r="J790" s="259">
        <f>(I790/F790)</f>
        <v>371</v>
      </c>
      <c r="K790" s="260">
        <f>H790/I790</f>
        <v>4</v>
      </c>
      <c r="L790" s="264">
        <f>108013.25+68864+27976+10214+2402+2209+1188+2968</f>
        <v>223834.25</v>
      </c>
      <c r="M790" s="261">
        <f>12202+8144+4339+1841+481+460+297+742</f>
        <v>28506</v>
      </c>
      <c r="N790" s="272">
        <f>L791/M791</f>
        <v>7.661998666444407</v>
      </c>
      <c r="O790" s="341">
        <v>1</v>
      </c>
    </row>
    <row r="791" spans="1:15" ht="12" customHeight="1">
      <c r="A791" s="228">
        <v>788</v>
      </c>
      <c r="B791" s="281" t="s">
        <v>229</v>
      </c>
      <c r="C791" s="265">
        <v>40095</v>
      </c>
      <c r="D791" s="275" t="s">
        <v>322</v>
      </c>
      <c r="E791" s="287">
        <v>52</v>
      </c>
      <c r="F791" s="287">
        <v>1</v>
      </c>
      <c r="G791" s="287">
        <v>11</v>
      </c>
      <c r="H791" s="288">
        <v>2427.4</v>
      </c>
      <c r="I791" s="289">
        <v>599</v>
      </c>
      <c r="J791" s="283">
        <f>I791/F791</f>
        <v>599</v>
      </c>
      <c r="K791" s="285">
        <f>+H791/I791</f>
        <v>4.052420701168614</v>
      </c>
      <c r="L791" s="284">
        <f>108013.25+68864+27976+10214+2402+2209+1188+2968+1780+1780+2427.4</f>
        <v>229821.65</v>
      </c>
      <c r="M791" s="283">
        <f>12202+8144+4339+1841+481+460+297+742+445+445+599</f>
        <v>29995</v>
      </c>
      <c r="N791" s="290">
        <f>+L791/M791</f>
        <v>7.661998666444407</v>
      </c>
      <c r="O791" s="262">
        <v>1</v>
      </c>
    </row>
    <row r="792" spans="1:15" ht="12" customHeight="1">
      <c r="A792" s="228">
        <v>789</v>
      </c>
      <c r="B792" s="245" t="s">
        <v>230</v>
      </c>
      <c r="C792" s="265">
        <v>40095</v>
      </c>
      <c r="D792" s="275" t="s">
        <v>322</v>
      </c>
      <c r="E792" s="276">
        <v>52</v>
      </c>
      <c r="F792" s="276">
        <v>1</v>
      </c>
      <c r="G792" s="276">
        <v>14</v>
      </c>
      <c r="H792" s="263">
        <v>1780</v>
      </c>
      <c r="I792" s="258">
        <v>445</v>
      </c>
      <c r="J792" s="269">
        <f aca="true" t="shared" si="69" ref="J792:J797">(I792/F792)</f>
        <v>445</v>
      </c>
      <c r="K792" s="270">
        <f aca="true" t="shared" si="70" ref="K792:K797">H792/I792</f>
        <v>4</v>
      </c>
      <c r="L792" s="271">
        <f>108013.25+68864+27976+10214+2402+2209+1188+2968+1780+1780+2427.4+364.82+248.58+1780</f>
        <v>232215.05</v>
      </c>
      <c r="M792" s="269">
        <f>12202+8144+4339+1841+481+460+297+742+445+445+599+87+57+445</f>
        <v>30584</v>
      </c>
      <c r="N792" s="272">
        <f>L792/M792</f>
        <v>7.592697161914726</v>
      </c>
      <c r="O792" s="244">
        <v>1</v>
      </c>
    </row>
    <row r="793" spans="1:15" ht="12" customHeight="1">
      <c r="A793" s="228">
        <v>790</v>
      </c>
      <c r="B793" s="281" t="s">
        <v>229</v>
      </c>
      <c r="C793" s="308">
        <v>40095</v>
      </c>
      <c r="D793" s="275" t="s">
        <v>322</v>
      </c>
      <c r="E793" s="287">
        <v>52</v>
      </c>
      <c r="F793" s="287">
        <v>1</v>
      </c>
      <c r="G793" s="287">
        <v>10</v>
      </c>
      <c r="H793" s="288">
        <v>1780</v>
      </c>
      <c r="I793" s="289">
        <v>445</v>
      </c>
      <c r="J793" s="283">
        <f t="shared" si="69"/>
        <v>445</v>
      </c>
      <c r="K793" s="285">
        <f t="shared" si="70"/>
        <v>4</v>
      </c>
      <c r="L793" s="284">
        <f>108013.25+68864+27976+10214+2402+2209+1188+2968+1780+1780</f>
        <v>227394.25</v>
      </c>
      <c r="M793" s="283">
        <f>12202+8144+4339+1841+481+460+297+742+445+445</f>
        <v>29396</v>
      </c>
      <c r="N793" s="255">
        <f>L794/M794</f>
        <v>7.792969154778764</v>
      </c>
      <c r="O793" s="262">
        <v>1</v>
      </c>
    </row>
    <row r="794" spans="1:15" ht="12" customHeight="1">
      <c r="A794" s="228">
        <v>791</v>
      </c>
      <c r="B794" s="281" t="s">
        <v>229</v>
      </c>
      <c r="C794" s="265">
        <v>40095</v>
      </c>
      <c r="D794" s="275" t="s">
        <v>322</v>
      </c>
      <c r="E794" s="276">
        <v>52</v>
      </c>
      <c r="F794" s="276">
        <v>1</v>
      </c>
      <c r="G794" s="276">
        <v>9</v>
      </c>
      <c r="H794" s="280">
        <v>1780</v>
      </c>
      <c r="I794" s="282">
        <v>445</v>
      </c>
      <c r="J794" s="283">
        <f t="shared" si="69"/>
        <v>445</v>
      </c>
      <c r="K794" s="285">
        <f t="shared" si="70"/>
        <v>4</v>
      </c>
      <c r="L794" s="284">
        <f>108013.25+68864+27976+10214+2402+2209+1188+2968+1780</f>
        <v>225614.25</v>
      </c>
      <c r="M794" s="283">
        <f>12202+8144+4339+1841+481+460+297+742+445</f>
        <v>28951</v>
      </c>
      <c r="N794" s="255">
        <f>IF(L795&lt;&gt;0,L795/M795,"")</f>
        <v>7.955130744849446</v>
      </c>
      <c r="O794" s="274">
        <v>1</v>
      </c>
    </row>
    <row r="795" spans="1:15" ht="12" customHeight="1">
      <c r="A795" s="228">
        <v>792</v>
      </c>
      <c r="B795" s="281" t="s">
        <v>229</v>
      </c>
      <c r="C795" s="265">
        <v>40095</v>
      </c>
      <c r="D795" s="275" t="s">
        <v>322</v>
      </c>
      <c r="E795" s="276">
        <v>52</v>
      </c>
      <c r="F795" s="276">
        <v>1</v>
      </c>
      <c r="G795" s="276">
        <v>7</v>
      </c>
      <c r="H795" s="249">
        <v>1188</v>
      </c>
      <c r="I795" s="258">
        <v>297</v>
      </c>
      <c r="J795" s="259">
        <f t="shared" si="69"/>
        <v>297</v>
      </c>
      <c r="K795" s="260">
        <f t="shared" si="70"/>
        <v>4</v>
      </c>
      <c r="L795" s="253">
        <f>108013.25+68864+27976+10214+2402+2209+1188</f>
        <v>220866.25</v>
      </c>
      <c r="M795" s="261">
        <f>12202+8144+4339+1841+481+460+297</f>
        <v>27764</v>
      </c>
      <c r="N795" s="255">
        <f>L796/M796</f>
        <v>7.651966956984243</v>
      </c>
      <c r="O795" s="262">
        <v>1</v>
      </c>
    </row>
    <row r="796" spans="1:15" ht="12" customHeight="1">
      <c r="A796" s="228">
        <v>793</v>
      </c>
      <c r="B796" s="245" t="s">
        <v>229</v>
      </c>
      <c r="C796" s="265">
        <v>40095</v>
      </c>
      <c r="D796" s="275" t="s">
        <v>322</v>
      </c>
      <c r="E796" s="287">
        <v>52</v>
      </c>
      <c r="F796" s="287">
        <v>1</v>
      </c>
      <c r="G796" s="287">
        <v>12</v>
      </c>
      <c r="H796" s="288">
        <v>364.82</v>
      </c>
      <c r="I796" s="289">
        <v>87</v>
      </c>
      <c r="J796" s="283">
        <f t="shared" si="69"/>
        <v>87</v>
      </c>
      <c r="K796" s="285">
        <f t="shared" si="70"/>
        <v>4.193333333333333</v>
      </c>
      <c r="L796" s="284">
        <f>108013.25+68864+27976+10214+2402+2209+1188+2968+1780+1780+2427.4+364.82</f>
        <v>230186.47</v>
      </c>
      <c r="M796" s="283">
        <f>12202+8144+4339+1841+481+460+297+742+445+445+599+87</f>
        <v>30082</v>
      </c>
      <c r="N796" s="290">
        <f>L796/M796</f>
        <v>7.651966956984243</v>
      </c>
      <c r="O796" s="262">
        <v>1</v>
      </c>
    </row>
    <row r="797" spans="1:15" ht="12" customHeight="1">
      <c r="A797" s="228">
        <v>794</v>
      </c>
      <c r="B797" s="245" t="s">
        <v>229</v>
      </c>
      <c r="C797" s="265">
        <v>40095</v>
      </c>
      <c r="D797" s="275" t="s">
        <v>322</v>
      </c>
      <c r="E797" s="287">
        <v>52</v>
      </c>
      <c r="F797" s="287">
        <v>1</v>
      </c>
      <c r="G797" s="287">
        <v>13</v>
      </c>
      <c r="H797" s="288">
        <v>248.58</v>
      </c>
      <c r="I797" s="326">
        <v>57</v>
      </c>
      <c r="J797" s="269">
        <f t="shared" si="69"/>
        <v>57</v>
      </c>
      <c r="K797" s="270">
        <f t="shared" si="70"/>
        <v>4.361052631578947</v>
      </c>
      <c r="L797" s="271">
        <f>108013.25+68864+27976+10214+2402+2209+1188+2968+1780+1780+2427.4+364.82+248.58</f>
        <v>230435.05</v>
      </c>
      <c r="M797" s="269">
        <f>12202+8144+4339+1841+481+460+297+742+445+445+599+87+57</f>
        <v>30139</v>
      </c>
      <c r="N797" s="272">
        <f>L797/M797</f>
        <v>7.645743057168453</v>
      </c>
      <c r="O797" s="340">
        <v>1</v>
      </c>
    </row>
    <row r="798" spans="1:15" ht="12" customHeight="1">
      <c r="A798" s="228">
        <v>795</v>
      </c>
      <c r="B798" s="281" t="s">
        <v>231</v>
      </c>
      <c r="C798" s="265">
        <v>39822</v>
      </c>
      <c r="D798" s="266" t="s">
        <v>418</v>
      </c>
      <c r="E798" s="276">
        <v>175</v>
      </c>
      <c r="F798" s="276">
        <v>1</v>
      </c>
      <c r="G798" s="276">
        <v>25</v>
      </c>
      <c r="H798" s="263">
        <v>30203</v>
      </c>
      <c r="I798" s="258">
        <v>6041</v>
      </c>
      <c r="J798" s="259">
        <f>IF(H798&lt;&gt;0,I798/F798,"")</f>
        <v>6041</v>
      </c>
      <c r="K798" s="260">
        <f>IF(H798&lt;&gt;0,H798/I798,"")</f>
        <v>4.999668928985267</v>
      </c>
      <c r="L798" s="264">
        <v>3549661</v>
      </c>
      <c r="M798" s="261">
        <v>486849</v>
      </c>
      <c r="N798" s="272">
        <f>IF(L799&lt;&gt;0,L799/M799,"")</f>
        <v>7.285740047419102</v>
      </c>
      <c r="O798" s="274">
        <v>1</v>
      </c>
    </row>
    <row r="799" spans="1:15" ht="12" customHeight="1">
      <c r="A799" s="228">
        <v>796</v>
      </c>
      <c r="B799" s="281" t="s">
        <v>232</v>
      </c>
      <c r="C799" s="265">
        <v>39822</v>
      </c>
      <c r="D799" s="286" t="s">
        <v>418</v>
      </c>
      <c r="E799" s="276">
        <v>175</v>
      </c>
      <c r="F799" s="276">
        <v>1</v>
      </c>
      <c r="G799" s="276">
        <v>26</v>
      </c>
      <c r="H799" s="280">
        <v>5700</v>
      </c>
      <c r="I799" s="282">
        <v>1140</v>
      </c>
      <c r="J799" s="283">
        <f>IF(H799&lt;&gt;0,I799/F799,"")</f>
        <v>1140</v>
      </c>
      <c r="K799" s="285">
        <f>IF(H799&lt;&gt;0,H799/I799,"")</f>
        <v>5</v>
      </c>
      <c r="L799" s="284">
        <v>3555361</v>
      </c>
      <c r="M799" s="283">
        <v>487989</v>
      </c>
      <c r="N799" s="349">
        <f>+L800/M800</f>
        <v>7.282108411796238</v>
      </c>
      <c r="O799" s="262"/>
    </row>
    <row r="800" spans="1:15" ht="12" customHeight="1">
      <c r="A800" s="228">
        <v>797</v>
      </c>
      <c r="B800" s="245" t="s">
        <v>231</v>
      </c>
      <c r="C800" s="265">
        <v>39822</v>
      </c>
      <c r="D800" s="275" t="s">
        <v>418</v>
      </c>
      <c r="E800" s="276">
        <v>175</v>
      </c>
      <c r="F800" s="276">
        <v>1</v>
      </c>
      <c r="G800" s="276">
        <v>28</v>
      </c>
      <c r="H800" s="280">
        <v>2376</v>
      </c>
      <c r="I800" s="268">
        <v>475</v>
      </c>
      <c r="J800" s="269">
        <f>I800/F800</f>
        <v>475</v>
      </c>
      <c r="K800" s="270">
        <f>H800/I800</f>
        <v>5.002105263157895</v>
      </c>
      <c r="L800" s="271">
        <v>3559247</v>
      </c>
      <c r="M800" s="269">
        <v>488766</v>
      </c>
      <c r="N800" s="272">
        <f>+L800/M800</f>
        <v>7.282108411796238</v>
      </c>
      <c r="O800" s="244">
        <v>1</v>
      </c>
    </row>
    <row r="801" spans="1:15" ht="12" customHeight="1">
      <c r="A801" s="228">
        <v>798</v>
      </c>
      <c r="B801" s="245" t="s">
        <v>231</v>
      </c>
      <c r="C801" s="265">
        <v>39822</v>
      </c>
      <c r="D801" s="336" t="s">
        <v>418</v>
      </c>
      <c r="E801" s="287">
        <v>175</v>
      </c>
      <c r="F801" s="287">
        <v>1</v>
      </c>
      <c r="G801" s="287">
        <v>27</v>
      </c>
      <c r="H801" s="288">
        <v>1510</v>
      </c>
      <c r="I801" s="326">
        <v>302</v>
      </c>
      <c r="J801" s="269">
        <f>IF(H801&lt;&gt;0,I801/F801,"")</f>
        <v>302</v>
      </c>
      <c r="K801" s="270">
        <f>IF(H801&lt;&gt;0,H801/I801,"")</f>
        <v>5</v>
      </c>
      <c r="L801" s="271">
        <v>3556871</v>
      </c>
      <c r="M801" s="269">
        <v>488291</v>
      </c>
      <c r="N801" s="272">
        <f>IF(L801&lt;&gt;0,L801/M801,"")</f>
        <v>7.284326354571352</v>
      </c>
      <c r="O801" s="262">
        <v>1</v>
      </c>
    </row>
    <row r="802" spans="1:15" ht="12" customHeight="1">
      <c r="A802" s="228">
        <v>799</v>
      </c>
      <c r="B802" s="245" t="s">
        <v>279</v>
      </c>
      <c r="C802" s="246">
        <v>39843</v>
      </c>
      <c r="D802" s="247" t="s">
        <v>334</v>
      </c>
      <c r="E802" s="248">
        <v>80</v>
      </c>
      <c r="F802" s="248">
        <v>1</v>
      </c>
      <c r="G802" s="248">
        <v>19</v>
      </c>
      <c r="H802" s="249">
        <v>2376</v>
      </c>
      <c r="I802" s="250">
        <v>594</v>
      </c>
      <c r="J802" s="251">
        <f aca="true" t="shared" si="71" ref="J802:J807">I802/F802</f>
        <v>594</v>
      </c>
      <c r="K802" s="260">
        <f>H802/I802</f>
        <v>4</v>
      </c>
      <c r="L802" s="253">
        <f>667928.5+422494.5+139288+71324.5+23049.5+32432+3540.5+7287+4043+3439+1920+354+1623+2298+1780+163+2200+1276.5+2376</f>
        <v>1388817</v>
      </c>
      <c r="M802" s="254">
        <f>67031+44640+16046+10311+3717+6651+677+1565+893+611+318+68+399+572+445+33+509+98+594</f>
        <v>155178</v>
      </c>
      <c r="N802" s="255">
        <f>+L802/M802</f>
        <v>8.949831806054982</v>
      </c>
      <c r="O802" s="256">
        <v>1</v>
      </c>
    </row>
    <row r="803" spans="1:15" ht="12" customHeight="1">
      <c r="A803" s="228">
        <v>800</v>
      </c>
      <c r="B803" s="350" t="s">
        <v>233</v>
      </c>
      <c r="C803" s="351">
        <v>40165</v>
      </c>
      <c r="D803" s="344" t="s">
        <v>320</v>
      </c>
      <c r="E803" s="352">
        <v>109</v>
      </c>
      <c r="F803" s="352">
        <v>70</v>
      </c>
      <c r="G803" s="352">
        <v>3</v>
      </c>
      <c r="H803" s="353">
        <v>175077</v>
      </c>
      <c r="I803" s="354">
        <v>16879</v>
      </c>
      <c r="J803" s="355">
        <f t="shared" si="71"/>
        <v>241.12857142857143</v>
      </c>
      <c r="K803" s="356">
        <f>+H803/I803</f>
        <v>10.372474672670181</v>
      </c>
      <c r="L803" s="357">
        <v>1207284</v>
      </c>
      <c r="M803" s="355">
        <v>120991</v>
      </c>
      <c r="N803" s="272">
        <f>+L804/M804</f>
        <v>9.946799536427497</v>
      </c>
      <c r="O803" s="341">
        <v>1</v>
      </c>
    </row>
    <row r="804" spans="1:15" ht="12" customHeight="1">
      <c r="A804" s="228">
        <v>801</v>
      </c>
      <c r="B804" s="281" t="s">
        <v>234</v>
      </c>
      <c r="C804" s="265">
        <v>40165</v>
      </c>
      <c r="D804" s="344" t="s">
        <v>320</v>
      </c>
      <c r="E804" s="276">
        <v>109</v>
      </c>
      <c r="F804" s="276">
        <v>39</v>
      </c>
      <c r="G804" s="276">
        <v>4</v>
      </c>
      <c r="H804" s="280">
        <v>54378</v>
      </c>
      <c r="I804" s="282">
        <v>5850</v>
      </c>
      <c r="J804" s="283">
        <f t="shared" si="71"/>
        <v>150</v>
      </c>
      <c r="K804" s="285">
        <f>+H804/I804</f>
        <v>9.295384615384615</v>
      </c>
      <c r="L804" s="284">
        <v>1261662</v>
      </c>
      <c r="M804" s="283">
        <v>126841</v>
      </c>
      <c r="N804" s="272">
        <f>+L805/M805</f>
        <v>9.838538139506248</v>
      </c>
      <c r="O804" s="262">
        <v>1</v>
      </c>
    </row>
    <row r="805" spans="1:15" ht="12" customHeight="1">
      <c r="A805" s="228">
        <v>802</v>
      </c>
      <c r="B805" s="281" t="s">
        <v>234</v>
      </c>
      <c r="C805" s="265">
        <v>40165</v>
      </c>
      <c r="D805" s="344" t="s">
        <v>320</v>
      </c>
      <c r="E805" s="276">
        <v>109</v>
      </c>
      <c r="F805" s="276">
        <v>19</v>
      </c>
      <c r="G805" s="276">
        <v>5</v>
      </c>
      <c r="H805" s="280">
        <v>16797</v>
      </c>
      <c r="I805" s="268">
        <v>3103</v>
      </c>
      <c r="J805" s="269">
        <f t="shared" si="71"/>
        <v>163.31578947368422</v>
      </c>
      <c r="K805" s="270">
        <f>+H805/I805</f>
        <v>5.413148565903964</v>
      </c>
      <c r="L805" s="284">
        <v>1278459</v>
      </c>
      <c r="M805" s="269">
        <v>129944</v>
      </c>
      <c r="N805" s="272">
        <f>+L806/M806</f>
        <v>9.81528511652057</v>
      </c>
      <c r="O805" s="262">
        <v>1</v>
      </c>
    </row>
    <row r="806" spans="1:15" ht="12" customHeight="1">
      <c r="A806" s="228">
        <v>803</v>
      </c>
      <c r="B806" s="281" t="s">
        <v>234</v>
      </c>
      <c r="C806" s="265">
        <v>40165</v>
      </c>
      <c r="D806" s="344" t="s">
        <v>320</v>
      </c>
      <c r="E806" s="276">
        <v>109</v>
      </c>
      <c r="F806" s="276">
        <v>3</v>
      </c>
      <c r="G806" s="276">
        <v>7</v>
      </c>
      <c r="H806" s="267">
        <v>3736</v>
      </c>
      <c r="I806" s="268">
        <v>537</v>
      </c>
      <c r="J806" s="269">
        <f t="shared" si="71"/>
        <v>179</v>
      </c>
      <c r="K806" s="270">
        <f>+H806/I806</f>
        <v>6.957169459962756</v>
      </c>
      <c r="L806" s="271">
        <v>1285449</v>
      </c>
      <c r="M806" s="269">
        <v>130964</v>
      </c>
      <c r="N806" s="272">
        <f>+L807/M807</f>
        <v>9.827052680809954</v>
      </c>
      <c r="O806" s="262">
        <v>1</v>
      </c>
    </row>
    <row r="807" spans="1:15" ht="12" customHeight="1">
      <c r="A807" s="228">
        <v>804</v>
      </c>
      <c r="B807" s="281" t="s">
        <v>234</v>
      </c>
      <c r="C807" s="265">
        <v>40165</v>
      </c>
      <c r="D807" s="344" t="s">
        <v>320</v>
      </c>
      <c r="E807" s="276">
        <v>109</v>
      </c>
      <c r="F807" s="276">
        <v>5</v>
      </c>
      <c r="G807" s="276">
        <v>6</v>
      </c>
      <c r="H807" s="267">
        <v>3254</v>
      </c>
      <c r="I807" s="268">
        <v>483</v>
      </c>
      <c r="J807" s="269">
        <f t="shared" si="71"/>
        <v>96.6</v>
      </c>
      <c r="K807" s="270">
        <f>+H807/I807</f>
        <v>6.737060041407868</v>
      </c>
      <c r="L807" s="271">
        <v>1281713</v>
      </c>
      <c r="M807" s="269">
        <v>130427</v>
      </c>
      <c r="N807" s="272">
        <f>L808/M808</f>
        <v>9.811742635115039</v>
      </c>
      <c r="O807" s="262">
        <v>1</v>
      </c>
    </row>
    <row r="808" spans="1:15" ht="12" customHeight="1">
      <c r="A808" s="228">
        <v>805</v>
      </c>
      <c r="B808" s="281" t="s">
        <v>234</v>
      </c>
      <c r="C808" s="265">
        <v>40165</v>
      </c>
      <c r="D808" s="344" t="s">
        <v>320</v>
      </c>
      <c r="E808" s="276">
        <v>109</v>
      </c>
      <c r="F808" s="276">
        <v>1</v>
      </c>
      <c r="G808" s="276">
        <v>8</v>
      </c>
      <c r="H808" s="267">
        <v>1155</v>
      </c>
      <c r="I808" s="268">
        <v>165</v>
      </c>
      <c r="J808" s="269">
        <f>(I808/F808)</f>
        <v>165</v>
      </c>
      <c r="K808" s="270">
        <f>(J808/G808)</f>
        <v>20.625</v>
      </c>
      <c r="L808" s="271">
        <v>1286604</v>
      </c>
      <c r="M808" s="269">
        <v>131129</v>
      </c>
      <c r="N808" s="272">
        <f>+L809/M809</f>
        <v>9.806134483834395</v>
      </c>
      <c r="O808" s="262">
        <v>1</v>
      </c>
    </row>
    <row r="809" spans="1:15" ht="12" customHeight="1">
      <c r="A809" s="228">
        <v>806</v>
      </c>
      <c r="B809" s="245" t="s">
        <v>233</v>
      </c>
      <c r="C809" s="265">
        <v>40165</v>
      </c>
      <c r="D809" s="344" t="s">
        <v>320</v>
      </c>
      <c r="E809" s="276">
        <v>109</v>
      </c>
      <c r="F809" s="276">
        <v>1</v>
      </c>
      <c r="G809" s="287">
        <v>17</v>
      </c>
      <c r="H809" s="288">
        <v>1028</v>
      </c>
      <c r="I809" s="289">
        <v>139</v>
      </c>
      <c r="J809" s="283">
        <f>I809/F809</f>
        <v>139</v>
      </c>
      <c r="K809" s="285">
        <f>H809/I809</f>
        <v>7.39568345323741</v>
      </c>
      <c r="L809" s="284">
        <v>1288732</v>
      </c>
      <c r="M809" s="283">
        <v>131421</v>
      </c>
      <c r="N809" s="290">
        <f>+L809/M809</f>
        <v>9.806134483834395</v>
      </c>
      <c r="O809" s="340"/>
    </row>
    <row r="810" spans="1:15" ht="12" customHeight="1">
      <c r="A810" s="228">
        <v>807</v>
      </c>
      <c r="B810" s="281" t="s">
        <v>234</v>
      </c>
      <c r="C810" s="265">
        <v>40165</v>
      </c>
      <c r="D810" s="344" t="s">
        <v>320</v>
      </c>
      <c r="E810" s="276">
        <v>109</v>
      </c>
      <c r="F810" s="276">
        <v>1</v>
      </c>
      <c r="G810" s="276">
        <v>9</v>
      </c>
      <c r="H810" s="280">
        <v>749</v>
      </c>
      <c r="I810" s="282">
        <v>107</v>
      </c>
      <c r="J810" s="283">
        <f>I810/F810</f>
        <v>107</v>
      </c>
      <c r="K810" s="285">
        <f>+H810/I810</f>
        <v>7</v>
      </c>
      <c r="L810" s="284">
        <v>1287353</v>
      </c>
      <c r="M810" s="283">
        <v>131236</v>
      </c>
      <c r="N810" s="272">
        <f>+L811/M811</f>
        <v>9.808508531383303</v>
      </c>
      <c r="O810" s="274"/>
    </row>
    <row r="811" spans="1:15" ht="12" customHeight="1">
      <c r="A811" s="228">
        <v>808</v>
      </c>
      <c r="B811" s="281" t="s">
        <v>234</v>
      </c>
      <c r="C811" s="265">
        <v>40165</v>
      </c>
      <c r="D811" s="344" t="s">
        <v>320</v>
      </c>
      <c r="E811" s="276">
        <v>109</v>
      </c>
      <c r="F811" s="276">
        <v>1</v>
      </c>
      <c r="G811" s="276">
        <v>10</v>
      </c>
      <c r="H811" s="280">
        <v>308</v>
      </c>
      <c r="I811" s="282">
        <v>44</v>
      </c>
      <c r="J811" s="283">
        <f>I811/F811</f>
        <v>44</v>
      </c>
      <c r="K811" s="285">
        <f aca="true" t="shared" si="72" ref="K811:K817">H811/I811</f>
        <v>7</v>
      </c>
      <c r="L811" s="284">
        <v>1287661</v>
      </c>
      <c r="M811" s="283">
        <v>131280</v>
      </c>
      <c r="N811" s="255">
        <f>L812/M812</f>
        <v>8.045067610173055</v>
      </c>
      <c r="O811" s="262"/>
    </row>
    <row r="812" spans="1:15" ht="12" customHeight="1">
      <c r="A812" s="228">
        <v>809</v>
      </c>
      <c r="B812" s="325" t="s">
        <v>474</v>
      </c>
      <c r="C812" s="265">
        <v>40046</v>
      </c>
      <c r="D812" s="275" t="s">
        <v>322</v>
      </c>
      <c r="E812" s="276">
        <v>5</v>
      </c>
      <c r="F812" s="276">
        <v>1</v>
      </c>
      <c r="G812" s="276">
        <v>23</v>
      </c>
      <c r="H812" s="263">
        <v>1125</v>
      </c>
      <c r="I812" s="258">
        <v>180</v>
      </c>
      <c r="J812" s="259">
        <f aca="true" t="shared" si="73" ref="J812:J819">(I812/F812)</f>
        <v>180</v>
      </c>
      <c r="K812" s="260">
        <f t="shared" si="72"/>
        <v>6.25</v>
      </c>
      <c r="L812" s="264">
        <f>29266.75+13116.25+9279.25+8463+18147.5+3121+4110+6763+926+5173.5+9461.5+192+486+2002+382+72+487.5+555+468+186+222+822+1125</f>
        <v>114827.25</v>
      </c>
      <c r="M812" s="261">
        <f>2425+1257+1223+1013+2360+455+662+1253+138+745+1554+44+79+353+69+18+78+90+76+31+37+133+180</f>
        <v>14273</v>
      </c>
      <c r="N812" s="255">
        <f>L812/M812</f>
        <v>8.045067610173055</v>
      </c>
      <c r="O812" s="262"/>
    </row>
    <row r="813" spans="1:15" ht="12" customHeight="1">
      <c r="A813" s="228">
        <v>810</v>
      </c>
      <c r="B813" s="304" t="s">
        <v>474</v>
      </c>
      <c r="C813" s="265">
        <v>40046</v>
      </c>
      <c r="D813" s="275" t="s">
        <v>322</v>
      </c>
      <c r="E813" s="287">
        <v>5</v>
      </c>
      <c r="F813" s="287">
        <v>1</v>
      </c>
      <c r="G813" s="287">
        <v>22</v>
      </c>
      <c r="H813" s="288">
        <v>822</v>
      </c>
      <c r="I813" s="326">
        <v>133</v>
      </c>
      <c r="J813" s="269">
        <f t="shared" si="73"/>
        <v>133</v>
      </c>
      <c r="K813" s="270">
        <f t="shared" si="72"/>
        <v>6.180451127819549</v>
      </c>
      <c r="L813" s="271">
        <f>29266.75+13116.25+9279.25+8463+18147.5+3121+4110+6763+926+5173.5+9461.5+192+486+2002+382+72+487.5+555+468+186+222+822</f>
        <v>113702.25</v>
      </c>
      <c r="M813" s="269">
        <f>2425+1257+1223+1013+2360+455+662+1253+138+745+1554+44+79+353+69+18+78+90+76+31+37+133</f>
        <v>14093</v>
      </c>
      <c r="N813" s="272">
        <f>L813/M813</f>
        <v>8.067994749166253</v>
      </c>
      <c r="O813" s="262"/>
    </row>
    <row r="814" spans="1:15" ht="12" customHeight="1">
      <c r="A814" s="228">
        <v>811</v>
      </c>
      <c r="B814" s="304" t="s">
        <v>474</v>
      </c>
      <c r="C814" s="305">
        <v>40046</v>
      </c>
      <c r="D814" s="275" t="s">
        <v>322</v>
      </c>
      <c r="E814" s="306">
        <v>5</v>
      </c>
      <c r="F814" s="306">
        <v>1</v>
      </c>
      <c r="G814" s="306">
        <v>18</v>
      </c>
      <c r="H814" s="249">
        <v>555</v>
      </c>
      <c r="I814" s="258">
        <v>90</v>
      </c>
      <c r="J814" s="259">
        <f t="shared" si="73"/>
        <v>90</v>
      </c>
      <c r="K814" s="260">
        <f t="shared" si="72"/>
        <v>6.166666666666667</v>
      </c>
      <c r="L814" s="253">
        <f>29266.75+13116.25+9279.25+8463+18147.5+3121+4110+6763+926+5173.5+9461.5+192+486+2002+382+72+487.5+555</f>
        <v>112004.25</v>
      </c>
      <c r="M814" s="261">
        <f>2425+1257+1223+1013+2360+455+662+1253+138+745+1554+44+79+353+69+18+78+90</f>
        <v>13816</v>
      </c>
      <c r="N814" s="255">
        <f>L815/M815</f>
        <v>8.119572344455777</v>
      </c>
      <c r="O814" s="262"/>
    </row>
    <row r="815" spans="1:15" ht="12" customHeight="1">
      <c r="A815" s="228">
        <v>812</v>
      </c>
      <c r="B815" s="281" t="s">
        <v>474</v>
      </c>
      <c r="C815" s="265">
        <v>40046</v>
      </c>
      <c r="D815" s="275" t="s">
        <v>322</v>
      </c>
      <c r="E815" s="276">
        <v>5</v>
      </c>
      <c r="F815" s="276">
        <v>1</v>
      </c>
      <c r="G815" s="276">
        <v>17</v>
      </c>
      <c r="H815" s="249">
        <v>487.5</v>
      </c>
      <c r="I815" s="250">
        <v>78</v>
      </c>
      <c r="J815" s="251">
        <f t="shared" si="73"/>
        <v>78</v>
      </c>
      <c r="K815" s="252">
        <f t="shared" si="72"/>
        <v>6.25</v>
      </c>
      <c r="L815" s="253">
        <f>29266.75+13116.25+9279.25+8463+18147.5+3121+4110+6763+926+5173.5+9461.5+192+486+2002+382+72+487.5</f>
        <v>111449.25</v>
      </c>
      <c r="M815" s="254">
        <f>2425+1257+1223+1013+2360+455+662+1253+138+745+1554+44+79+353+69+18+78</f>
        <v>13726</v>
      </c>
      <c r="N815" s="255">
        <f>L816/M816</f>
        <v>8.096188453786352</v>
      </c>
      <c r="O815" s="262"/>
    </row>
    <row r="816" spans="1:15" ht="12" customHeight="1">
      <c r="A816" s="228">
        <v>813</v>
      </c>
      <c r="B816" s="281" t="s">
        <v>474</v>
      </c>
      <c r="C816" s="265">
        <v>40046</v>
      </c>
      <c r="D816" s="275" t="s">
        <v>322</v>
      </c>
      <c r="E816" s="276">
        <v>5</v>
      </c>
      <c r="F816" s="276">
        <v>1</v>
      </c>
      <c r="G816" s="276">
        <v>19</v>
      </c>
      <c r="H816" s="263">
        <v>468</v>
      </c>
      <c r="I816" s="258">
        <v>76</v>
      </c>
      <c r="J816" s="259">
        <f t="shared" si="73"/>
        <v>76</v>
      </c>
      <c r="K816" s="260">
        <f t="shared" si="72"/>
        <v>6.157894736842105</v>
      </c>
      <c r="L816" s="264">
        <f>29266.75+13116.25+9279.25+8463+18147.5+3121+4110+6763+926+5173.5+9461.5+192+486+2002+382+72+487.5+555+468</f>
        <v>112472.25</v>
      </c>
      <c r="M816" s="261">
        <f>2425+1257+1223+1013+2360+455+662+1253+138+745+1554+44+79+353+69+18+78+90+76</f>
        <v>13892</v>
      </c>
      <c r="N816" s="272">
        <f>L817/M817</f>
        <v>8.085977793696275</v>
      </c>
      <c r="O816" s="262"/>
    </row>
    <row r="817" spans="1:15" ht="12" customHeight="1">
      <c r="A817" s="228">
        <v>814</v>
      </c>
      <c r="B817" s="281" t="s">
        <v>474</v>
      </c>
      <c r="C817" s="265">
        <v>40046</v>
      </c>
      <c r="D817" s="275" t="s">
        <v>322</v>
      </c>
      <c r="E817" s="276">
        <v>5</v>
      </c>
      <c r="F817" s="276">
        <v>1</v>
      </c>
      <c r="G817" s="276">
        <v>21</v>
      </c>
      <c r="H817" s="267">
        <v>222</v>
      </c>
      <c r="I817" s="268">
        <v>37</v>
      </c>
      <c r="J817" s="269">
        <f t="shared" si="73"/>
        <v>37</v>
      </c>
      <c r="K817" s="270">
        <f t="shared" si="72"/>
        <v>6</v>
      </c>
      <c r="L817" s="271">
        <f>29266.75+13116.25+9279.25+8463+18147.5+3121+4110+6763+926+5173.5+9461.5+192+486+2002+382+72+487.5+555+468+186+222</f>
        <v>112880.25</v>
      </c>
      <c r="M817" s="269">
        <f>2425+1257+1223+1013+2360+455+662+1253+138+745+1554+44+79+353+69+18+78+90+76+31+37</f>
        <v>13960</v>
      </c>
      <c r="N817" s="255">
        <f>L818/M818</f>
        <v>8.091521223874166</v>
      </c>
      <c r="O817" s="262"/>
    </row>
    <row r="818" spans="1:15" ht="12" customHeight="1">
      <c r="A818" s="228">
        <v>815</v>
      </c>
      <c r="B818" s="304" t="s">
        <v>474</v>
      </c>
      <c r="C818" s="305">
        <v>40046</v>
      </c>
      <c r="D818" s="275" t="s">
        <v>322</v>
      </c>
      <c r="E818" s="306">
        <v>5</v>
      </c>
      <c r="F818" s="306">
        <v>1</v>
      </c>
      <c r="G818" s="306">
        <v>20</v>
      </c>
      <c r="H818" s="263">
        <v>186</v>
      </c>
      <c r="I818" s="258">
        <v>31</v>
      </c>
      <c r="J818" s="259">
        <f t="shared" si="73"/>
        <v>31</v>
      </c>
      <c r="K818" s="270">
        <f>+H818/I818</f>
        <v>6</v>
      </c>
      <c r="L818" s="264">
        <f>29266.75+13116.25+9279.25+8463+18147.5+3121+4110+6763+926+5173.5+9461.5+192+486+2002+382+72+487.5+555+468+186</f>
        <v>112658.25</v>
      </c>
      <c r="M818" s="261">
        <f>2425+1257+1223+1013+2360+455+662+1253+138+745+1554+44+79+353+69+18+78+90+76+31</f>
        <v>13923</v>
      </c>
      <c r="N818" s="255">
        <f>L819/M819</f>
        <v>8.130257180539273</v>
      </c>
      <c r="O818" s="262"/>
    </row>
    <row r="819" spans="1:15" ht="12" customHeight="1">
      <c r="A819" s="228">
        <v>816</v>
      </c>
      <c r="B819" s="281" t="s">
        <v>474</v>
      </c>
      <c r="C819" s="265">
        <v>40046</v>
      </c>
      <c r="D819" s="275" t="s">
        <v>322</v>
      </c>
      <c r="E819" s="276">
        <v>5</v>
      </c>
      <c r="F819" s="276">
        <v>1</v>
      </c>
      <c r="G819" s="276">
        <v>16</v>
      </c>
      <c r="H819" s="249">
        <v>72</v>
      </c>
      <c r="I819" s="250">
        <v>18</v>
      </c>
      <c r="J819" s="251">
        <f t="shared" si="73"/>
        <v>18</v>
      </c>
      <c r="K819" s="260">
        <f>H819/I819</f>
        <v>4</v>
      </c>
      <c r="L819" s="253">
        <f>29266.75+13116.25+9279.25+8463+18147.5+3121+4110+6763+926+5173.5+9461.5+192+486+2002+382+72</f>
        <v>110961.75</v>
      </c>
      <c r="M819" s="254">
        <f>2425+1257+1223+1013+2360+455+662+1253+138+745+1554+44+79+353+69+18</f>
        <v>13648</v>
      </c>
      <c r="N819" s="299">
        <f>IF(L820&lt;&gt;0,L820/M820,"")</f>
        <v>6.606494221243809</v>
      </c>
      <c r="O819" s="262">
        <v>1</v>
      </c>
    </row>
    <row r="820" spans="1:15" ht="12" customHeight="1">
      <c r="A820" s="228">
        <v>817</v>
      </c>
      <c r="B820" s="281" t="s">
        <v>375</v>
      </c>
      <c r="C820" s="265">
        <v>40144</v>
      </c>
      <c r="D820" s="275" t="s">
        <v>376</v>
      </c>
      <c r="E820" s="276">
        <v>2</v>
      </c>
      <c r="F820" s="276">
        <v>1</v>
      </c>
      <c r="G820" s="276">
        <v>3</v>
      </c>
      <c r="H820" s="280">
        <v>6827</v>
      </c>
      <c r="I820" s="282">
        <v>1058</v>
      </c>
      <c r="J820" s="313">
        <f>I820/F820</f>
        <v>1058</v>
      </c>
      <c r="K820" s="318">
        <f>H820/I820</f>
        <v>6.452741020793951</v>
      </c>
      <c r="L820" s="284">
        <v>12004</v>
      </c>
      <c r="M820" s="283">
        <v>1817</v>
      </c>
      <c r="N820" s="299">
        <f>IF(L821&lt;&gt;0,L821/M821,"")</f>
        <v>6.478410206084397</v>
      </c>
      <c r="O820" s="262">
        <v>1</v>
      </c>
    </row>
    <row r="821" spans="1:15" ht="12" customHeight="1">
      <c r="A821" s="228">
        <v>818</v>
      </c>
      <c r="B821" s="281" t="s">
        <v>375</v>
      </c>
      <c r="C821" s="265">
        <v>40144</v>
      </c>
      <c r="D821" s="275" t="s">
        <v>376</v>
      </c>
      <c r="E821" s="276">
        <v>2</v>
      </c>
      <c r="F821" s="276">
        <v>1</v>
      </c>
      <c r="G821" s="276">
        <v>4</v>
      </c>
      <c r="H821" s="280">
        <v>1199</v>
      </c>
      <c r="I821" s="282">
        <v>221</v>
      </c>
      <c r="J821" s="313">
        <f>I821/F821</f>
        <v>221</v>
      </c>
      <c r="K821" s="318">
        <f>H821/I821</f>
        <v>5.425339366515837</v>
      </c>
      <c r="L821" s="284">
        <v>13203</v>
      </c>
      <c r="M821" s="283">
        <v>2038</v>
      </c>
      <c r="N821" s="272">
        <f>+L822/M822</f>
        <v>7.814875111648855</v>
      </c>
      <c r="O821" s="262"/>
    </row>
    <row r="822" spans="1:15" ht="12" customHeight="1">
      <c r="A822" s="228">
        <v>819</v>
      </c>
      <c r="B822" s="245" t="s">
        <v>235</v>
      </c>
      <c r="C822" s="265">
        <v>39731</v>
      </c>
      <c r="D822" s="336" t="s">
        <v>418</v>
      </c>
      <c r="E822" s="287">
        <v>131</v>
      </c>
      <c r="F822" s="287">
        <v>1</v>
      </c>
      <c r="G822" s="287">
        <v>15</v>
      </c>
      <c r="H822" s="288">
        <v>80</v>
      </c>
      <c r="I822" s="289">
        <v>20</v>
      </c>
      <c r="J822" s="283">
        <f>I822/F822</f>
        <v>20</v>
      </c>
      <c r="K822" s="285">
        <f>+H822/I822</f>
        <v>4</v>
      </c>
      <c r="L822" s="284">
        <v>1233664</v>
      </c>
      <c r="M822" s="283">
        <v>157861</v>
      </c>
      <c r="N822" s="290">
        <f>+L822/M822</f>
        <v>7.814875111648855</v>
      </c>
      <c r="O822" s="382"/>
    </row>
    <row r="823" spans="1:15" ht="12" customHeight="1">
      <c r="A823" s="228">
        <v>820</v>
      </c>
      <c r="B823" s="245" t="s">
        <v>235</v>
      </c>
      <c r="C823" s="265">
        <v>39731</v>
      </c>
      <c r="D823" s="336" t="s">
        <v>418</v>
      </c>
      <c r="E823" s="287">
        <v>131</v>
      </c>
      <c r="F823" s="287">
        <v>1</v>
      </c>
      <c r="G823" s="287">
        <v>16</v>
      </c>
      <c r="H823" s="288">
        <v>64</v>
      </c>
      <c r="I823" s="289">
        <v>16</v>
      </c>
      <c r="J823" s="283">
        <f>IF(H823&lt;&gt;0,I823/F823,"")</f>
        <v>16</v>
      </c>
      <c r="K823" s="285">
        <f>IF(H823&lt;&gt;0,H823/I823,"")</f>
        <v>4</v>
      </c>
      <c r="L823" s="284">
        <v>1233728</v>
      </c>
      <c r="M823" s="283">
        <v>157877</v>
      </c>
      <c r="N823" s="290">
        <f>IF(L823&lt;&gt;0,L823/M823,"")</f>
        <v>7.814488494207516</v>
      </c>
      <c r="O823" s="273"/>
    </row>
    <row r="824" spans="1:15" ht="12" customHeight="1">
      <c r="A824" s="228">
        <v>821</v>
      </c>
      <c r="B824" s="324" t="s">
        <v>370</v>
      </c>
      <c r="C824" s="308">
        <v>39717</v>
      </c>
      <c r="D824" s="344" t="s">
        <v>320</v>
      </c>
      <c r="E824" s="287">
        <v>130</v>
      </c>
      <c r="F824" s="287">
        <v>1</v>
      </c>
      <c r="G824" s="287">
        <v>77</v>
      </c>
      <c r="H824" s="288">
        <v>5600</v>
      </c>
      <c r="I824" s="289">
        <v>1400</v>
      </c>
      <c r="J824" s="283">
        <f>I824/F824</f>
        <v>1400</v>
      </c>
      <c r="K824" s="285">
        <f>H824/I824</f>
        <v>4</v>
      </c>
      <c r="L824" s="284">
        <v>1488597</v>
      </c>
      <c r="M824" s="283">
        <v>174447</v>
      </c>
      <c r="N824" s="272">
        <f>+L825/M825</f>
        <v>8.571935349899633</v>
      </c>
      <c r="O824" s="273"/>
    </row>
    <row r="825" spans="1:15" ht="12" customHeight="1">
      <c r="A825" s="228">
        <v>822</v>
      </c>
      <c r="B825" s="281" t="s">
        <v>370</v>
      </c>
      <c r="C825" s="308">
        <v>39717</v>
      </c>
      <c r="D825" s="344" t="s">
        <v>320</v>
      </c>
      <c r="E825" s="287">
        <v>130</v>
      </c>
      <c r="F825" s="287">
        <v>1</v>
      </c>
      <c r="G825" s="287">
        <v>76</v>
      </c>
      <c r="H825" s="288">
        <v>4480</v>
      </c>
      <c r="I825" s="289">
        <v>1120</v>
      </c>
      <c r="J825" s="283">
        <f>I825/F825</f>
        <v>1120</v>
      </c>
      <c r="K825" s="285">
        <f>H825/I825</f>
        <v>4</v>
      </c>
      <c r="L825" s="284">
        <v>1486065</v>
      </c>
      <c r="M825" s="283">
        <v>173364</v>
      </c>
      <c r="N825" s="272">
        <f>+L826/M826</f>
        <v>6.51605334650531</v>
      </c>
      <c r="O825" s="273"/>
    </row>
    <row r="826" spans="1:15" ht="12" customHeight="1">
      <c r="A826" s="228">
        <v>823</v>
      </c>
      <c r="B826" s="245" t="s">
        <v>55</v>
      </c>
      <c r="C826" s="246">
        <v>39850</v>
      </c>
      <c r="D826" s="247" t="s">
        <v>322</v>
      </c>
      <c r="E826" s="257">
        <v>2</v>
      </c>
      <c r="F826" s="257">
        <v>1</v>
      </c>
      <c r="G826" s="257">
        <v>15</v>
      </c>
      <c r="H826" s="263">
        <v>1780</v>
      </c>
      <c r="I826" s="258">
        <v>445</v>
      </c>
      <c r="J826" s="259">
        <f>(I826/F826)</f>
        <v>445</v>
      </c>
      <c r="K826" s="260">
        <f>H826/I826</f>
        <v>4</v>
      </c>
      <c r="L826" s="264">
        <f>8077.5+3261+2251+2481+682+679+634+482+544+2140+204+1664+1377+127+1780</f>
        <v>26383.5</v>
      </c>
      <c r="M826" s="261">
        <f>773+379+260+266+71+198+101+110+127+535+34+416+320+14+445</f>
        <v>4049</v>
      </c>
      <c r="N826" s="255">
        <f>L826/M826</f>
        <v>6.51605334650531</v>
      </c>
      <c r="O826" s="273"/>
    </row>
    <row r="827" spans="1:15" ht="12" customHeight="1">
      <c r="A827" s="228">
        <v>824</v>
      </c>
      <c r="B827" s="368" t="s">
        <v>189</v>
      </c>
      <c r="C827" s="246">
        <v>39577</v>
      </c>
      <c r="D827" s="362" t="s">
        <v>497</v>
      </c>
      <c r="E827" s="383">
        <v>26</v>
      </c>
      <c r="F827" s="383">
        <v>1</v>
      </c>
      <c r="G827" s="383">
        <v>15</v>
      </c>
      <c r="H827" s="405">
        <v>1188</v>
      </c>
      <c r="I827" s="364">
        <v>198</v>
      </c>
      <c r="J827" s="373">
        <f>I827/F827</f>
        <v>198</v>
      </c>
      <c r="K827" s="374">
        <f>H827/I827</f>
        <v>6</v>
      </c>
      <c r="L827" s="406">
        <v>116774.42</v>
      </c>
      <c r="M827" s="366">
        <v>13697</v>
      </c>
      <c r="N827" s="380">
        <f>+L827/M827</f>
        <v>8.525547200116813</v>
      </c>
      <c r="O827" s="230"/>
    </row>
    <row r="828" spans="1:15" ht="12" customHeight="1">
      <c r="A828" s="228">
        <v>825</v>
      </c>
      <c r="B828" s="309" t="s">
        <v>236</v>
      </c>
      <c r="C828" s="246">
        <v>40060</v>
      </c>
      <c r="D828" s="362" t="s">
        <v>270</v>
      </c>
      <c r="E828" s="383">
        <v>60</v>
      </c>
      <c r="F828" s="383">
        <v>1</v>
      </c>
      <c r="G828" s="383">
        <v>9</v>
      </c>
      <c r="H828" s="405">
        <v>722</v>
      </c>
      <c r="I828" s="364">
        <v>98</v>
      </c>
      <c r="J828" s="296">
        <f>+I828/F828</f>
        <v>98</v>
      </c>
      <c r="K828" s="297">
        <f>+H828/I828</f>
        <v>7.36734693877551</v>
      </c>
      <c r="L828" s="406">
        <v>31093</v>
      </c>
      <c r="M828" s="366">
        <v>4346</v>
      </c>
      <c r="N828" s="272">
        <f>+L829/M829</f>
        <v>10.148068669527897</v>
      </c>
      <c r="O828" s="262">
        <v>1</v>
      </c>
    </row>
    <row r="829" spans="1:15" ht="12" customHeight="1">
      <c r="A829" s="228">
        <v>826</v>
      </c>
      <c r="B829" s="245" t="s">
        <v>362</v>
      </c>
      <c r="C829" s="246">
        <v>40172</v>
      </c>
      <c r="D829" s="247" t="s">
        <v>321</v>
      </c>
      <c r="E829" s="257">
        <v>40</v>
      </c>
      <c r="F829" s="257">
        <v>34</v>
      </c>
      <c r="G829" s="257">
        <v>2</v>
      </c>
      <c r="H829" s="263">
        <v>15275</v>
      </c>
      <c r="I829" s="258">
        <v>1524</v>
      </c>
      <c r="J829" s="259">
        <f>I829/F829</f>
        <v>44.8235294117647</v>
      </c>
      <c r="K829" s="260">
        <f>H829/I829</f>
        <v>10.022965879265092</v>
      </c>
      <c r="L829" s="264">
        <f>74576+15275</f>
        <v>89851</v>
      </c>
      <c r="M829" s="261">
        <f>7330+1524</f>
        <v>8854</v>
      </c>
      <c r="N829" s="272">
        <f>+L830/M830</f>
        <v>9.646523907304195</v>
      </c>
      <c r="O829" s="262"/>
    </row>
    <row r="830" spans="1:15" ht="12" customHeight="1">
      <c r="A830" s="228">
        <v>827</v>
      </c>
      <c r="B830" s="245" t="s">
        <v>362</v>
      </c>
      <c r="C830" s="246">
        <v>40172</v>
      </c>
      <c r="D830" s="247" t="s">
        <v>321</v>
      </c>
      <c r="E830" s="248">
        <v>40</v>
      </c>
      <c r="F830" s="248">
        <v>8</v>
      </c>
      <c r="G830" s="248">
        <v>4</v>
      </c>
      <c r="H830" s="249">
        <v>5335</v>
      </c>
      <c r="I830" s="258">
        <v>870</v>
      </c>
      <c r="J830" s="259">
        <f>I830/F830</f>
        <v>108.75</v>
      </c>
      <c r="K830" s="260">
        <f>H830/I830</f>
        <v>6.132183908045977</v>
      </c>
      <c r="L830" s="253">
        <f>74576+15275+3431+38+5335</f>
        <v>98655</v>
      </c>
      <c r="M830" s="261">
        <f>7330+1524+499+4+870</f>
        <v>10227</v>
      </c>
      <c r="N830" s="272">
        <f>+L831/M831</f>
        <v>9.973282034840226</v>
      </c>
      <c r="O830" s="262"/>
    </row>
    <row r="831" spans="1:15" ht="12" customHeight="1">
      <c r="A831" s="228">
        <v>828</v>
      </c>
      <c r="B831" s="245" t="s">
        <v>362</v>
      </c>
      <c r="C831" s="246">
        <v>40172</v>
      </c>
      <c r="D831" s="247" t="s">
        <v>321</v>
      </c>
      <c r="E831" s="248">
        <v>40</v>
      </c>
      <c r="F831" s="248">
        <v>10</v>
      </c>
      <c r="G831" s="248">
        <v>3</v>
      </c>
      <c r="H831" s="249">
        <f>3431+38</f>
        <v>3469</v>
      </c>
      <c r="I831" s="250">
        <f>499+4</f>
        <v>503</v>
      </c>
      <c r="J831" s="251">
        <f>I831/F831</f>
        <v>50.3</v>
      </c>
      <c r="K831" s="252">
        <f>H831/I831</f>
        <v>6.89662027833002</v>
      </c>
      <c r="L831" s="253">
        <f>74576+15275+3431+38</f>
        <v>93320</v>
      </c>
      <c r="M831" s="254">
        <f>7330+1524+499+4</f>
        <v>9357</v>
      </c>
      <c r="N831" s="272">
        <f>+L832/M832</f>
        <v>9.62346879253354</v>
      </c>
      <c r="O831" s="262"/>
    </row>
    <row r="832" spans="1:15" ht="12" customHeight="1">
      <c r="A832" s="228">
        <v>829</v>
      </c>
      <c r="B832" s="245" t="s">
        <v>362</v>
      </c>
      <c r="C832" s="246">
        <v>40172</v>
      </c>
      <c r="D832" s="247" t="s">
        <v>321</v>
      </c>
      <c r="E832" s="248">
        <v>40</v>
      </c>
      <c r="F832" s="248">
        <v>1</v>
      </c>
      <c r="G832" s="248">
        <v>6</v>
      </c>
      <c r="H832" s="249">
        <v>292</v>
      </c>
      <c r="I832" s="250">
        <v>51</v>
      </c>
      <c r="J832" s="251">
        <f>I832/F832</f>
        <v>51</v>
      </c>
      <c r="K832" s="252">
        <f>H832/I832</f>
        <v>5.7254901960784315</v>
      </c>
      <c r="L832" s="253">
        <f>74576+15275+3431+38+5335+40+292</f>
        <v>98987</v>
      </c>
      <c r="M832" s="254">
        <f>7330+1524+499+4+870+8+51</f>
        <v>10286</v>
      </c>
      <c r="N832" s="272">
        <f>+L833/M833</f>
        <v>9.642892037127504</v>
      </c>
      <c r="O832" s="262"/>
    </row>
    <row r="833" spans="1:15" ht="12" customHeight="1" thickBot="1">
      <c r="A833" s="228">
        <v>830</v>
      </c>
      <c r="B833" s="384" t="s">
        <v>362</v>
      </c>
      <c r="C833" s="385">
        <v>40172</v>
      </c>
      <c r="D833" s="386" t="s">
        <v>321</v>
      </c>
      <c r="E833" s="387">
        <v>40</v>
      </c>
      <c r="F833" s="387">
        <v>1</v>
      </c>
      <c r="G833" s="387">
        <v>5</v>
      </c>
      <c r="H833" s="388">
        <v>40</v>
      </c>
      <c r="I833" s="389">
        <v>8</v>
      </c>
      <c r="J833" s="390">
        <f>I833/F833</f>
        <v>8</v>
      </c>
      <c r="K833" s="391">
        <f>H833/I833</f>
        <v>5</v>
      </c>
      <c r="L833" s="392">
        <f>74576+15275+3431+38+5335+40</f>
        <v>98695</v>
      </c>
      <c r="M833" s="393">
        <f>7330+1524+499+4+870+8</f>
        <v>10235</v>
      </c>
      <c r="N833" s="394"/>
      <c r="O833" s="262"/>
    </row>
  </sheetData>
  <sheetProtection/>
  <mergeCells count="9">
    <mergeCell ref="E2:E3"/>
    <mergeCell ref="A1:N1"/>
    <mergeCell ref="B2:B3"/>
    <mergeCell ref="C2:C3"/>
    <mergeCell ref="D2:D3"/>
    <mergeCell ref="F2:F3"/>
    <mergeCell ref="G2:G3"/>
    <mergeCell ref="H2:K2"/>
    <mergeCell ref="L2:N2"/>
  </mergeCells>
  <printOptions/>
  <pageMargins left="0.75" right="0.75" top="1" bottom="1" header="0.5" footer="0.5"/>
  <pageSetup orientation="portrait" paperSize="9"/>
  <ignoredErrors>
    <ignoredError sqref="R734:U779 R604:U651 R89:S89 R90:S90 N15:N54" formula="1"/>
    <ignoredError sqref="P4:S9 H4:I56 L4:M56 J4:K10 J52:K56 L58:M58" unlockedFormula="1"/>
    <ignoredError sqref="P11:Q11 R67:S67 R41:S42 R11:S13 P10:S10 R50:S51 R77:S79 R80:S88 R68:S76 R52:S54 J11:K51"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ao</cp:lastModifiedBy>
  <cp:lastPrinted>2010-11-23T10:11:42Z</cp:lastPrinted>
  <dcterms:created xsi:type="dcterms:W3CDTF">2006-03-17T12:24:26Z</dcterms:created>
  <dcterms:modified xsi:type="dcterms:W3CDTF">2010-11-28T17:19:16Z</dcterms:modified>
  <cp:category/>
  <cp:version/>
  <cp:contentType/>
  <cp:contentStatus/>
</cp:coreProperties>
</file>