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27 Aug'-02 Sep' 10 (WK 35)" sheetId="1" r:id="rId1"/>
    <sheet name="01 Jan'-02 Sep'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Jan'-02 Sep' 10 (Annual)'!#REF!</definedName>
    <definedName name="_xlnm.Print_Area" localSheetId="0">'27 Aug'-02 Sep' 10 (WK 35)'!$A$1:$N$122</definedName>
  </definedNames>
  <calcPr fullCalcOnLoad="1"/>
</workbook>
</file>

<file path=xl/sharedStrings.xml><?xml version="1.0" encoding="utf-8"?>
<sst xmlns="http://schemas.openxmlformats.org/spreadsheetml/2006/main" count="2091" uniqueCount="428">
  <si>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</si>
  <si>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</si>
  <si>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</si>
  <si>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</si>
  <si>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</si>
  <si>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</si>
  <si>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</si>
  <si>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</si>
  <si>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</si>
  <si>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</si>
  <si>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</si>
  <si>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</si>
  <si>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</si>
  <si>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</si>
  <si>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</si>
  <si>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</si>
  <si>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</si>
  <si>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</si>
  <si>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</si>
  <si>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</si>
  <si>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</si>
  <si>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</si>
  <si>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</si>
  <si>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</si>
  <si>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</si>
  <si>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</si>
  <si>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</si>
  <si>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</si>
  <si>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</si>
  <si>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</si>
  <si>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</si>
  <si>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</si>
  <si>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</si>
  <si>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</si>
  <si>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</si>
  <si>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</si>
  <si>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</si>
  <si>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</si>
  <si>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</si>
  <si>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</si>
  <si>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</si>
  <si>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</si>
  <si>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</si>
  <si>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</si>
  <si>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</si>
  <si>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</si>
  <si>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</si>
  <si>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</si>
  <si>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</si>
  <si>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</si>
  <si>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</si>
  <si>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</si>
  <si>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</si>
  <si>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</si>
  <si>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</si>
  <si>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</si>
  <si>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</si>
  <si>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</si>
  <si>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</si>
  <si>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</si>
  <si>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</si>
  <si>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</si>
  <si>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</si>
  <si>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</si>
  <si>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</si>
  <si>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</si>
  <si>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</si>
  <si>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</si>
  <si>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</si>
  <si>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ARTHUR AND THE REVENGE OF MALTAZARD</t>
  </si>
  <si>
    <t>EDUCATION, AN</t>
  </si>
  <si>
    <t>BOOK OF ELI, THE</t>
  </si>
  <si>
    <t xml:space="preserve">BAKJWI </t>
  </si>
  <si>
    <t>NIKO - LENTAJAN POIKA</t>
  </si>
  <si>
    <t>LOS ABRAZOS ROTOS</t>
  </si>
  <si>
    <t>INVICTUS</t>
  </si>
  <si>
    <t>WALL-E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</si>
  <si>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</si>
  <si>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</si>
  <si>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</si>
  <si>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</si>
  <si>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</si>
  <si>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</si>
  <si>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</si>
  <si>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</si>
  <si>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</si>
  <si>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</si>
  <si>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</si>
  <si>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</si>
  <si>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</si>
  <si>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</si>
  <si>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</si>
  <si>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</si>
  <si>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</si>
  <si>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</si>
  <si>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</si>
  <si>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</si>
  <si>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</si>
  <si>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</si>
  <si>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</si>
  <si>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</si>
  <si>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</si>
  <si>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</si>
  <si>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</si>
  <si>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</si>
  <si>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</si>
  <si>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</si>
  <si>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</si>
  <si>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</si>
  <si>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</si>
  <si>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</si>
  <si>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</si>
  <si>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</si>
  <si>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</si>
  <si>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</si>
  <si>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</si>
  <si>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</si>
  <si>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</si>
  <si>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</si>
  <si>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</si>
  <si>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</si>
  <si>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</si>
  <si>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</si>
  <si>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</si>
  <si>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</si>
  <si>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</si>
  <si>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</si>
  <si>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</si>
  <si>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</si>
  <si>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</si>
  <si>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</si>
  <si>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</si>
  <si>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</si>
  <si>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</si>
  <si>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</si>
  <si>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</si>
  <si>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</si>
  <si>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</si>
  <si>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</si>
  <si>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</si>
  <si>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</si>
  <si>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</si>
  <si>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</si>
  <si>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</si>
  <si>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</si>
  <si>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</si>
  <si>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</si>
  <si>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</si>
  <si>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</si>
  <si>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</si>
  <si>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</si>
  <si>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</si>
  <si>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</si>
  <si>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</si>
  <si>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</si>
  <si>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</si>
  <si>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</si>
  <si>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</si>
  <si>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</si>
  <si>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</si>
  <si>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</si>
  <si>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</si>
  <si>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</si>
  <si>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</si>
  <si>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</si>
  <si>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</si>
  <si>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</si>
  <si>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</si>
  <si>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</si>
  <si>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</si>
  <si>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</si>
  <si>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</si>
  <si>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</si>
  <si>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</si>
  <si>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</si>
  <si>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</si>
  <si>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</si>
  <si>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</si>
  <si>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</si>
  <si>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</si>
  <si>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</si>
  <si>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</si>
  <si>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</si>
  <si>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</si>
  <si>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</si>
  <si>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</si>
  <si>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</si>
  <si>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</si>
  <si>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</si>
  <si>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</si>
  <si>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</si>
  <si>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</si>
  <si>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</si>
  <si>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</si>
  <si>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</si>
  <si>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</si>
  <si>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</si>
  <si>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</si>
  <si>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</si>
  <si>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</si>
  <si>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</si>
  <si>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</si>
  <si>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</si>
  <si>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</si>
  <si>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</si>
  <si>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</si>
  <si>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</si>
  <si>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</si>
  <si>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</si>
  <si>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</si>
  <si>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</si>
  <si>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</si>
  <si>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</si>
  <si>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</si>
  <si>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</si>
  <si>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</si>
  <si>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</si>
  <si>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</si>
  <si>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</si>
  <si>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</si>
  <si>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</si>
  <si>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</si>
  <si>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</si>
  <si>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</si>
  <si>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</si>
  <si>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</si>
  <si>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</si>
  <si>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</si>
  <si>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</si>
  <si>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</si>
  <si>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</si>
  <si>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</si>
  <si>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</si>
  <si>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</si>
  <si>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</si>
  <si>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</si>
  <si>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</si>
  <si>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</si>
  <si>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</si>
  <si>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</si>
  <si>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</si>
  <si>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</si>
  <si>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</si>
  <si>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</si>
  <si>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</si>
  <si>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</si>
  <si>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</si>
  <si>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</si>
  <si>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</si>
  <si>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</si>
  <si>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</si>
  <si>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</si>
  <si>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</si>
  <si>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</si>
  <si>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</si>
  <si>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</si>
  <si>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</si>
  <si>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</si>
  <si>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</si>
  <si>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</si>
  <si>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</si>
  <si>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</si>
  <si>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</si>
  <si>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</si>
  <si>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</si>
  <si>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</si>
  <si>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</si>
  <si>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</si>
  <si>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</si>
  <si>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</si>
  <si>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</si>
  <si>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</si>
  <si>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</si>
  <si>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</si>
  <si>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</si>
  <si>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</si>
  <si>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</si>
  <si>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</si>
  <si>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</si>
  <si>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</si>
  <si>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</si>
  <si>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</si>
  <si>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</si>
  <si>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</si>
  <si>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</si>
  <si>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</si>
  <si>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</si>
  <si>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</si>
  <si>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</si>
  <si>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</si>
  <si>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</si>
  <si>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</si>
  <si>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</si>
  <si>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</si>
  <si>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</si>
  <si>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</si>
  <si>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</si>
  <si>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</si>
  <si>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</si>
  <si>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</si>
  <si>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YOGA HAKWON</t>
  </si>
  <si>
    <t>AŞK GELİYORUM DEMEZ</t>
  </si>
  <si>
    <t>İKİ DİL BİR BAVUL</t>
  </si>
  <si>
    <t>WALTZ WITH BASHIR</t>
  </si>
  <si>
    <t>ETZ LEMON</t>
  </si>
  <si>
    <t>PARADISE NOW</t>
  </si>
  <si>
    <t>SENRITSU MEIKYU 3D</t>
  </si>
  <si>
    <t>BAŞKA DİLDE AŞK</t>
  </si>
  <si>
    <t>DABBE 2</t>
  </si>
  <si>
    <t>AYRILIK (DIE FREMDE)</t>
  </si>
  <si>
    <r>
      <t xml:space="preserve">RECEP İVEDİK 3 </t>
    </r>
    <r>
      <rPr>
        <b/>
        <sz val="10"/>
        <color indexed="10"/>
        <rFont val="Arial"/>
        <family val="2"/>
      </rPr>
      <t>(LOCAL)</t>
    </r>
  </si>
  <si>
    <r>
      <t>TAKIYE: ALLAH YOLUNDA</t>
    </r>
    <r>
      <rPr>
        <sz val="10"/>
        <color indexed="10"/>
        <rFont val="Arial"/>
        <family val="2"/>
      </rPr>
      <t xml:space="preserve"> </t>
    </r>
  </si>
  <si>
    <r>
      <t>NEFES: VATAN SAĞOLSUN</t>
    </r>
    <r>
      <rPr>
        <b/>
        <sz val="10"/>
        <color indexed="10"/>
        <rFont val="Arial"/>
        <family val="2"/>
      </rPr>
      <t xml:space="preserve"> (LOCAL)</t>
    </r>
  </si>
  <si>
    <r>
      <t>DELİ DUMRUL: KURTLAR KUŞLAR ALEMINDE</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</si>
  <si>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</si>
  <si>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</si>
  <si>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</si>
  <si>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</si>
  <si>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r>
      <t xml:space="preserve">EJDER KAPANI </t>
    </r>
    <r>
      <rPr>
        <b/>
        <sz val="10"/>
        <color indexed="10"/>
        <rFont val="Arial"/>
        <family val="2"/>
      </rPr>
      <t>(LOCAL)</t>
    </r>
  </si>
  <si>
    <r>
      <t>DERSİMİZ: ATATÜRK</t>
    </r>
    <r>
      <rPr>
        <b/>
        <sz val="10"/>
        <color indexed="10"/>
        <rFont val="Arial"/>
        <family val="2"/>
      </rPr>
      <t xml:space="preserve"> (LOCAL)</t>
    </r>
  </si>
  <si>
    <r>
      <t>EN MUTLU OLDUĞUM YER</t>
    </r>
    <r>
      <rPr>
        <b/>
        <sz val="10"/>
        <color indexed="10"/>
        <rFont val="Arial"/>
        <family val="2"/>
      </rPr>
      <t xml:space="preserve"> (LOCAL)</t>
    </r>
  </si>
  <si>
    <r>
      <t xml:space="preserve">BAL </t>
    </r>
    <r>
      <rPr>
        <b/>
        <sz val="10"/>
        <color indexed="10"/>
        <rFont val="Arial"/>
        <family val="2"/>
      </rPr>
      <t>(LOCAL)</t>
    </r>
  </si>
  <si>
    <r>
      <t>BÜŞRA</t>
    </r>
    <r>
      <rPr>
        <b/>
        <sz val="10"/>
        <color indexed="10"/>
        <rFont val="Arial"/>
        <family val="2"/>
      </rPr>
      <t xml:space="preserve"> (LOCAL)</t>
    </r>
  </si>
  <si>
    <r>
      <t>ANADOLU'NUN KAYIP ŞARKILARI</t>
    </r>
    <r>
      <rPr>
        <b/>
        <sz val="10"/>
        <color indexed="10"/>
        <rFont val="Arial"/>
        <family val="2"/>
      </rPr>
      <t xml:space="preserve"> (LOCAL)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</si>
  <si>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</si>
  <si>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</si>
  <si>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</si>
  <si>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</si>
  <si>
    <t>SORCERER’S APPRENTICE</t>
  </si>
  <si>
    <t>40</t>
  </si>
  <si>
    <t>BACK-UP PLAN, THE</t>
  </si>
  <si>
    <r>
      <t xml:space="preserve">NEFES: VATAN SAĞOLSUN  </t>
    </r>
    <r>
      <rPr>
        <b/>
        <sz val="10"/>
        <color indexed="10"/>
        <rFont val="Arial"/>
        <family val="2"/>
      </rPr>
      <t>(LOCAL)</t>
    </r>
  </si>
  <si>
    <t>SEX AND THE CITY 2</t>
  </si>
  <si>
    <r>
      <t xml:space="preserve">BORNOVA BORNOVA </t>
    </r>
    <r>
      <rPr>
        <b/>
        <sz val="10"/>
        <color indexed="10"/>
        <rFont val="Arial"/>
        <family val="2"/>
      </rPr>
      <t>(LOCAL)</t>
    </r>
  </si>
  <si>
    <r>
      <t xml:space="preserve">İKİ DİL BİR BAVUL </t>
    </r>
    <r>
      <rPr>
        <b/>
        <sz val="10"/>
        <color indexed="10"/>
        <rFont val="Arial"/>
        <family val="2"/>
      </rPr>
      <t xml:space="preserve"> (LOCAL)</t>
    </r>
  </si>
  <si>
    <r>
      <t xml:space="preserve">KOLPAÇİNO </t>
    </r>
    <r>
      <rPr>
        <b/>
        <sz val="10"/>
        <color indexed="10"/>
        <rFont val="Arial"/>
        <family val="2"/>
      </rPr>
      <t xml:space="preserve"> (LOCAL)</t>
    </r>
  </si>
  <si>
    <r>
      <t>AŞK GELIYORUM DEMEZ</t>
    </r>
    <r>
      <rPr>
        <b/>
        <sz val="10"/>
        <color indexed="10"/>
        <rFont val="Arial"/>
        <family val="2"/>
      </rPr>
      <t xml:space="preserve">  (LOCAL)</t>
    </r>
  </si>
  <si>
    <t>ORDINARY PEOPLE</t>
  </si>
  <si>
    <t>SPY NEXT DOOR</t>
  </si>
  <si>
    <r>
      <t xml:space="preserve">SİZİ SEVİYORUM </t>
    </r>
    <r>
      <rPr>
        <b/>
        <sz val="10"/>
        <color indexed="10"/>
        <rFont val="Arial"/>
        <family val="2"/>
      </rPr>
      <t xml:space="preserve"> (LOCAL)</t>
    </r>
  </si>
  <si>
    <r>
      <t>BAŞKA DİLDE AŞK</t>
    </r>
    <r>
      <rPr>
        <b/>
        <sz val="10"/>
        <color indexed="10"/>
        <rFont val="Arial"/>
        <family val="2"/>
      </rPr>
      <t xml:space="preserve">  (LOCAL)</t>
    </r>
  </si>
  <si>
    <r>
      <t xml:space="preserve">KÖPRÜDEKİLER  </t>
    </r>
    <r>
      <rPr>
        <b/>
        <sz val="10"/>
        <color indexed="10"/>
        <rFont val="Arial"/>
        <family val="2"/>
      </rPr>
      <t>(LOCAL)</t>
    </r>
  </si>
  <si>
    <r>
      <t xml:space="preserve">PUS </t>
    </r>
    <r>
      <rPr>
        <b/>
        <sz val="10"/>
        <color indexed="10"/>
        <rFont val="Arial"/>
        <family val="2"/>
      </rPr>
      <t xml:space="preserve"> (LOCAL)</t>
    </r>
  </si>
  <si>
    <t>SPLICE</t>
  </si>
  <si>
    <t>SALT</t>
  </si>
  <si>
    <t>SUNSHINE BARRY AND THE DISCO WORMS</t>
  </si>
  <si>
    <t>PERCY JACKSON AND THE OLYMPIANS: THE LIGHTNING THIEF</t>
  </si>
  <si>
    <t>BEYAZ MELEK</t>
  </si>
  <si>
    <t>LAST SONG,THE</t>
  </si>
  <si>
    <t>7 KOCALI HÜRMÜZ</t>
  </si>
  <si>
    <t>PAZAR: BİR TİCARET MASALI</t>
  </si>
  <si>
    <t>[REC] 2</t>
  </si>
  <si>
    <t>ALVIN AND THE CHIPMUNKS 2</t>
  </si>
  <si>
    <t>NEFES: VATAN SAĞOLSUN</t>
  </si>
  <si>
    <t>TENGRI: BLUE HEAVENS</t>
  </si>
  <si>
    <t>STONING OF SORAYA M., THE</t>
  </si>
  <si>
    <t>KOLPAÇİNO</t>
  </si>
  <si>
    <r>
      <t xml:space="preserve">NEFES: VATAN SAĞOLSUN </t>
    </r>
    <r>
      <rPr>
        <b/>
        <sz val="10"/>
        <color indexed="10"/>
        <rFont val="Arial"/>
        <family val="2"/>
      </rPr>
      <t>(LOCAL)</t>
    </r>
  </si>
  <si>
    <r>
      <t xml:space="preserve">ROMANTİK KOMEDİ </t>
    </r>
    <r>
      <rPr>
        <b/>
        <sz val="10"/>
        <color indexed="10"/>
        <rFont val="Arial"/>
        <family val="2"/>
      </rPr>
      <t>(LOCAL)</t>
    </r>
  </si>
  <si>
    <r>
      <t xml:space="preserve">EŞREFPAŞALILAR </t>
    </r>
    <r>
      <rPr>
        <b/>
        <sz val="10"/>
        <color indexed="10"/>
        <rFont val="Arial"/>
        <family val="2"/>
      </rPr>
      <t xml:space="preserve"> (LOCAL)</t>
    </r>
  </si>
  <si>
    <r>
      <t>YEO-HAENG-JA</t>
    </r>
    <r>
      <rPr>
        <b/>
        <sz val="10"/>
        <color indexed="12"/>
        <rFont val="Arial"/>
        <family val="2"/>
      </rPr>
      <t xml:space="preserve">  (NEW)</t>
    </r>
  </si>
  <si>
    <t>Firma hasılat ve seyirci sayılarının yayınlanmasını istememektedir.</t>
  </si>
  <si>
    <t>INCEPTION</t>
  </si>
  <si>
    <t>GET HIM TO THE GREEK</t>
  </si>
  <si>
    <t>SERIOUS MAN, A</t>
  </si>
  <si>
    <t>MOTHER AND CHILD</t>
  </si>
  <si>
    <t>DETOUR</t>
  </si>
  <si>
    <r>
      <t xml:space="preserve">IKI DIL BIR BAVUL </t>
    </r>
    <r>
      <rPr>
        <b/>
        <sz val="10"/>
        <color indexed="10"/>
        <rFont val="Arial"/>
        <family val="2"/>
      </rPr>
      <t>(LOCAL)</t>
    </r>
  </si>
  <si>
    <t>BRAND NEW LIFE, A</t>
  </si>
  <si>
    <r>
      <t>KURTLAR VADİSİ GLADIO</t>
    </r>
    <r>
      <rPr>
        <b/>
        <sz val="10"/>
        <rFont val="Arial"/>
        <family val="2"/>
      </rPr>
      <t xml:space="preserve"> </t>
    </r>
    <r>
      <rPr>
        <b/>
        <sz val="10"/>
        <color indexed="10"/>
        <rFont val="Arial"/>
        <family val="2"/>
      </rPr>
      <t>(LOCAL)</t>
    </r>
  </si>
  <si>
    <t>LOVELY BONES</t>
  </si>
  <si>
    <r>
      <t xml:space="preserve">BAŞKA DİLDE AŞK </t>
    </r>
    <r>
      <rPr>
        <b/>
        <sz val="10"/>
        <color indexed="10"/>
        <rFont val="Arial"/>
        <family val="2"/>
      </rPr>
      <t>(LOCAL)</t>
    </r>
  </si>
  <si>
    <t>AUSTRALIA</t>
  </si>
  <si>
    <t>LAST AIRBENDER, THE</t>
  </si>
  <si>
    <t>PRINCE OF PERSIA:THE SANDS OF TIME</t>
  </si>
  <si>
    <r>
      <t>SON MEVSİM: ŞAVAKLAR</t>
    </r>
    <r>
      <rPr>
        <b/>
        <sz val="10"/>
        <color indexed="10"/>
        <rFont val="Arial"/>
        <family val="2"/>
      </rPr>
      <t xml:space="preserve"> (LOCAL)</t>
    </r>
  </si>
  <si>
    <t>A BRAND NEW LIFE</t>
  </si>
  <si>
    <t>REFUGE, LE</t>
  </si>
  <si>
    <r>
      <t xml:space="preserve">KUTSAL DAMACANA 2: İTMEN </t>
    </r>
    <r>
      <rPr>
        <b/>
        <sz val="10"/>
        <color indexed="10"/>
        <rFont val="Arial"/>
        <family val="2"/>
      </rPr>
      <t>(LOCAL)</t>
    </r>
  </si>
  <si>
    <t>NIKO AND THE WAY TO THE STARS</t>
  </si>
  <si>
    <r>
      <t xml:space="preserve">SES </t>
    </r>
    <r>
      <rPr>
        <b/>
        <sz val="10"/>
        <color indexed="10"/>
        <rFont val="Arial"/>
        <family val="2"/>
      </rPr>
      <t>(LOCAL)</t>
    </r>
  </si>
  <si>
    <t xml:space="preserve">CLOUDY WITH A CHANCE OF MEATBALLS </t>
  </si>
  <si>
    <r>
      <t xml:space="preserve">DENİZDEN GELEN </t>
    </r>
    <r>
      <rPr>
        <b/>
        <sz val="10"/>
        <color indexed="10"/>
        <rFont val="Arial"/>
        <family val="2"/>
      </rPr>
      <t>(LOCAL)</t>
    </r>
  </si>
  <si>
    <t xml:space="preserve">SUNSHINE BARRY AND THE DISCO WORMS </t>
  </si>
  <si>
    <r>
      <t xml:space="preserve">NEFES: VATAN SAĞOLSUN </t>
    </r>
    <r>
      <rPr>
        <b/>
        <sz val="10"/>
        <color indexed="10"/>
        <rFont val="Arial Black"/>
        <family val="2"/>
      </rPr>
      <t>(LOCAL)</t>
    </r>
  </si>
  <si>
    <r>
      <t xml:space="preserve">GÜZ SANCISI </t>
    </r>
    <r>
      <rPr>
        <sz val="10"/>
        <color indexed="10"/>
        <rFont val="Arial Black"/>
        <family val="2"/>
      </rPr>
      <t>(LOCAL)</t>
    </r>
  </si>
  <si>
    <t>EXPENDABLES, THE</t>
  </si>
  <si>
    <t>CATS AND DOGS : REVENGE OF KITTY GALORE</t>
  </si>
  <si>
    <t>GROWN UPS</t>
  </si>
  <si>
    <t>Pre</t>
  </si>
  <si>
    <r>
      <t xml:space="preserve">PANDORA'NIN KUTUSU  </t>
    </r>
    <r>
      <rPr>
        <b/>
        <sz val="10"/>
        <color indexed="10"/>
        <rFont val="Arial"/>
        <family val="2"/>
      </rPr>
      <t>(LOCAL)</t>
    </r>
  </si>
  <si>
    <r>
      <t>BAHTI KARA</t>
    </r>
    <r>
      <rPr>
        <b/>
        <sz val="10"/>
        <color indexed="10"/>
        <rFont val="Arial"/>
        <family val="2"/>
      </rPr>
      <t xml:space="preserve">  (LOCAL)</t>
    </r>
  </si>
  <si>
    <r>
      <t xml:space="preserve">GECENİN KANATLARI </t>
    </r>
    <r>
      <rPr>
        <b/>
        <sz val="10"/>
        <color indexed="10"/>
        <rFont val="Arial"/>
        <family val="2"/>
      </rPr>
      <t>(LOCAL)</t>
    </r>
  </si>
  <si>
    <r>
      <t xml:space="preserve">YAHŞİ BATI </t>
    </r>
    <r>
      <rPr>
        <b/>
        <sz val="10"/>
        <color indexed="10"/>
        <rFont val="Arial"/>
        <family val="2"/>
      </rPr>
      <t xml:space="preserve"> (LOCAL)</t>
    </r>
  </si>
  <si>
    <r>
      <t xml:space="preserve">SİYAH BEYAZ  </t>
    </r>
    <r>
      <rPr>
        <b/>
        <sz val="10"/>
        <color indexed="10"/>
        <rFont val="Arial"/>
        <family val="2"/>
      </rPr>
      <t>(LOCAL)</t>
    </r>
  </si>
  <si>
    <r>
      <t xml:space="preserve">BAŞKA DİLDE AŞK </t>
    </r>
    <r>
      <rPr>
        <b/>
        <sz val="10"/>
        <color indexed="10"/>
        <rFont val="Arial"/>
        <family val="2"/>
      </rPr>
      <t xml:space="preserve"> (LOCAL)</t>
    </r>
  </si>
  <si>
    <r>
      <t xml:space="preserve">SELVİ BOYLUM AL YAZMALIM  </t>
    </r>
    <r>
      <rPr>
        <b/>
        <sz val="10"/>
        <color indexed="10"/>
        <rFont val="Arial"/>
        <family val="2"/>
      </rPr>
      <t>(LOCAL)</t>
    </r>
  </si>
  <si>
    <r>
      <t>PIRANHA 3D</t>
    </r>
    <r>
      <rPr>
        <b/>
        <sz val="10"/>
        <color indexed="12"/>
        <rFont val="Arial"/>
        <family val="2"/>
      </rPr>
      <t xml:space="preserve"> (NEW)</t>
    </r>
  </si>
  <si>
    <t>CINEFILM</t>
  </si>
  <si>
    <r>
      <t>KARATE KID</t>
    </r>
    <r>
      <rPr>
        <b/>
        <sz val="10"/>
        <color indexed="12"/>
        <rFont val="Arial"/>
        <family val="2"/>
      </rPr>
      <t xml:space="preserve"> (NEW)</t>
    </r>
  </si>
  <si>
    <t>A TEAM, THE</t>
  </si>
  <si>
    <r>
      <t xml:space="preserve">AFTER.LIFE </t>
    </r>
    <r>
      <rPr>
        <b/>
        <sz val="10"/>
        <color indexed="12"/>
        <rFont val="Arial"/>
        <family val="2"/>
      </rPr>
      <t>(NEW)</t>
    </r>
  </si>
  <si>
    <t>DOOR, THE</t>
  </si>
  <si>
    <t>33</t>
  </si>
  <si>
    <r>
      <t xml:space="preserve">VEDA </t>
    </r>
    <r>
      <rPr>
        <b/>
        <sz val="10"/>
        <color indexed="10"/>
        <rFont val="Arial"/>
        <family val="2"/>
      </rPr>
      <t>(LOCAL)</t>
    </r>
  </si>
  <si>
    <t>YÜREĞİNE SOR</t>
  </si>
  <si>
    <r>
      <t xml:space="preserve">DABBE 2 </t>
    </r>
    <r>
      <rPr>
        <b/>
        <sz val="10"/>
        <color indexed="10"/>
        <rFont val="Arial"/>
        <family val="2"/>
      </rPr>
      <t>(LOCAL)</t>
    </r>
  </si>
  <si>
    <r>
      <t xml:space="preserve">SONBAHAR </t>
    </r>
    <r>
      <rPr>
        <b/>
        <sz val="10"/>
        <color indexed="10"/>
        <rFont val="Arial"/>
        <family val="2"/>
      </rPr>
      <t>(LOCAL)</t>
    </r>
  </si>
  <si>
    <t>LITTLE NICHOLAS</t>
  </si>
  <si>
    <r>
      <t xml:space="preserve">ADA: ZOMBİLERİN DÜĞÜNÜ </t>
    </r>
    <r>
      <rPr>
        <b/>
        <sz val="10"/>
        <color indexed="10"/>
        <rFont val="Arial"/>
        <family val="2"/>
      </rPr>
      <t>(LOCAL)</t>
    </r>
  </si>
  <si>
    <t>4</t>
  </si>
  <si>
    <r>
      <t xml:space="preserve">ÇOK FİLİM HAREKETLER BUNLAR </t>
    </r>
    <r>
      <rPr>
        <b/>
        <sz val="10"/>
        <color indexed="10"/>
        <rFont val="Arial"/>
        <family val="2"/>
      </rPr>
      <t>(LOCAL)</t>
    </r>
  </si>
  <si>
    <r>
      <t xml:space="preserve">EYYVAH EYVAH </t>
    </r>
    <r>
      <rPr>
        <b/>
        <sz val="10"/>
        <color indexed="10"/>
        <rFont val="Arial"/>
        <family val="2"/>
      </rPr>
      <t>(LOCAL)</t>
    </r>
  </si>
  <si>
    <r>
      <t xml:space="preserve">KOSMOS </t>
    </r>
    <r>
      <rPr>
        <b/>
        <sz val="10"/>
        <color indexed="10"/>
        <rFont val="Arial"/>
        <family val="2"/>
      </rPr>
      <t>(LOCAL)</t>
    </r>
  </si>
  <si>
    <t>GOING THE DISTANCE</t>
  </si>
  <si>
    <r>
      <t xml:space="preserve">ABİMM </t>
    </r>
    <r>
      <rPr>
        <b/>
        <sz val="10"/>
        <color indexed="10"/>
        <rFont val="Arial"/>
        <family val="2"/>
      </rPr>
      <t>(LOCAL)</t>
    </r>
  </si>
  <si>
    <r>
      <t>OFF KARADENİZ</t>
    </r>
    <r>
      <rPr>
        <b/>
        <sz val="10"/>
        <color indexed="10"/>
        <rFont val="Arial"/>
        <family val="2"/>
      </rPr>
      <t xml:space="preserve"> (LOCAL)</t>
    </r>
  </si>
  <si>
    <r>
      <t>RİNA</t>
    </r>
    <r>
      <rPr>
        <b/>
        <sz val="10"/>
        <color indexed="10"/>
        <rFont val="Arial"/>
        <family val="2"/>
      </rPr>
      <t xml:space="preserve"> (LOCAL)</t>
    </r>
  </si>
  <si>
    <r>
      <t>AY LAV YU</t>
    </r>
    <r>
      <rPr>
        <b/>
        <sz val="10"/>
        <color indexed="10"/>
        <rFont val="Arial"/>
        <family val="2"/>
      </rPr>
      <t xml:space="preserve"> (LOCAL)</t>
    </r>
  </si>
  <si>
    <r>
      <t xml:space="preserve">GELECEKTEN BİR GÜN </t>
    </r>
    <r>
      <rPr>
        <b/>
        <sz val="10"/>
        <color indexed="10"/>
        <rFont val="Arial"/>
        <family val="2"/>
      </rPr>
      <t>(LOCAL)</t>
    </r>
  </si>
  <si>
    <r>
      <t xml:space="preserve">EV </t>
    </r>
    <r>
      <rPr>
        <b/>
        <sz val="10"/>
        <color indexed="10"/>
        <rFont val="Arial"/>
        <family val="2"/>
      </rPr>
      <t>(LOCAL)</t>
    </r>
  </si>
  <si>
    <t>2010 Türkiye Ex Years Releases Annual Box Office Report  01 January - 02 September 2010</t>
  </si>
  <si>
    <t>L'IMMORTAL</t>
  </si>
  <si>
    <t>GOSA</t>
  </si>
  <si>
    <t>PRINCE OF PERSIA: THE SANDS OF TIME</t>
  </si>
  <si>
    <t>CATS AND DOGS: REVENGE OF KITTY GALORE</t>
  </si>
  <si>
    <r>
      <t>PIRANHA</t>
    </r>
    <r>
      <rPr>
        <b/>
        <sz val="10"/>
        <color indexed="12"/>
        <rFont val="Arial"/>
        <family val="2"/>
      </rPr>
      <t xml:space="preserve"> (NEW)</t>
    </r>
  </si>
  <si>
    <r>
      <t>2010 Türkiye Annual Box Office Report</t>
    </r>
    <r>
      <rPr>
        <b/>
        <sz val="26"/>
        <rFont val="Garamond"/>
        <family val="1"/>
      </rPr>
      <t xml:space="preserve">  </t>
    </r>
    <r>
      <rPr>
        <b/>
        <sz val="12"/>
        <rFont val="Garamond"/>
        <family val="1"/>
      </rPr>
      <t>01 January - 02 September 2010</t>
    </r>
  </si>
</sst>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1">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0"/>
      <color indexed="9"/>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1"/>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medium"/>
      <bottom style="hair"/>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hair"/>
      <right style="hair"/>
      <top style="hair"/>
      <bottom style="thin"/>
    </border>
    <border>
      <left style="medium"/>
      <right style="hair"/>
      <top style="hair"/>
      <bottom style="thin"/>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171" fontId="0" fillId="0" borderId="0" applyFont="0" applyFill="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1"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477">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22" xfId="0" applyFont="1" applyFill="1" applyBorder="1" applyAlignment="1">
      <alignment horizontal="left" vertical="center"/>
    </xf>
    <xf numFmtId="0" fontId="0" fillId="0" borderId="22" xfId="0" applyNumberFormat="1" applyFont="1" applyFill="1" applyBorder="1" applyAlignment="1" applyProtection="1">
      <alignment horizontal="left" vertical="center"/>
      <protection locked="0"/>
    </xf>
    <xf numFmtId="1" fontId="54" fillId="0" borderId="23"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4" xfId="0" applyNumberFormat="1" applyFont="1" applyFill="1" applyBorder="1" applyAlignment="1" applyProtection="1">
      <alignment horizontal="center" wrapText="1"/>
      <protection/>
    </xf>
    <xf numFmtId="200" fontId="54" fillId="0" borderId="25" xfId="0" applyNumberFormat="1" applyFont="1" applyFill="1" applyBorder="1" applyAlignment="1" applyProtection="1">
      <alignment horizontal="center" wrapText="1"/>
      <protection/>
    </xf>
    <xf numFmtId="193" fontId="54" fillId="0" borderId="25" xfId="0" applyNumberFormat="1" applyFont="1" applyFill="1" applyBorder="1" applyAlignment="1" applyProtection="1">
      <alignment horizontal="center" wrapText="1"/>
      <protection/>
    </xf>
    <xf numFmtId="192" fontId="54" fillId="0" borderId="25"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 fontId="30" fillId="0" borderId="27" xfId="0" applyNumberFormat="1" applyFont="1" applyFill="1" applyBorder="1" applyAlignment="1" applyProtection="1">
      <alignment horizontal="right" vertical="center"/>
      <protection/>
    </xf>
    <xf numFmtId="0" fontId="30" fillId="0" borderId="24" xfId="0" applyFont="1" applyBorder="1" applyAlignment="1" applyProtection="1">
      <alignment vertical="center"/>
      <protection locked="0"/>
    </xf>
    <xf numFmtId="0" fontId="30" fillId="0" borderId="28"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1" fontId="55" fillId="0" borderId="29"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0"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17" fillId="0" borderId="31" xfId="0" applyFont="1" applyFill="1" applyBorder="1" applyAlignment="1">
      <alignment horizontal="right" vertical="center"/>
    </xf>
    <xf numFmtId="0" fontId="59" fillId="0" borderId="23"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2" xfId="0" applyFont="1" applyFill="1" applyBorder="1" applyAlignment="1">
      <alignment horizontal="center" vertical="center"/>
    </xf>
    <xf numFmtId="4" fontId="56" fillId="0" borderId="0" xfId="0" applyNumberFormat="1" applyFont="1" applyFill="1" applyBorder="1" applyAlignment="1">
      <alignment horizontal="center" vertical="center"/>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22" xfId="0" applyFont="1" applyFill="1" applyBorder="1" applyAlignment="1">
      <alignment vertical="center"/>
    </xf>
    <xf numFmtId="0" fontId="0" fillId="0" borderId="22" xfId="0" applyFont="1" applyFill="1" applyBorder="1" applyAlignment="1" applyProtection="1">
      <alignment vertical="center"/>
      <protection locked="0"/>
    </xf>
    <xf numFmtId="0" fontId="27" fillId="0" borderId="33" xfId="0" applyFont="1" applyFill="1" applyBorder="1" applyAlignment="1" applyProtection="1">
      <alignment horizontal="left" vertical="center"/>
      <protection locked="0"/>
    </xf>
    <xf numFmtId="184" fontId="15" fillId="0" borderId="34" xfId="0" applyNumberFormat="1" applyFont="1" applyFill="1" applyBorder="1" applyAlignment="1" applyProtection="1">
      <alignment horizontal="center" vertical="center"/>
      <protection locked="0"/>
    </xf>
    <xf numFmtId="184" fontId="15" fillId="0" borderId="34" xfId="0" applyNumberFormat="1" applyFont="1" applyFill="1" applyBorder="1" applyAlignment="1" applyProtection="1">
      <alignment vertical="center"/>
      <protection locked="0"/>
    </xf>
    <xf numFmtId="0" fontId="19" fillId="0" borderId="34" xfId="0" applyFont="1" applyFill="1" applyBorder="1" applyAlignment="1" applyProtection="1">
      <alignment horizontal="right" vertical="center"/>
      <protection locked="0"/>
    </xf>
    <xf numFmtId="4" fontId="17" fillId="0" borderId="34" xfId="40" applyNumberFormat="1" applyFont="1" applyFill="1" applyBorder="1" applyAlignment="1" applyProtection="1">
      <alignment horizontal="right" vertical="center"/>
      <protection locked="0"/>
    </xf>
    <xf numFmtId="3" fontId="17"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xf>
    <xf numFmtId="2" fontId="19" fillId="0" borderId="34" xfId="40" applyNumberFormat="1" applyFont="1" applyFill="1" applyBorder="1" applyAlignment="1" applyProtection="1">
      <alignment vertical="center"/>
      <protection/>
    </xf>
    <xf numFmtId="4" fontId="19"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locked="0"/>
    </xf>
    <xf numFmtId="2" fontId="19" fillId="0" borderId="35" xfId="40" applyNumberFormat="1" applyFont="1" applyFill="1" applyBorder="1" applyAlignment="1" applyProtection="1">
      <alignment vertical="center"/>
      <protection/>
    </xf>
    <xf numFmtId="0" fontId="27" fillId="0" borderId="36" xfId="0" applyFont="1" applyFill="1" applyBorder="1" applyAlignment="1" applyProtection="1">
      <alignment horizontal="left" vertical="center"/>
      <protection locked="0"/>
    </xf>
    <xf numFmtId="2" fontId="19" fillId="0" borderId="37" xfId="40" applyNumberFormat="1" applyFont="1" applyFill="1" applyBorder="1" applyAlignment="1" applyProtection="1">
      <alignment vertical="center"/>
      <protection/>
    </xf>
    <xf numFmtId="2" fontId="19" fillId="0" borderId="37" xfId="0" applyNumberFormat="1" applyFont="1" applyFill="1" applyBorder="1" applyAlignment="1">
      <alignment vertical="center"/>
    </xf>
    <xf numFmtId="0" fontId="27" fillId="0" borderId="36" xfId="0" applyFont="1" applyFill="1" applyBorder="1" applyAlignment="1">
      <alignment horizontal="left" vertical="center"/>
    </xf>
    <xf numFmtId="0" fontId="27" fillId="34" borderId="36" xfId="0" applyFont="1" applyFill="1" applyBorder="1" applyAlignment="1">
      <alignment horizontal="left" vertical="center"/>
    </xf>
    <xf numFmtId="2" fontId="19" fillId="0" borderId="37" xfId="0" applyNumberFormat="1" applyFont="1" applyFill="1" applyBorder="1" applyAlignment="1">
      <alignment horizontal="right" vertical="center"/>
    </xf>
    <xf numFmtId="0" fontId="27" fillId="0" borderId="36" xfId="0" applyFont="1" applyFill="1" applyBorder="1" applyAlignment="1">
      <alignment vertical="center"/>
    </xf>
    <xf numFmtId="2" fontId="19" fillId="0" borderId="37" xfId="61" applyNumberFormat="1" applyFont="1" applyFill="1" applyBorder="1" applyAlignment="1" applyProtection="1">
      <alignment vertical="center"/>
      <protection/>
    </xf>
    <xf numFmtId="0" fontId="27" fillId="0" borderId="36" xfId="0" applyNumberFormat="1" applyFont="1" applyFill="1" applyBorder="1" applyAlignment="1" applyProtection="1">
      <alignment horizontal="left" vertical="center"/>
      <protection locked="0"/>
    </xf>
    <xf numFmtId="2" fontId="19" fillId="0" borderId="37" xfId="45" applyNumberFormat="1" applyFont="1" applyFill="1" applyBorder="1" applyAlignment="1" applyProtection="1">
      <alignment vertical="center"/>
      <protection/>
    </xf>
    <xf numFmtId="0" fontId="27" fillId="0" borderId="36" xfId="0" applyFont="1" applyFill="1" applyBorder="1" applyAlignment="1" applyProtection="1">
      <alignment vertical="center"/>
      <protection locked="0"/>
    </xf>
    <xf numFmtId="0" fontId="27" fillId="0" borderId="36" xfId="0" applyFont="1" applyFill="1" applyBorder="1" applyAlignment="1">
      <alignment horizontal="left" vertical="center" shrinkToFit="1"/>
    </xf>
    <xf numFmtId="2" fontId="19" fillId="35" borderId="37" xfId="0" applyNumberFormat="1" applyFont="1" applyFill="1" applyBorder="1" applyAlignment="1">
      <alignment vertical="center"/>
    </xf>
    <xf numFmtId="0" fontId="27" fillId="35" borderId="36" xfId="0" applyFont="1" applyFill="1" applyBorder="1" applyAlignment="1">
      <alignment horizontal="left" vertical="center"/>
    </xf>
    <xf numFmtId="0" fontId="45" fillId="0" borderId="36" xfId="0" applyFont="1" applyBorder="1" applyAlignment="1">
      <alignment horizontal="left" vertical="center"/>
    </xf>
    <xf numFmtId="49" fontId="27" fillId="0" borderId="36" xfId="0" applyNumberFormat="1" applyFont="1" applyFill="1" applyBorder="1" applyAlignment="1" applyProtection="1">
      <alignment horizontal="left" vertical="center"/>
      <protection locked="0"/>
    </xf>
    <xf numFmtId="2" fontId="19" fillId="0" borderId="37" xfId="43" applyNumberFormat="1" applyFont="1" applyFill="1" applyBorder="1" applyAlignment="1" applyProtection="1">
      <alignment vertical="center"/>
      <protection/>
    </xf>
    <xf numFmtId="0" fontId="27" fillId="0" borderId="38" xfId="0" applyFont="1" applyFill="1" applyBorder="1" applyAlignment="1" applyProtection="1">
      <alignment horizontal="left" vertical="center"/>
      <protection locked="0"/>
    </xf>
    <xf numFmtId="184" fontId="15" fillId="0" borderId="25" xfId="0" applyNumberFormat="1" applyFont="1" applyFill="1" applyBorder="1" applyAlignment="1" applyProtection="1">
      <alignment horizontal="center" vertical="center"/>
      <protection locked="0"/>
    </xf>
    <xf numFmtId="184" fontId="15" fillId="0" borderId="25" xfId="0" applyNumberFormat="1" applyFont="1" applyFill="1" applyBorder="1" applyAlignment="1" applyProtection="1">
      <alignment vertical="center"/>
      <protection locked="0"/>
    </xf>
    <xf numFmtId="0" fontId="19" fillId="0" borderId="25" xfId="0" applyFont="1" applyFill="1" applyBorder="1" applyAlignment="1" applyProtection="1">
      <alignment horizontal="right" vertical="center"/>
      <protection locked="0"/>
    </xf>
    <xf numFmtId="4" fontId="17" fillId="0" borderId="25" xfId="40" applyNumberFormat="1" applyFont="1" applyFill="1" applyBorder="1" applyAlignment="1" applyProtection="1">
      <alignment horizontal="right" vertical="center"/>
      <protection locked="0"/>
    </xf>
    <xf numFmtId="3" fontId="17"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xf>
    <xf numFmtId="2" fontId="19" fillId="0" borderId="25" xfId="40" applyNumberFormat="1" applyFont="1" applyFill="1" applyBorder="1" applyAlignment="1" applyProtection="1">
      <alignment horizontal="right" vertical="center"/>
      <protection/>
    </xf>
    <xf numFmtId="4" fontId="19"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locked="0"/>
    </xf>
    <xf numFmtId="2" fontId="0" fillId="0" borderId="39" xfId="40" applyNumberFormat="1" applyFont="1" applyFill="1" applyBorder="1" applyAlignment="1" applyProtection="1">
      <alignment horizontal="right" vertical="center"/>
      <protection/>
    </xf>
    <xf numFmtId="2" fontId="0" fillId="0" borderId="40" xfId="40" applyNumberFormat="1" applyFont="1" applyFill="1" applyBorder="1" applyAlignment="1" applyProtection="1">
      <alignment horizontal="right" vertical="center"/>
      <protection/>
    </xf>
    <xf numFmtId="0" fontId="0" fillId="0" borderId="27" xfId="0" applyFont="1" applyFill="1" applyBorder="1" applyAlignment="1" applyProtection="1">
      <alignment vertical="center"/>
      <protection locked="0"/>
    </xf>
    <xf numFmtId="184" fontId="0" fillId="0" borderId="15"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protection locked="0"/>
    </xf>
    <xf numFmtId="184" fontId="0" fillId="0" borderId="42" xfId="0" applyNumberFormat="1" applyFont="1" applyFill="1" applyBorder="1" applyAlignment="1" applyProtection="1">
      <alignment horizontal="center" vertical="center"/>
      <protection locked="0"/>
    </xf>
    <xf numFmtId="2" fontId="19" fillId="0" borderId="26" xfId="0" applyNumberFormat="1" applyFont="1" applyFill="1" applyBorder="1" applyAlignment="1">
      <alignment vertical="center"/>
    </xf>
    <xf numFmtId="0" fontId="32" fillId="0" borderId="43" xfId="0" applyFont="1" applyFill="1" applyBorder="1" applyAlignment="1">
      <alignment horizontal="right"/>
    </xf>
    <xf numFmtId="0" fontId="56" fillId="0" borderId="43"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right" vertical="center"/>
      <protection locked="0"/>
    </xf>
    <xf numFmtId="0" fontId="29" fillId="0" borderId="43" xfId="0" applyFont="1" applyFill="1" applyBorder="1" applyAlignment="1">
      <alignment horizontal="right" vertical="center"/>
    </xf>
    <xf numFmtId="0" fontId="29" fillId="0" borderId="43" xfId="0" applyFont="1" applyFill="1" applyBorder="1" applyAlignment="1" applyProtection="1">
      <alignment vertical="center"/>
      <protection locked="0"/>
    </xf>
    <xf numFmtId="0" fontId="10" fillId="0" borderId="43" xfId="0" applyFont="1" applyFill="1" applyBorder="1" applyAlignment="1" applyProtection="1">
      <alignment horizontal="right" vertical="center"/>
      <protection locked="0"/>
    </xf>
    <xf numFmtId="0" fontId="29" fillId="0" borderId="43" xfId="0" applyFont="1" applyFill="1" applyBorder="1" applyAlignment="1">
      <alignment vertical="center"/>
    </xf>
    <xf numFmtId="1" fontId="29" fillId="0" borderId="43" xfId="0" applyNumberFormat="1" applyFont="1" applyFill="1" applyBorder="1" applyAlignment="1" applyProtection="1">
      <alignment horizontal="right" vertical="center"/>
      <protection locked="0"/>
    </xf>
    <xf numFmtId="1" fontId="29" fillId="0" borderId="43" xfId="0" applyNumberFormat="1" applyFont="1" applyFill="1" applyBorder="1" applyAlignment="1" applyProtection="1">
      <alignment horizontal="right" vertical="center"/>
      <protection locked="0"/>
    </xf>
    <xf numFmtId="0" fontId="33" fillId="0" borderId="43" xfId="0" applyFont="1" applyFill="1" applyBorder="1" applyAlignment="1" applyProtection="1">
      <alignment vertical="center"/>
      <protection locked="0"/>
    </xf>
    <xf numFmtId="0" fontId="29" fillId="35" borderId="43" xfId="0" applyFont="1" applyFill="1" applyBorder="1" applyAlignment="1" applyProtection="1">
      <alignment vertical="center"/>
      <protection locked="0"/>
    </xf>
    <xf numFmtId="0" fontId="29" fillId="0" borderId="43" xfId="0" applyNumberFormat="1" applyFont="1" applyFill="1" applyBorder="1" applyAlignment="1" applyProtection="1">
      <alignment horizontal="center" vertical="center"/>
      <protection locked="0"/>
    </xf>
    <xf numFmtId="0" fontId="29" fillId="0" borderId="43" xfId="0" applyFont="1" applyFill="1" applyBorder="1" applyAlignment="1" applyProtection="1">
      <alignment vertical="center"/>
      <protection locked="0"/>
    </xf>
    <xf numFmtId="0" fontId="29" fillId="0" borderId="43" xfId="0" applyFont="1" applyBorder="1" applyAlignment="1" applyProtection="1">
      <alignment vertical="center"/>
      <protection locked="0"/>
    </xf>
    <xf numFmtId="0" fontId="29" fillId="35" borderId="43" xfId="0" applyFont="1" applyFill="1" applyBorder="1" applyAlignment="1" applyProtection="1">
      <alignment vertical="center"/>
      <protection locked="0"/>
    </xf>
    <xf numFmtId="1" fontId="29" fillId="0" borderId="43" xfId="0" applyNumberFormat="1" applyFont="1" applyFill="1" applyBorder="1" applyAlignment="1">
      <alignment horizontal="right" vertical="center"/>
    </xf>
    <xf numFmtId="0" fontId="29" fillId="35" borderId="43" xfId="0" applyFont="1" applyFill="1" applyBorder="1" applyAlignment="1">
      <alignment/>
    </xf>
    <xf numFmtId="0" fontId="29" fillId="0" borderId="43" xfId="0" applyFont="1" applyFill="1" applyBorder="1" applyAlignment="1">
      <alignment/>
    </xf>
    <xf numFmtId="0" fontId="29" fillId="0" borderId="43" xfId="0" applyFont="1" applyBorder="1" applyAlignment="1">
      <alignment/>
    </xf>
    <xf numFmtId="0" fontId="29" fillId="0" borderId="43" xfId="0" applyFont="1" applyFill="1" applyBorder="1" applyAlignment="1">
      <alignment/>
    </xf>
    <xf numFmtId="0" fontId="29" fillId="35" borderId="43" xfId="0" applyFont="1" applyFill="1" applyBorder="1" applyAlignment="1">
      <alignment vertical="center"/>
    </xf>
    <xf numFmtId="3" fontId="29" fillId="0" borderId="43" xfId="0" applyNumberFormat="1" applyFont="1" applyFill="1" applyBorder="1" applyAlignment="1">
      <alignment horizontal="right" vertical="center"/>
    </xf>
    <xf numFmtId="0" fontId="29" fillId="0" borderId="43" xfId="0" applyFont="1" applyFill="1" applyBorder="1" applyAlignment="1">
      <alignment horizontal="right"/>
    </xf>
    <xf numFmtId="0" fontId="33" fillId="0" borderId="43" xfId="0" applyFont="1" applyFill="1" applyBorder="1" applyAlignment="1">
      <alignment horizontal="right"/>
    </xf>
    <xf numFmtId="4" fontId="54" fillId="0" borderId="25" xfId="0" applyNumberFormat="1" applyFont="1" applyFill="1" applyBorder="1" applyAlignment="1" applyProtection="1">
      <alignment horizontal="center" wrapText="1"/>
      <protection/>
    </xf>
    <xf numFmtId="3" fontId="54" fillId="0" borderId="25" xfId="0" applyNumberFormat="1" applyFont="1" applyFill="1" applyBorder="1" applyAlignment="1" applyProtection="1">
      <alignment horizontal="center" wrapText="1"/>
      <protection/>
    </xf>
    <xf numFmtId="2" fontId="54" fillId="0" borderId="25" xfId="0" applyNumberFormat="1" applyFont="1" applyFill="1" applyBorder="1" applyAlignment="1" applyProtection="1">
      <alignment horizontal="center" wrapText="1"/>
      <protection/>
    </xf>
    <xf numFmtId="2" fontId="54" fillId="0" borderId="26" xfId="0" applyNumberFormat="1" applyFont="1" applyFill="1" applyBorder="1" applyAlignment="1" applyProtection="1">
      <alignment horizontal="center" wrapText="1"/>
      <protection/>
    </xf>
    <xf numFmtId="200" fontId="54" fillId="0" borderId="44" xfId="0" applyNumberFormat="1" applyFont="1" applyFill="1" applyBorder="1" applyAlignment="1" applyProtection="1">
      <alignment horizontal="center" vertical="center" wrapText="1"/>
      <protection/>
    </xf>
    <xf numFmtId="193" fontId="54" fillId="0" borderId="4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right" vertical="center"/>
      <protection locked="0"/>
    </xf>
    <xf numFmtId="0" fontId="10" fillId="0" borderId="43" xfId="0"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lignment vertical="center"/>
    </xf>
    <xf numFmtId="0" fontId="10" fillId="0" borderId="13" xfId="0" applyFont="1" applyFill="1" applyBorder="1" applyAlignment="1" applyProtection="1">
      <alignment horizontal="right" vertical="center"/>
      <protection locked="0"/>
    </xf>
    <xf numFmtId="4" fontId="39" fillId="0" borderId="13" xfId="0" applyNumberFormat="1" applyFont="1" applyFill="1" applyBorder="1" applyAlignment="1">
      <alignment horizontal="center" vertical="center"/>
    </xf>
    <xf numFmtId="4" fontId="25" fillId="0" borderId="45"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0" applyFont="1" applyFill="1" applyBorder="1" applyAlignment="1" applyProtection="1">
      <alignment horizontal="center" vertical="center"/>
      <protection locked="0"/>
    </xf>
    <xf numFmtId="0" fontId="29" fillId="35" borderId="13"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63" fillId="0" borderId="14" xfId="0" applyFont="1" applyFill="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43" xfId="0" applyFont="1" applyBorder="1" applyAlignment="1" applyProtection="1">
      <alignment horizontal="center" vertical="center"/>
      <protection locked="0"/>
    </xf>
    <xf numFmtId="0" fontId="29" fillId="0" borderId="13" xfId="0" applyFont="1" applyFill="1" applyBorder="1" applyAlignment="1">
      <alignment horizontal="right" vertical="center"/>
    </xf>
    <xf numFmtId="0" fontId="29" fillId="35" borderId="13" xfId="0" applyFont="1" applyFill="1" applyBorder="1" applyAlignment="1" applyProtection="1">
      <alignment horizontal="center" vertical="center"/>
      <protection locked="0"/>
    </xf>
    <xf numFmtId="184" fontId="0" fillId="0" borderId="10" xfId="0" applyNumberFormat="1" applyFont="1" applyFill="1" applyBorder="1" applyAlignment="1" applyProtection="1">
      <alignment horizontal="center" vertical="center"/>
      <protection locked="0"/>
    </xf>
    <xf numFmtId="184" fontId="0" fillId="0" borderId="46" xfId="0" applyNumberFormat="1" applyFont="1" applyFill="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1" fontId="29" fillId="0" borderId="13"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187" fontId="42" fillId="0" borderId="13" xfId="40" applyNumberFormat="1" applyFont="1" applyFill="1" applyBorder="1" applyAlignment="1" applyProtection="1">
      <alignment vertical="center"/>
      <protection locked="0"/>
    </xf>
    <xf numFmtId="193" fontId="42" fillId="0" borderId="13" xfId="40" applyNumberFormat="1" applyFont="1" applyFill="1" applyBorder="1" applyAlignment="1" applyProtection="1">
      <alignment vertical="center"/>
      <protection locked="0"/>
    </xf>
    <xf numFmtId="193" fontId="0" fillId="0" borderId="13" xfId="40" applyNumberFormat="1" applyFont="1" applyFill="1" applyBorder="1" applyAlignment="1" applyProtection="1">
      <alignment vertical="center"/>
      <protection/>
    </xf>
    <xf numFmtId="192" fontId="0" fillId="0" borderId="13" xfId="40" applyNumberFormat="1" applyFont="1" applyFill="1" applyBorder="1" applyAlignment="1" applyProtection="1">
      <alignment vertical="center"/>
      <protection/>
    </xf>
    <xf numFmtId="187" fontId="0" fillId="0" borderId="13" xfId="40" applyNumberFormat="1" applyFont="1" applyFill="1" applyBorder="1" applyAlignment="1" applyProtection="1">
      <alignment vertical="center"/>
      <protection locked="0"/>
    </xf>
    <xf numFmtId="181" fontId="0" fillId="0" borderId="13" xfId="40" applyNumberFormat="1" applyFont="1" applyFill="1" applyBorder="1" applyAlignment="1" applyProtection="1">
      <alignment vertical="center"/>
      <protection locked="0"/>
    </xf>
    <xf numFmtId="0" fontId="0" fillId="0" borderId="27" xfId="0" applyFont="1" applyFill="1" applyBorder="1" applyAlignment="1" applyProtection="1">
      <alignment horizontal="left" vertical="center"/>
      <protection locked="0"/>
    </xf>
    <xf numFmtId="0" fontId="0" fillId="0" borderId="15" xfId="0" applyFont="1" applyFill="1" applyBorder="1" applyAlignment="1" applyProtection="1">
      <alignment horizontal="center" vertical="center"/>
      <protection locked="0"/>
    </xf>
    <xf numFmtId="187" fontId="42" fillId="0" borderId="15" xfId="40" applyNumberFormat="1" applyFont="1" applyFill="1" applyBorder="1" applyAlignment="1" applyProtection="1">
      <alignment vertical="center"/>
      <protection locked="0"/>
    </xf>
    <xf numFmtId="193" fontId="42" fillId="0" borderId="15" xfId="40" applyNumberFormat="1" applyFont="1" applyFill="1" applyBorder="1" applyAlignment="1" applyProtection="1">
      <alignment vertical="center"/>
      <protection locked="0"/>
    </xf>
    <xf numFmtId="193" fontId="0" fillId="0" borderId="15" xfId="40" applyNumberFormat="1" applyFont="1" applyFill="1" applyBorder="1" applyAlignment="1" applyProtection="1">
      <alignment vertical="center"/>
      <protection/>
    </xf>
    <xf numFmtId="192" fontId="0" fillId="0" borderId="15" xfId="40" applyNumberFormat="1" applyFont="1" applyFill="1" applyBorder="1" applyAlignment="1" applyProtection="1">
      <alignment vertical="center"/>
      <protection/>
    </xf>
    <xf numFmtId="187" fontId="0" fillId="0" borderId="15" xfId="40" applyNumberFormat="1" applyFont="1" applyFill="1" applyBorder="1" applyAlignment="1" applyProtection="1">
      <alignment vertical="center"/>
      <protection locked="0"/>
    </xf>
    <xf numFmtId="181" fontId="0" fillId="0" borderId="15" xfId="40" applyNumberFormat="1" applyFont="1" applyFill="1" applyBorder="1" applyAlignment="1" applyProtection="1">
      <alignment vertical="center"/>
      <protection locked="0"/>
    </xf>
    <xf numFmtId="192" fontId="0" fillId="0" borderId="39" xfId="40" applyNumberFormat="1" applyFont="1" applyFill="1" applyBorder="1" applyAlignment="1" applyProtection="1">
      <alignment vertical="center"/>
      <protection/>
    </xf>
    <xf numFmtId="192" fontId="0" fillId="0" borderId="40" xfId="40" applyNumberFormat="1" applyFont="1" applyFill="1" applyBorder="1" applyAlignment="1" applyProtection="1">
      <alignment vertical="center"/>
      <protection/>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center" vertical="center"/>
      <protection locked="0"/>
    </xf>
    <xf numFmtId="187" fontId="42" fillId="0" borderId="42" xfId="40" applyNumberFormat="1" applyFont="1" applyFill="1" applyBorder="1" applyAlignment="1" applyProtection="1">
      <alignment vertical="center"/>
      <protection locked="0"/>
    </xf>
    <xf numFmtId="193" fontId="42" fillId="0" borderId="42" xfId="40" applyNumberFormat="1" applyFont="1" applyFill="1" applyBorder="1" applyAlignment="1" applyProtection="1">
      <alignment vertical="center"/>
      <protection locked="0"/>
    </xf>
    <xf numFmtId="193" fontId="0" fillId="0" borderId="42" xfId="40" applyNumberFormat="1" applyFont="1" applyFill="1" applyBorder="1" applyAlignment="1" applyProtection="1">
      <alignment vertical="center"/>
      <protection/>
    </xf>
    <xf numFmtId="192" fontId="0" fillId="0" borderId="42" xfId="40" applyNumberFormat="1" applyFont="1" applyFill="1" applyBorder="1" applyAlignment="1" applyProtection="1">
      <alignment vertical="center"/>
      <protection/>
    </xf>
    <xf numFmtId="187" fontId="0" fillId="0" borderId="42" xfId="40" applyNumberFormat="1" applyFont="1" applyFill="1" applyBorder="1" applyAlignment="1" applyProtection="1">
      <alignment vertical="center"/>
      <protection locked="0"/>
    </xf>
    <xf numFmtId="181" fontId="0" fillId="0" borderId="42" xfId="40" applyNumberFormat="1" applyFont="1" applyFill="1" applyBorder="1" applyAlignment="1" applyProtection="1">
      <alignment vertical="center"/>
      <protection locked="0"/>
    </xf>
    <xf numFmtId="192" fontId="0" fillId="0" borderId="48" xfId="40" applyNumberFormat="1" applyFont="1" applyFill="1" applyBorder="1" applyAlignment="1" applyProtection="1">
      <alignment vertical="center"/>
      <protection/>
    </xf>
    <xf numFmtId="0" fontId="0" fillId="0" borderId="4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187" fontId="42" fillId="0" borderId="10" xfId="40" applyNumberFormat="1" applyFont="1" applyFill="1" applyBorder="1" applyAlignment="1" applyProtection="1">
      <alignment vertical="center"/>
      <protection locked="0"/>
    </xf>
    <xf numFmtId="193" fontId="42" fillId="0" borderId="10" xfId="40" applyNumberFormat="1" applyFont="1" applyFill="1" applyBorder="1" applyAlignment="1" applyProtection="1">
      <alignment vertical="center"/>
      <protection locked="0"/>
    </xf>
    <xf numFmtId="193" fontId="0" fillId="0" borderId="10" xfId="40" applyNumberFormat="1" applyFont="1" applyFill="1" applyBorder="1" applyAlignment="1" applyProtection="1">
      <alignment vertical="center"/>
      <protection/>
    </xf>
    <xf numFmtId="192" fontId="0" fillId="0" borderId="10" xfId="40" applyNumberFormat="1" applyFont="1" applyFill="1" applyBorder="1" applyAlignment="1" applyProtection="1">
      <alignment vertical="center"/>
      <protection/>
    </xf>
    <xf numFmtId="187" fontId="0" fillId="0" borderId="10" xfId="40" applyNumberFormat="1" applyFont="1" applyFill="1" applyBorder="1" applyAlignment="1" applyProtection="1">
      <alignment vertical="center"/>
      <protection locked="0"/>
    </xf>
    <xf numFmtId="181" fontId="0" fillId="0" borderId="10" xfId="40" applyNumberFormat="1" applyFont="1" applyFill="1" applyBorder="1" applyAlignment="1" applyProtection="1">
      <alignment vertical="center"/>
      <protection locked="0"/>
    </xf>
    <xf numFmtId="192" fontId="0" fillId="0" borderId="50" xfId="40" applyNumberFormat="1" applyFont="1" applyFill="1" applyBorder="1" applyAlignment="1" applyProtection="1">
      <alignment vertical="center"/>
      <protection/>
    </xf>
    <xf numFmtId="0" fontId="0" fillId="0" borderId="46" xfId="0" applyFont="1" applyFill="1" applyBorder="1" applyAlignment="1" applyProtection="1">
      <alignment horizontal="center" vertical="center"/>
      <protection locked="0"/>
    </xf>
    <xf numFmtId="187" fontId="42" fillId="0" borderId="46" xfId="40" applyNumberFormat="1" applyFont="1" applyFill="1" applyBorder="1" applyAlignment="1" applyProtection="1">
      <alignment vertical="center"/>
      <protection locked="0"/>
    </xf>
    <xf numFmtId="193" fontId="42" fillId="0" borderId="46" xfId="40" applyNumberFormat="1" applyFont="1" applyFill="1" applyBorder="1" applyAlignment="1" applyProtection="1">
      <alignment vertical="center"/>
      <protection locked="0"/>
    </xf>
    <xf numFmtId="193" fontId="0" fillId="0" borderId="46" xfId="40" applyNumberFormat="1" applyFont="1" applyFill="1" applyBorder="1" applyAlignment="1" applyProtection="1">
      <alignment vertical="center"/>
      <protection/>
    </xf>
    <xf numFmtId="192" fontId="0" fillId="0" borderId="46" xfId="40" applyNumberFormat="1" applyFont="1" applyFill="1" applyBorder="1" applyAlignment="1" applyProtection="1">
      <alignment vertical="center"/>
      <protection/>
    </xf>
    <xf numFmtId="187" fontId="0" fillId="0" borderId="46" xfId="40" applyNumberFormat="1" applyFont="1" applyFill="1" applyBorder="1" applyAlignment="1" applyProtection="1">
      <alignment vertical="center"/>
      <protection locked="0"/>
    </xf>
    <xf numFmtId="181" fontId="0" fillId="0" borderId="46" xfId="40" applyNumberFormat="1" applyFont="1" applyFill="1" applyBorder="1" applyAlignment="1" applyProtection="1">
      <alignment vertical="center"/>
      <protection locked="0"/>
    </xf>
    <xf numFmtId="192" fontId="0" fillId="0" borderId="51" xfId="40" applyNumberFormat="1" applyFont="1" applyFill="1" applyBorder="1" applyAlignment="1" applyProtection="1">
      <alignment vertical="center"/>
      <protection/>
    </xf>
    <xf numFmtId="0" fontId="29" fillId="0" borderId="13" xfId="0" applyNumberFormat="1"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49" fontId="0" fillId="0" borderId="13"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2" fontId="0" fillId="0" borderId="40" xfId="0" applyNumberFormat="1" applyFont="1" applyFill="1" applyBorder="1" applyAlignment="1">
      <alignment horizontal="right" vertical="center"/>
    </xf>
    <xf numFmtId="2" fontId="0" fillId="0" borderId="40" xfId="0" applyNumberFormat="1" applyFont="1" applyFill="1" applyBorder="1" applyAlignment="1" applyProtection="1">
      <alignment horizontal="right" vertical="center"/>
      <protection locked="0"/>
    </xf>
    <xf numFmtId="2" fontId="0" fillId="0" borderId="40" xfId="43" applyNumberFormat="1" applyFont="1" applyFill="1" applyBorder="1" applyAlignment="1" applyProtection="1">
      <alignment horizontal="right" vertical="center"/>
      <protection/>
    </xf>
    <xf numFmtId="0" fontId="0" fillId="0" borderId="42" xfId="0" applyFont="1" applyFill="1" applyBorder="1" applyAlignment="1" applyProtection="1">
      <alignment horizontal="left" vertical="center"/>
      <protection locked="0"/>
    </xf>
    <xf numFmtId="4" fontId="0" fillId="0" borderId="13" xfId="0" applyNumberFormat="1" applyFont="1" applyFill="1" applyBorder="1" applyAlignment="1">
      <alignment vertical="center"/>
    </xf>
    <xf numFmtId="3" fontId="0" fillId="0" borderId="13" xfId="0" applyNumberFormat="1" applyFont="1" applyFill="1" applyBorder="1" applyAlignment="1">
      <alignment vertical="center"/>
    </xf>
    <xf numFmtId="4"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 fontId="0" fillId="0" borderId="13" xfId="0" applyNumberFormat="1" applyFont="1" applyFill="1" applyBorder="1" applyAlignment="1" applyProtection="1">
      <alignment horizontal="right" vertical="center"/>
      <protection locked="0"/>
    </xf>
    <xf numFmtId="3" fontId="0" fillId="0" borderId="13" xfId="0" applyNumberFormat="1" applyFont="1" applyFill="1" applyBorder="1" applyAlignment="1" applyProtection="1">
      <alignment horizontal="right" vertical="center"/>
      <protection locked="0"/>
    </xf>
    <xf numFmtId="4" fontId="0" fillId="0" borderId="13" xfId="43" applyNumberFormat="1" applyFont="1" applyFill="1" applyBorder="1" applyAlignment="1" applyProtection="1">
      <alignment horizontal="right" vertical="center"/>
      <protection locked="0"/>
    </xf>
    <xf numFmtId="3" fontId="0" fillId="0" borderId="13" xfId="43"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10" fillId="0" borderId="14" xfId="0" applyFont="1" applyFill="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1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4" fontId="0" fillId="0" borderId="13" xfId="40" applyNumberFormat="1" applyFont="1" applyFill="1" applyBorder="1" applyAlignment="1" applyProtection="1">
      <alignment vertical="center"/>
      <protection locked="0"/>
    </xf>
    <xf numFmtId="3" fontId="0" fillId="0" borderId="13" xfId="40" applyNumberFormat="1" applyFont="1" applyFill="1" applyBorder="1" applyAlignment="1" applyProtection="1">
      <alignment vertical="center"/>
      <protection locked="0"/>
    </xf>
    <xf numFmtId="2" fontId="0" fillId="0" borderId="40" xfId="40" applyNumberFormat="1" applyFont="1" applyFill="1" applyBorder="1" applyAlignment="1" applyProtection="1">
      <alignment vertical="center"/>
      <protection/>
    </xf>
    <xf numFmtId="4" fontId="0" fillId="0" borderId="10" xfId="40" applyNumberFormat="1" applyFont="1" applyFill="1" applyBorder="1" applyAlignment="1" applyProtection="1">
      <alignment vertical="center"/>
      <protection locked="0"/>
    </xf>
    <xf numFmtId="3" fontId="0" fillId="0" borderId="10" xfId="40" applyNumberFormat="1" applyFont="1" applyFill="1" applyBorder="1" applyAlignment="1" applyProtection="1">
      <alignment vertical="center"/>
      <protection locked="0"/>
    </xf>
    <xf numFmtId="2" fontId="0" fillId="0" borderId="50" xfId="40" applyNumberFormat="1" applyFont="1" applyFill="1" applyBorder="1" applyAlignment="1" applyProtection="1">
      <alignment vertical="center"/>
      <protection/>
    </xf>
    <xf numFmtId="4" fontId="0" fillId="0" borderId="46" xfId="40" applyNumberFormat="1" applyFont="1" applyFill="1" applyBorder="1" applyAlignment="1" applyProtection="1">
      <alignment vertical="center"/>
      <protection locked="0"/>
    </xf>
    <xf numFmtId="3" fontId="0" fillId="0" borderId="46" xfId="40" applyNumberFormat="1" applyFont="1" applyFill="1" applyBorder="1" applyAlignment="1" applyProtection="1">
      <alignment vertical="center"/>
      <protection locked="0"/>
    </xf>
    <xf numFmtId="2" fontId="0" fillId="0" borderId="51" xfId="40" applyNumberFormat="1" applyFont="1" applyFill="1" applyBorder="1" applyAlignment="1" applyProtection="1">
      <alignment vertical="center"/>
      <protection/>
    </xf>
    <xf numFmtId="0" fontId="42" fillId="0" borderId="17" xfId="0" applyFont="1" applyBorder="1" applyAlignment="1">
      <alignment horizontal="right" vertical="center"/>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4" fillId="0" borderId="34" xfId="0" applyNumberFormat="1" applyFont="1" applyFill="1" applyBorder="1" applyAlignment="1" applyProtection="1">
      <alignment horizontal="center" wrapText="1"/>
      <protection/>
    </xf>
    <xf numFmtId="0" fontId="55" fillId="0" borderId="34" xfId="0" applyFont="1" applyBorder="1" applyAlignment="1">
      <alignment horizontal="center"/>
    </xf>
    <xf numFmtId="0" fontId="55" fillId="0" borderId="35" xfId="0" applyFont="1" applyBorder="1" applyAlignment="1">
      <alignment horizontal="center"/>
    </xf>
    <xf numFmtId="0" fontId="54" fillId="0" borderId="34" xfId="0" applyNumberFormat="1" applyFont="1" applyFill="1" applyBorder="1" applyAlignment="1" applyProtection="1">
      <alignment horizontal="center" wrapText="1"/>
      <protection/>
    </xf>
    <xf numFmtId="0" fontId="55" fillId="0" borderId="25" xfId="0" applyFont="1" applyBorder="1" applyAlignment="1">
      <alignment horizontal="center"/>
    </xf>
    <xf numFmtId="171" fontId="54" fillId="0" borderId="33" xfId="43" applyFont="1" applyFill="1" applyBorder="1" applyAlignment="1" applyProtection="1">
      <alignment horizontal="center" wrapText="1"/>
      <protection/>
    </xf>
    <xf numFmtId="0" fontId="55" fillId="0" borderId="38" xfId="0" applyFont="1" applyBorder="1" applyAlignment="1">
      <alignment horizontal="center"/>
    </xf>
    <xf numFmtId="0" fontId="54" fillId="0" borderId="34" xfId="0" applyFont="1" applyFill="1" applyBorder="1" applyAlignment="1" applyProtection="1">
      <alignment horizontal="center" wrapText="1"/>
      <protection/>
    </xf>
    <xf numFmtId="4" fontId="54" fillId="0" borderId="34" xfId="0" applyNumberFormat="1" applyFont="1" applyFill="1" applyBorder="1" applyAlignment="1" applyProtection="1">
      <alignment horizontal="center" wrapText="1"/>
      <protection/>
    </xf>
    <xf numFmtId="184" fontId="54" fillId="0" borderId="34"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4" fontId="62" fillId="0" borderId="13" xfId="40" applyNumberFormat="1" applyFont="1" applyFill="1" applyBorder="1" applyAlignment="1" applyProtection="1">
      <alignment horizontal="right" vertical="center" wrapText="1"/>
      <protection locked="0"/>
    </xf>
    <xf numFmtId="4" fontId="62" fillId="0" borderId="40" xfId="40" applyNumberFormat="1" applyFont="1" applyFill="1" applyBorder="1" applyAlignment="1" applyProtection="1">
      <alignment horizontal="right" vertical="center" wrapText="1"/>
      <protection locked="0"/>
    </xf>
    <xf numFmtId="4" fontId="62" fillId="0" borderId="42" xfId="40" applyNumberFormat="1" applyFont="1" applyFill="1" applyBorder="1" applyAlignment="1" applyProtection="1">
      <alignment horizontal="right" vertical="center" wrapText="1"/>
      <protection locked="0"/>
    </xf>
    <xf numFmtId="4" fontId="62" fillId="0" borderId="48" xfId="40" applyNumberFormat="1" applyFont="1" applyFill="1" applyBorder="1" applyAlignment="1" applyProtection="1">
      <alignment horizontal="right" vertical="center" wrapText="1"/>
      <protection locked="0"/>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4" fillId="0" borderId="29"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0" fontId="54" fillId="0" borderId="56" xfId="0" applyNumberFormat="1" applyFont="1" applyFill="1" applyBorder="1" applyAlignment="1">
      <alignment horizontal="center" vertical="center" wrapText="1"/>
    </xf>
    <xf numFmtId="0" fontId="54" fillId="0" borderId="44" xfId="0" applyNumberFormat="1" applyFont="1" applyFill="1" applyBorder="1" applyAlignment="1">
      <alignment horizontal="center" vertical="center" wrapText="1"/>
    </xf>
    <xf numFmtId="0" fontId="54" fillId="0" borderId="56" xfId="0" applyNumberFormat="1" applyFont="1" applyFill="1" applyBorder="1" applyAlignment="1" applyProtection="1">
      <alignment horizontal="center" vertical="center" wrapText="1"/>
      <protection/>
    </xf>
    <xf numFmtId="0" fontId="54" fillId="0" borderId="44" xfId="0" applyNumberFormat="1" applyFont="1" applyFill="1" applyBorder="1" applyAlignment="1" applyProtection="1">
      <alignment horizontal="center" vertical="center" wrapText="1"/>
      <protection/>
    </xf>
    <xf numFmtId="192" fontId="54" fillId="0" borderId="57" xfId="0" applyNumberFormat="1" applyFont="1" applyFill="1" applyBorder="1" applyAlignment="1" applyProtection="1">
      <alignment horizontal="center" vertical="center" wrapText="1"/>
      <protection/>
    </xf>
    <xf numFmtId="192" fontId="54" fillId="0" borderId="58" xfId="0" applyNumberFormat="1" applyFont="1" applyFill="1" applyBorder="1" applyAlignment="1" applyProtection="1">
      <alignment horizontal="center" vertical="center" wrapText="1"/>
      <protection/>
    </xf>
    <xf numFmtId="0" fontId="54" fillId="0" borderId="34" xfId="0" applyNumberFormat="1" applyFont="1" applyFill="1" applyBorder="1" applyAlignment="1" applyProtection="1">
      <alignment horizontal="center" vertical="center" wrapText="1"/>
      <protection/>
    </xf>
    <xf numFmtId="0" fontId="54" fillId="0" borderId="25" xfId="0" applyFont="1" applyBorder="1" applyAlignment="1">
      <alignment horizontal="center" vertical="center"/>
    </xf>
    <xf numFmtId="2" fontId="36" fillId="36" borderId="44"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5" fillId="0" borderId="33" xfId="43" applyFont="1" applyFill="1" applyBorder="1" applyAlignment="1" applyProtection="1">
      <alignment horizontal="center" vertical="center" wrapText="1"/>
      <protection/>
    </xf>
    <xf numFmtId="0" fontId="55" fillId="0" borderId="38" xfId="0" applyFont="1" applyBorder="1" applyAlignment="1">
      <alignment horizontal="center" vertical="center"/>
    </xf>
    <xf numFmtId="184" fontId="54" fillId="0" borderId="34" xfId="0" applyNumberFormat="1" applyFont="1" applyFill="1" applyBorder="1" applyAlignment="1" applyProtection="1">
      <alignment horizontal="center" vertical="center" wrapText="1"/>
      <protection/>
    </xf>
    <xf numFmtId="184" fontId="54" fillId="0" borderId="25" xfId="0" applyNumberFormat="1" applyFont="1" applyBorder="1" applyAlignment="1">
      <alignment horizontal="center" vertical="center"/>
    </xf>
    <xf numFmtId="0" fontId="54" fillId="0" borderId="34" xfId="0" applyFont="1" applyFill="1" applyBorder="1" applyAlignment="1" applyProtection="1">
      <alignment horizontal="center" vertical="center" wrapText="1"/>
      <protection/>
    </xf>
    <xf numFmtId="0" fontId="54" fillId="0" borderId="25" xfId="0" applyFont="1" applyBorder="1" applyAlignment="1">
      <alignment horizontal="center" vertical="center" wrapText="1"/>
    </xf>
    <xf numFmtId="2" fontId="54" fillId="0" borderId="34" xfId="0" applyNumberFormat="1" applyFont="1" applyFill="1" applyBorder="1" applyAlignment="1" applyProtection="1">
      <alignment horizontal="center" vertical="center" wrapText="1"/>
      <protection/>
    </xf>
    <xf numFmtId="2" fontId="54" fillId="0" borderId="35"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66825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504825</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10020300" y="228600"/>
          <a:ext cx="2619375" cy="266700"/>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rPr>
            <a:t>WEEK: 35 / 27 AUG - 02 SEP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showGridLines="0" tabSelected="1" zoomScale="90" zoomScaleNormal="90" zoomScalePageLayoutView="0" workbookViewId="0" topLeftCell="A1">
      <selection activeCell="B3" sqref="B3:B4"/>
    </sheetView>
  </sheetViews>
  <sheetFormatPr defaultColWidth="9.140625" defaultRowHeight="12.75"/>
  <cols>
    <col min="1" max="1" width="5.140625" style="228"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8.7109375" style="69" customWidth="1"/>
    <col min="11" max="11" width="6.421875" style="70" bestFit="1" customWidth="1"/>
    <col min="12" max="12" width="14.421875" style="90" bestFit="1" customWidth="1"/>
    <col min="13" max="13" width="11.28125" style="72" bestFit="1" customWidth="1"/>
    <col min="14" max="14" width="6.421875" style="106" bestFit="1" customWidth="1"/>
    <col min="15" max="15" width="2.421875" style="113" customWidth="1"/>
    <col min="16" max="16384" width="9.140625" style="3" customWidth="1"/>
  </cols>
  <sheetData>
    <row r="1" spans="1:15" s="1" customFormat="1" ht="40.5" customHeight="1">
      <c r="A1" s="224"/>
      <c r="B1" s="94"/>
      <c r="C1" s="95"/>
      <c r="D1" s="96"/>
      <c r="E1" s="97"/>
      <c r="F1" s="97"/>
      <c r="G1" s="97"/>
      <c r="H1" s="98"/>
      <c r="I1" s="99"/>
      <c r="J1" s="100"/>
      <c r="K1" s="101"/>
      <c r="L1" s="102"/>
      <c r="M1" s="103"/>
      <c r="N1" s="104"/>
      <c r="O1" s="109"/>
    </row>
    <row r="2" spans="1:15" s="5" customFormat="1" ht="21" customHeight="1" thickBot="1">
      <c r="A2" s="429" t="s">
        <v>151</v>
      </c>
      <c r="B2" s="430"/>
      <c r="C2" s="430"/>
      <c r="D2" s="430"/>
      <c r="E2" s="430"/>
      <c r="F2" s="430"/>
      <c r="G2" s="430"/>
      <c r="H2" s="430"/>
      <c r="I2" s="430"/>
      <c r="J2" s="430"/>
      <c r="K2" s="430"/>
      <c r="L2" s="430"/>
      <c r="M2" s="430"/>
      <c r="N2" s="431"/>
      <c r="O2" s="110"/>
    </row>
    <row r="3" spans="1:15" s="218" customFormat="1" ht="12">
      <c r="A3" s="216"/>
      <c r="B3" s="437" t="s">
        <v>104</v>
      </c>
      <c r="C3" s="441" t="s">
        <v>141</v>
      </c>
      <c r="D3" s="439" t="s">
        <v>152</v>
      </c>
      <c r="E3" s="435" t="s">
        <v>142</v>
      </c>
      <c r="F3" s="435" t="s">
        <v>149</v>
      </c>
      <c r="G3" s="435" t="s">
        <v>150</v>
      </c>
      <c r="H3" s="440" t="s">
        <v>143</v>
      </c>
      <c r="I3" s="440"/>
      <c r="J3" s="440"/>
      <c r="K3" s="440"/>
      <c r="L3" s="432" t="s">
        <v>144</v>
      </c>
      <c r="M3" s="433"/>
      <c r="N3" s="434"/>
      <c r="O3" s="217"/>
    </row>
    <row r="4" spans="1:15" s="218" customFormat="1" ht="27.75" customHeight="1" thickBot="1">
      <c r="A4" s="219"/>
      <c r="B4" s="438"/>
      <c r="C4" s="436"/>
      <c r="D4" s="436"/>
      <c r="E4" s="436"/>
      <c r="F4" s="436"/>
      <c r="G4" s="436"/>
      <c r="H4" s="220" t="s">
        <v>145</v>
      </c>
      <c r="I4" s="221" t="s">
        <v>146</v>
      </c>
      <c r="J4" s="221" t="s">
        <v>135</v>
      </c>
      <c r="K4" s="222" t="s">
        <v>147</v>
      </c>
      <c r="L4" s="220" t="s">
        <v>145</v>
      </c>
      <c r="M4" s="221" t="s">
        <v>146</v>
      </c>
      <c r="N4" s="223" t="s">
        <v>148</v>
      </c>
      <c r="O4" s="217"/>
    </row>
    <row r="5" spans="1:15" s="2" customFormat="1" ht="14.25" customHeight="1">
      <c r="A5" s="225">
        <v>1</v>
      </c>
      <c r="B5" s="360" t="s">
        <v>362</v>
      </c>
      <c r="C5" s="295">
        <v>40389</v>
      </c>
      <c r="D5" s="399" t="s">
        <v>241</v>
      </c>
      <c r="E5" s="361">
        <v>139</v>
      </c>
      <c r="F5" s="361">
        <v>181</v>
      </c>
      <c r="G5" s="361">
        <v>5</v>
      </c>
      <c r="H5" s="362">
        <v>790590</v>
      </c>
      <c r="I5" s="363">
        <v>77631</v>
      </c>
      <c r="J5" s="364">
        <f aca="true" t="shared" si="0" ref="J5:J10">I5/F5</f>
        <v>428.90055248618785</v>
      </c>
      <c r="K5" s="365">
        <f>H5/I5</f>
        <v>10.183947134521004</v>
      </c>
      <c r="L5" s="366">
        <v>8353323</v>
      </c>
      <c r="M5" s="367">
        <v>816553</v>
      </c>
      <c r="N5" s="368">
        <f aca="true" t="shared" si="1" ref="N5:N10">+L5/M5</f>
        <v>10.229982622071072</v>
      </c>
      <c r="O5" s="329"/>
    </row>
    <row r="6" spans="1:15" s="2" customFormat="1" ht="15.75" customHeight="1">
      <c r="A6" s="225">
        <v>2</v>
      </c>
      <c r="B6" s="213" t="s">
        <v>397</v>
      </c>
      <c r="C6" s="248">
        <v>40417</v>
      </c>
      <c r="D6" s="352" t="s">
        <v>398</v>
      </c>
      <c r="E6" s="353">
        <v>81</v>
      </c>
      <c r="F6" s="353">
        <v>81</v>
      </c>
      <c r="G6" s="353">
        <v>1</v>
      </c>
      <c r="H6" s="354">
        <v>572501</v>
      </c>
      <c r="I6" s="355">
        <v>46678</v>
      </c>
      <c r="J6" s="356">
        <f t="shared" si="0"/>
        <v>576.2716049382716</v>
      </c>
      <c r="K6" s="357">
        <f>H6/I6</f>
        <v>12.26489995286859</v>
      </c>
      <c r="L6" s="358">
        <v>572501</v>
      </c>
      <c r="M6" s="359">
        <v>46678</v>
      </c>
      <c r="N6" s="369">
        <f t="shared" si="1"/>
        <v>12.26489995286859</v>
      </c>
      <c r="O6" s="417"/>
    </row>
    <row r="7" spans="1:15" s="2" customFormat="1" ht="14.25">
      <c r="A7" s="226">
        <v>3</v>
      </c>
      <c r="B7" s="351" t="s">
        <v>386</v>
      </c>
      <c r="C7" s="348">
        <v>40403</v>
      </c>
      <c r="D7" s="413" t="s">
        <v>240</v>
      </c>
      <c r="E7" s="388">
        <v>114</v>
      </c>
      <c r="F7" s="388">
        <v>116</v>
      </c>
      <c r="G7" s="388">
        <v>3</v>
      </c>
      <c r="H7" s="389">
        <v>351646</v>
      </c>
      <c r="I7" s="390">
        <v>36120</v>
      </c>
      <c r="J7" s="391">
        <f t="shared" si="0"/>
        <v>311.37931034482756</v>
      </c>
      <c r="K7" s="392">
        <f>+H7/I7</f>
        <v>9.735492801771871</v>
      </c>
      <c r="L7" s="393">
        <v>1702706</v>
      </c>
      <c r="M7" s="394">
        <v>174719</v>
      </c>
      <c r="N7" s="395">
        <f t="shared" si="1"/>
        <v>9.745396894441933</v>
      </c>
      <c r="O7" s="417"/>
    </row>
    <row r="8" spans="1:15" s="2" customFormat="1" ht="14.25">
      <c r="A8" s="227">
        <v>4</v>
      </c>
      <c r="B8" s="379" t="s">
        <v>399</v>
      </c>
      <c r="C8" s="347">
        <v>40417</v>
      </c>
      <c r="D8" s="412" t="s">
        <v>241</v>
      </c>
      <c r="E8" s="380">
        <v>119</v>
      </c>
      <c r="F8" s="380">
        <v>119</v>
      </c>
      <c r="G8" s="380">
        <v>1</v>
      </c>
      <c r="H8" s="381">
        <v>337342</v>
      </c>
      <c r="I8" s="382">
        <v>36130</v>
      </c>
      <c r="J8" s="383">
        <f t="shared" si="0"/>
        <v>303.61344537815125</v>
      </c>
      <c r="K8" s="384">
        <f>H8/I8</f>
        <v>9.336894547467478</v>
      </c>
      <c r="L8" s="385">
        <v>410191</v>
      </c>
      <c r="M8" s="386">
        <v>43030</v>
      </c>
      <c r="N8" s="387">
        <f t="shared" si="1"/>
        <v>9.532674877992099</v>
      </c>
      <c r="O8" s="329"/>
    </row>
    <row r="9" spans="1:15" s="4" customFormat="1" ht="15" customHeight="1">
      <c r="A9" s="225">
        <v>5</v>
      </c>
      <c r="B9" s="213" t="s">
        <v>344</v>
      </c>
      <c r="C9" s="248">
        <v>40396</v>
      </c>
      <c r="D9" s="352" t="s">
        <v>241</v>
      </c>
      <c r="E9" s="353">
        <v>132</v>
      </c>
      <c r="F9" s="353">
        <v>132</v>
      </c>
      <c r="G9" s="353">
        <v>4</v>
      </c>
      <c r="H9" s="354">
        <v>260906</v>
      </c>
      <c r="I9" s="355">
        <v>27493</v>
      </c>
      <c r="J9" s="356">
        <f t="shared" si="0"/>
        <v>208.28030303030303</v>
      </c>
      <c r="K9" s="357">
        <f>H9/I9</f>
        <v>9.489906521660059</v>
      </c>
      <c r="L9" s="358">
        <f>1840817+260906</f>
        <v>2101723</v>
      </c>
      <c r="M9" s="359">
        <f>186800+27493</f>
        <v>214293</v>
      </c>
      <c r="N9" s="369">
        <f t="shared" si="1"/>
        <v>9.807707204621709</v>
      </c>
      <c r="O9" s="329"/>
    </row>
    <row r="10" spans="1:15" s="4" customFormat="1" ht="13.5">
      <c r="A10" s="225">
        <v>6</v>
      </c>
      <c r="B10" s="213" t="s">
        <v>387</v>
      </c>
      <c r="C10" s="248">
        <v>40403</v>
      </c>
      <c r="D10" s="352" t="s">
        <v>241</v>
      </c>
      <c r="E10" s="353">
        <v>77</v>
      </c>
      <c r="F10" s="353">
        <v>46</v>
      </c>
      <c r="G10" s="353">
        <v>3</v>
      </c>
      <c r="H10" s="354">
        <v>181560</v>
      </c>
      <c r="I10" s="355">
        <v>15281</v>
      </c>
      <c r="J10" s="356">
        <f t="shared" si="0"/>
        <v>332.19565217391306</v>
      </c>
      <c r="K10" s="357">
        <f>H10/I10</f>
        <v>11.881421372946797</v>
      </c>
      <c r="L10" s="358">
        <v>1193934</v>
      </c>
      <c r="M10" s="359">
        <v>102690</v>
      </c>
      <c r="N10" s="369">
        <f t="shared" si="1"/>
        <v>11.626584867075664</v>
      </c>
      <c r="O10" s="329"/>
    </row>
    <row r="11" spans="1:15" s="4" customFormat="1" ht="13.5">
      <c r="A11" s="225">
        <v>7</v>
      </c>
      <c r="B11" s="213" t="s">
        <v>400</v>
      </c>
      <c r="C11" s="248">
        <v>40410</v>
      </c>
      <c r="D11" s="352" t="s">
        <v>242</v>
      </c>
      <c r="E11" s="353">
        <v>100</v>
      </c>
      <c r="F11" s="353">
        <v>100</v>
      </c>
      <c r="G11" s="353">
        <v>2</v>
      </c>
      <c r="H11" s="354">
        <v>173006</v>
      </c>
      <c r="I11" s="355">
        <v>17706</v>
      </c>
      <c r="J11" s="356">
        <f>(I11/F11)</f>
        <v>177.06</v>
      </c>
      <c r="K11" s="357">
        <f>H11/I11</f>
        <v>9.77103806619225</v>
      </c>
      <c r="L11" s="358">
        <f>4793.5+233907+173006</f>
        <v>411706.5</v>
      </c>
      <c r="M11" s="359">
        <f>312+25267+17706</f>
        <v>43285</v>
      </c>
      <c r="N11" s="369">
        <f>L11/M11</f>
        <v>9.511528243040313</v>
      </c>
      <c r="O11" s="417"/>
    </row>
    <row r="12" spans="1:15" s="4" customFormat="1" ht="14.25" customHeight="1">
      <c r="A12" s="227">
        <v>8</v>
      </c>
      <c r="B12" s="213" t="s">
        <v>388</v>
      </c>
      <c r="C12" s="248">
        <v>40403</v>
      </c>
      <c r="D12" s="352" t="s">
        <v>241</v>
      </c>
      <c r="E12" s="353">
        <v>60</v>
      </c>
      <c r="F12" s="353">
        <v>60</v>
      </c>
      <c r="G12" s="353">
        <v>3</v>
      </c>
      <c r="H12" s="354">
        <v>151135</v>
      </c>
      <c r="I12" s="355">
        <v>14770</v>
      </c>
      <c r="J12" s="356">
        <f>I12/F12</f>
        <v>246.16666666666666</v>
      </c>
      <c r="K12" s="357">
        <f>H12/I12</f>
        <v>10.232566012186865</v>
      </c>
      <c r="L12" s="358">
        <v>700909</v>
      </c>
      <c r="M12" s="359">
        <v>66202</v>
      </c>
      <c r="N12" s="369">
        <f>+L12/M12</f>
        <v>10.587429382798103</v>
      </c>
      <c r="O12" s="329"/>
    </row>
    <row r="13" spans="1:15" s="4" customFormat="1" ht="14.25" customHeight="1">
      <c r="A13" s="225">
        <v>9</v>
      </c>
      <c r="B13" s="213" t="s">
        <v>422</v>
      </c>
      <c r="C13" s="248">
        <v>40410</v>
      </c>
      <c r="D13" s="352" t="s">
        <v>240</v>
      </c>
      <c r="E13" s="353">
        <v>63</v>
      </c>
      <c r="F13" s="353">
        <v>63</v>
      </c>
      <c r="G13" s="353">
        <v>2</v>
      </c>
      <c r="H13" s="354">
        <v>139295</v>
      </c>
      <c r="I13" s="355">
        <v>13030</v>
      </c>
      <c r="J13" s="356">
        <f>I13/F13</f>
        <v>206.82539682539684</v>
      </c>
      <c r="K13" s="357">
        <f>+H13/I13</f>
        <v>10.690330007674596</v>
      </c>
      <c r="L13" s="358">
        <v>333817</v>
      </c>
      <c r="M13" s="359">
        <v>30898</v>
      </c>
      <c r="N13" s="369">
        <f>+L13/M13</f>
        <v>10.803838436144733</v>
      </c>
      <c r="O13" s="417"/>
    </row>
    <row r="14" spans="1:15" s="4" customFormat="1" ht="13.5">
      <c r="A14" s="225">
        <v>10</v>
      </c>
      <c r="B14" s="213" t="s">
        <v>401</v>
      </c>
      <c r="C14" s="248">
        <v>40417</v>
      </c>
      <c r="D14" s="352" t="s">
        <v>242</v>
      </c>
      <c r="E14" s="353">
        <v>25</v>
      </c>
      <c r="F14" s="353">
        <v>25</v>
      </c>
      <c r="G14" s="353">
        <v>1</v>
      </c>
      <c r="H14" s="354">
        <v>87475.5</v>
      </c>
      <c r="I14" s="355">
        <v>7817</v>
      </c>
      <c r="J14" s="356">
        <f>(I14/F14)</f>
        <v>312.68</v>
      </c>
      <c r="K14" s="357">
        <f>H14/I14</f>
        <v>11.190418319048229</v>
      </c>
      <c r="L14" s="358">
        <v>87475.5</v>
      </c>
      <c r="M14" s="359">
        <v>7817</v>
      </c>
      <c r="N14" s="369">
        <f>L14/M14</f>
        <v>11.190418319048229</v>
      </c>
      <c r="O14" s="417"/>
    </row>
    <row r="15" spans="1:15" s="4" customFormat="1" ht="13.5">
      <c r="A15" s="225">
        <v>11</v>
      </c>
      <c r="B15" s="213" t="s">
        <v>373</v>
      </c>
      <c r="C15" s="248">
        <v>40382</v>
      </c>
      <c r="D15" s="352" t="s">
        <v>240</v>
      </c>
      <c r="E15" s="353">
        <v>142</v>
      </c>
      <c r="F15" s="353">
        <v>67</v>
      </c>
      <c r="G15" s="353">
        <v>6</v>
      </c>
      <c r="H15" s="354">
        <v>81616</v>
      </c>
      <c r="I15" s="355">
        <v>9880</v>
      </c>
      <c r="J15" s="356">
        <f>I15/F15</f>
        <v>147.46268656716418</v>
      </c>
      <c r="K15" s="357">
        <f>+H15/I15</f>
        <v>8.260728744939271</v>
      </c>
      <c r="L15" s="358">
        <v>4756481</v>
      </c>
      <c r="M15" s="359">
        <v>415275</v>
      </c>
      <c r="N15" s="369">
        <f>+L15/M15</f>
        <v>11.45381012582024</v>
      </c>
      <c r="O15" s="417"/>
    </row>
    <row r="16" spans="1:15" s="4" customFormat="1" ht="13.5">
      <c r="A16" s="227">
        <v>12</v>
      </c>
      <c r="B16" s="213" t="s">
        <v>328</v>
      </c>
      <c r="C16" s="248">
        <v>40375</v>
      </c>
      <c r="D16" s="352" t="s">
        <v>240</v>
      </c>
      <c r="E16" s="353">
        <v>130</v>
      </c>
      <c r="F16" s="353">
        <v>63</v>
      </c>
      <c r="G16" s="353">
        <v>7</v>
      </c>
      <c r="H16" s="354">
        <v>56313</v>
      </c>
      <c r="I16" s="355">
        <v>9073</v>
      </c>
      <c r="J16" s="356">
        <f>I16/F16</f>
        <v>144.015873015873</v>
      </c>
      <c r="K16" s="357">
        <f>+H16/I16</f>
        <v>6.206657114515596</v>
      </c>
      <c r="L16" s="358">
        <v>2707038</v>
      </c>
      <c r="M16" s="359">
        <v>302027</v>
      </c>
      <c r="N16" s="369">
        <f>+L16/M16</f>
        <v>8.962900667821089</v>
      </c>
      <c r="O16" s="417"/>
    </row>
    <row r="17" spans="1:15" s="4" customFormat="1" ht="13.5">
      <c r="A17" s="225">
        <v>13</v>
      </c>
      <c r="B17" s="213" t="s">
        <v>295</v>
      </c>
      <c r="C17" s="248">
        <v>40361</v>
      </c>
      <c r="D17" s="352" t="s">
        <v>240</v>
      </c>
      <c r="E17" s="353">
        <v>161</v>
      </c>
      <c r="F17" s="353">
        <v>43</v>
      </c>
      <c r="G17" s="353">
        <v>9</v>
      </c>
      <c r="H17" s="354">
        <v>37332</v>
      </c>
      <c r="I17" s="355">
        <v>5318</v>
      </c>
      <c r="J17" s="356">
        <f>I17/F17</f>
        <v>123.67441860465117</v>
      </c>
      <c r="K17" s="357">
        <f>+H17/I17</f>
        <v>7.019932305377962</v>
      </c>
      <c r="L17" s="358">
        <v>3517816</v>
      </c>
      <c r="M17" s="359">
        <v>313759</v>
      </c>
      <c r="N17" s="369">
        <f>+L17/M17</f>
        <v>11.211840935240104</v>
      </c>
      <c r="O17" s="417"/>
    </row>
    <row r="18" spans="1:15" s="4" customFormat="1" ht="15" customHeight="1">
      <c r="A18" s="225">
        <v>14</v>
      </c>
      <c r="B18" s="213" t="s">
        <v>402</v>
      </c>
      <c r="C18" s="248">
        <v>40410</v>
      </c>
      <c r="D18" s="210" t="s">
        <v>47</v>
      </c>
      <c r="E18" s="353">
        <v>40</v>
      </c>
      <c r="F18" s="353">
        <v>40</v>
      </c>
      <c r="G18" s="353">
        <v>2</v>
      </c>
      <c r="H18" s="354">
        <v>34139</v>
      </c>
      <c r="I18" s="355">
        <v>3812</v>
      </c>
      <c r="J18" s="356">
        <f>I18/F18</f>
        <v>95.3</v>
      </c>
      <c r="K18" s="357">
        <f>+H18/I18</f>
        <v>8.95566631689402</v>
      </c>
      <c r="L18" s="358">
        <f>61140.5+34139</f>
        <v>95279.5</v>
      </c>
      <c r="M18" s="359">
        <f>6231+3812</f>
        <v>10043</v>
      </c>
      <c r="N18" s="369">
        <f>+L18/M18</f>
        <v>9.48715523250025</v>
      </c>
      <c r="O18" s="417"/>
    </row>
    <row r="19" spans="1:15" s="4" customFormat="1" ht="13.5">
      <c r="A19" s="225">
        <v>15</v>
      </c>
      <c r="B19" s="213" t="s">
        <v>284</v>
      </c>
      <c r="C19" s="248">
        <v>40359</v>
      </c>
      <c r="D19" s="352" t="s">
        <v>242</v>
      </c>
      <c r="E19" s="353">
        <v>221</v>
      </c>
      <c r="F19" s="353">
        <v>53</v>
      </c>
      <c r="G19" s="353">
        <v>9</v>
      </c>
      <c r="H19" s="354">
        <v>17874</v>
      </c>
      <c r="I19" s="355">
        <v>2809</v>
      </c>
      <c r="J19" s="356">
        <f>(I19/F19)</f>
        <v>53</v>
      </c>
      <c r="K19" s="357">
        <f>H19/I19</f>
        <v>6.36311854752581</v>
      </c>
      <c r="L19" s="358">
        <f>8339911.75+126742+36059+17874</f>
        <v>8520586.75</v>
      </c>
      <c r="M19" s="359">
        <f>985659+23920+5695+2809</f>
        <v>1018083</v>
      </c>
      <c r="N19" s="369">
        <f>L19/M19</f>
        <v>8.369245680362013</v>
      </c>
      <c r="O19" s="417"/>
    </row>
    <row r="20" spans="1:15" s="4" customFormat="1" ht="13.5">
      <c r="A20" s="227">
        <v>16</v>
      </c>
      <c r="B20" s="213" t="s">
        <v>296</v>
      </c>
      <c r="C20" s="248">
        <v>40368</v>
      </c>
      <c r="D20" s="352" t="s">
        <v>242</v>
      </c>
      <c r="E20" s="353">
        <v>126</v>
      </c>
      <c r="F20" s="353">
        <v>39</v>
      </c>
      <c r="G20" s="353">
        <v>8</v>
      </c>
      <c r="H20" s="354">
        <v>15249.5</v>
      </c>
      <c r="I20" s="355">
        <v>2451</v>
      </c>
      <c r="J20" s="356">
        <f>(I20/F20)</f>
        <v>62.84615384615385</v>
      </c>
      <c r="K20" s="357">
        <f>H20/I20</f>
        <v>6.2217462260301915</v>
      </c>
      <c r="L20" s="358">
        <f>2106797.5+50230.5+32558.5+15249.5</f>
        <v>2204836</v>
      </c>
      <c r="M20" s="359">
        <f>220679+7944+5486+2451</f>
        <v>236560</v>
      </c>
      <c r="N20" s="369">
        <f>L20/M20</f>
        <v>9.320409198512005</v>
      </c>
      <c r="O20" s="417"/>
    </row>
    <row r="21" spans="1:15" s="4" customFormat="1" ht="13.5">
      <c r="A21" s="225">
        <v>17</v>
      </c>
      <c r="B21" s="213" t="s">
        <v>343</v>
      </c>
      <c r="C21" s="248">
        <v>40382</v>
      </c>
      <c r="D21" s="352" t="s">
        <v>289</v>
      </c>
      <c r="E21" s="353" t="s">
        <v>329</v>
      </c>
      <c r="F21" s="353" t="s">
        <v>403</v>
      </c>
      <c r="G21" s="353" t="s">
        <v>4</v>
      </c>
      <c r="H21" s="354">
        <v>12100</v>
      </c>
      <c r="I21" s="355">
        <v>1842</v>
      </c>
      <c r="J21" s="356">
        <f>I21/F21</f>
        <v>55.81818181818182</v>
      </c>
      <c r="K21" s="357">
        <f>+H21/I21</f>
        <v>6.5689467969598265</v>
      </c>
      <c r="L21" s="358">
        <v>347801</v>
      </c>
      <c r="M21" s="359">
        <v>37809</v>
      </c>
      <c r="N21" s="369">
        <f>+L21/M21</f>
        <v>9.198894443122008</v>
      </c>
      <c r="O21" s="417"/>
    </row>
    <row r="22" spans="1:15" s="4" customFormat="1" ht="13.5">
      <c r="A22" s="225">
        <v>18</v>
      </c>
      <c r="B22" s="213" t="s">
        <v>404</v>
      </c>
      <c r="C22" s="248">
        <v>40235</v>
      </c>
      <c r="D22" s="352" t="s">
        <v>242</v>
      </c>
      <c r="E22" s="353">
        <v>227</v>
      </c>
      <c r="F22" s="353">
        <v>5</v>
      </c>
      <c r="G22" s="353">
        <v>25</v>
      </c>
      <c r="H22" s="354">
        <v>7892</v>
      </c>
      <c r="I22" s="355">
        <v>1967</v>
      </c>
      <c r="J22" s="356">
        <f>(I22/F22)</f>
        <v>393.4</v>
      </c>
      <c r="K22" s="357">
        <f>H22/I22</f>
        <v>4.012201321809862</v>
      </c>
      <c r="L22" s="358">
        <f>8240207.5+202+255+7892</f>
        <v>8248556.5</v>
      </c>
      <c r="M22" s="359">
        <f>1023896+40+51+1967</f>
        <v>1025954</v>
      </c>
      <c r="N22" s="369">
        <f>L22/M22</f>
        <v>8.03988921530595</v>
      </c>
      <c r="O22" s="417">
        <v>1</v>
      </c>
    </row>
    <row r="23" spans="1:15" s="4" customFormat="1" ht="13.5">
      <c r="A23" s="225">
        <v>19</v>
      </c>
      <c r="B23" s="213" t="s">
        <v>262</v>
      </c>
      <c r="C23" s="248">
        <v>40333</v>
      </c>
      <c r="D23" s="352" t="s">
        <v>242</v>
      </c>
      <c r="E23" s="353">
        <v>20</v>
      </c>
      <c r="F23" s="353">
        <v>17</v>
      </c>
      <c r="G23" s="353">
        <v>13</v>
      </c>
      <c r="H23" s="354">
        <v>7021</v>
      </c>
      <c r="I23" s="355">
        <v>1273</v>
      </c>
      <c r="J23" s="356">
        <f>(I23/F23)</f>
        <v>74.88235294117646</v>
      </c>
      <c r="K23" s="357">
        <f>H23/I23</f>
        <v>5.5153181461115475</v>
      </c>
      <c r="L23" s="358">
        <f>323225+11633.5+4727+7021</f>
        <v>346606.5</v>
      </c>
      <c r="M23" s="359">
        <f>37441+1670+699+1273</f>
        <v>41083</v>
      </c>
      <c r="N23" s="369">
        <f>L23/M23</f>
        <v>8.436737823430617</v>
      </c>
      <c r="O23" s="417"/>
    </row>
    <row r="24" spans="1:15" s="4" customFormat="1" ht="13.5">
      <c r="A24" s="227">
        <v>20</v>
      </c>
      <c r="B24" s="213" t="s">
        <v>292</v>
      </c>
      <c r="C24" s="248">
        <v>40354</v>
      </c>
      <c r="D24" s="352" t="s">
        <v>242</v>
      </c>
      <c r="E24" s="353">
        <v>20</v>
      </c>
      <c r="F24" s="353">
        <v>10</v>
      </c>
      <c r="G24" s="353">
        <v>10</v>
      </c>
      <c r="H24" s="354">
        <v>6906</v>
      </c>
      <c r="I24" s="355">
        <v>1184</v>
      </c>
      <c r="J24" s="356">
        <f>(I24/F24)</f>
        <v>118.4</v>
      </c>
      <c r="K24" s="357">
        <f>H24/I24</f>
        <v>5.83277027027027</v>
      </c>
      <c r="L24" s="358">
        <f>105752.5+7763.5+8950+6906</f>
        <v>129372</v>
      </c>
      <c r="M24" s="359">
        <f>12388+1198+1376+1184</f>
        <v>16146</v>
      </c>
      <c r="N24" s="369">
        <f>L24/M24</f>
        <v>8.012634708286882</v>
      </c>
      <c r="O24" s="417"/>
    </row>
    <row r="25" spans="1:15" s="4" customFormat="1" ht="13.5">
      <c r="A25" s="225">
        <v>21</v>
      </c>
      <c r="B25" s="213" t="s">
        <v>39</v>
      </c>
      <c r="C25" s="248">
        <v>39995</v>
      </c>
      <c r="D25" s="352" t="s">
        <v>242</v>
      </c>
      <c r="E25" s="353">
        <v>209</v>
      </c>
      <c r="F25" s="353">
        <v>4</v>
      </c>
      <c r="G25" s="353">
        <v>55</v>
      </c>
      <c r="H25" s="354">
        <v>6614</v>
      </c>
      <c r="I25" s="355">
        <v>1638</v>
      </c>
      <c r="J25" s="356">
        <f>(I25/F25)</f>
        <v>409.5</v>
      </c>
      <c r="K25" s="357">
        <f>H25/I25</f>
        <v>4.037851037851038</v>
      </c>
      <c r="L25" s="358">
        <f>11405777.5+385+1188+6614</f>
        <v>11413964.5</v>
      </c>
      <c r="M25" s="359">
        <f>1424397+63+297+1638</f>
        <v>1426395</v>
      </c>
      <c r="N25" s="369">
        <f>L25/M25</f>
        <v>8.001966145422552</v>
      </c>
      <c r="O25" s="417"/>
    </row>
    <row r="26" spans="1:15" s="4" customFormat="1" ht="13.5">
      <c r="A26" s="225">
        <v>22</v>
      </c>
      <c r="B26" s="213" t="s">
        <v>363</v>
      </c>
      <c r="C26" s="248">
        <v>40396</v>
      </c>
      <c r="D26" s="352" t="s">
        <v>240</v>
      </c>
      <c r="E26" s="353">
        <v>20</v>
      </c>
      <c r="F26" s="353">
        <v>16</v>
      </c>
      <c r="G26" s="353">
        <v>4</v>
      </c>
      <c r="H26" s="354">
        <v>6248</v>
      </c>
      <c r="I26" s="355">
        <v>891</v>
      </c>
      <c r="J26" s="356">
        <f>I26/F26</f>
        <v>55.6875</v>
      </c>
      <c r="K26" s="357">
        <f>+H26/I26</f>
        <v>7.012345679012346</v>
      </c>
      <c r="L26" s="358">
        <v>97619</v>
      </c>
      <c r="M26" s="359">
        <v>8595</v>
      </c>
      <c r="N26" s="369">
        <f>+L26/M26</f>
        <v>11.357649796393252</v>
      </c>
      <c r="O26" s="417"/>
    </row>
    <row r="27" spans="1:15" s="4" customFormat="1" ht="13.5" customHeight="1">
      <c r="A27" s="225">
        <v>23</v>
      </c>
      <c r="B27" s="213" t="s">
        <v>285</v>
      </c>
      <c r="C27" s="248">
        <v>40347</v>
      </c>
      <c r="D27" s="352" t="s">
        <v>242</v>
      </c>
      <c r="E27" s="353">
        <v>66</v>
      </c>
      <c r="F27" s="353">
        <v>17</v>
      </c>
      <c r="G27" s="353">
        <v>11</v>
      </c>
      <c r="H27" s="354">
        <v>6055</v>
      </c>
      <c r="I27" s="355">
        <v>1133</v>
      </c>
      <c r="J27" s="356">
        <f>(I27/F27)</f>
        <v>66.6470588235294</v>
      </c>
      <c r="K27" s="357">
        <f>H27/I27</f>
        <v>5.344218887908208</v>
      </c>
      <c r="L27" s="358">
        <f>478213+7083+3309.5+6055</f>
        <v>494660.5</v>
      </c>
      <c r="M27" s="359">
        <f>55327+1259+553+1133</f>
        <v>58272</v>
      </c>
      <c r="N27" s="369">
        <f>L27/M27</f>
        <v>8.488819673256453</v>
      </c>
      <c r="O27" s="417"/>
    </row>
    <row r="28" spans="1:15" s="4" customFormat="1" ht="13.5">
      <c r="A28" s="227">
        <v>24</v>
      </c>
      <c r="B28" s="213" t="s">
        <v>365</v>
      </c>
      <c r="C28" s="248">
        <v>40389</v>
      </c>
      <c r="D28" s="352" t="s">
        <v>242</v>
      </c>
      <c r="E28" s="353">
        <v>19</v>
      </c>
      <c r="F28" s="353">
        <v>18</v>
      </c>
      <c r="G28" s="353">
        <v>5</v>
      </c>
      <c r="H28" s="354">
        <v>4755.5</v>
      </c>
      <c r="I28" s="355">
        <v>704</v>
      </c>
      <c r="J28" s="356">
        <f>(I28/F28)</f>
        <v>39.111111111111114</v>
      </c>
      <c r="K28" s="357">
        <f>H28/I28</f>
        <v>6.754971590909091</v>
      </c>
      <c r="L28" s="358">
        <f>69032+15425.5+9802+4755.5</f>
        <v>99015</v>
      </c>
      <c r="M28" s="359">
        <f>5509+1589+1417+704</f>
        <v>9219</v>
      </c>
      <c r="N28" s="369">
        <f>L28/M28</f>
        <v>10.740318906605923</v>
      </c>
      <c r="O28" s="417"/>
    </row>
    <row r="29" spans="1:15" s="4" customFormat="1" ht="13.5">
      <c r="A29" s="225">
        <v>25</v>
      </c>
      <c r="B29" s="213" t="s">
        <v>366</v>
      </c>
      <c r="C29" s="248">
        <v>40396</v>
      </c>
      <c r="D29" s="352" t="s">
        <v>242</v>
      </c>
      <c r="E29" s="353">
        <v>4</v>
      </c>
      <c r="F29" s="353">
        <v>4</v>
      </c>
      <c r="G29" s="353">
        <v>4</v>
      </c>
      <c r="H29" s="354">
        <v>4386</v>
      </c>
      <c r="I29" s="355">
        <v>547</v>
      </c>
      <c r="J29" s="356">
        <f>(I29/F29)</f>
        <v>136.75</v>
      </c>
      <c r="K29" s="357">
        <f>H29/I29</f>
        <v>8.018281535648995</v>
      </c>
      <c r="L29" s="358">
        <f>14959+9646+7725+4386</f>
        <v>36716</v>
      </c>
      <c r="M29" s="359">
        <f>1646+1123+1125+547</f>
        <v>4441</v>
      </c>
      <c r="N29" s="369">
        <f>L29/M29</f>
        <v>8.267507318171583</v>
      </c>
      <c r="O29" s="417"/>
    </row>
    <row r="30" spans="1:15" s="4" customFormat="1" ht="13.5">
      <c r="A30" s="225">
        <v>26</v>
      </c>
      <c r="B30" s="213" t="s">
        <v>380</v>
      </c>
      <c r="C30" s="248">
        <v>40242</v>
      </c>
      <c r="D30" s="352" t="s">
        <v>242</v>
      </c>
      <c r="E30" s="353">
        <v>74</v>
      </c>
      <c r="F30" s="353">
        <v>4</v>
      </c>
      <c r="G30" s="353">
        <v>24</v>
      </c>
      <c r="H30" s="354">
        <v>4324</v>
      </c>
      <c r="I30" s="355">
        <v>994</v>
      </c>
      <c r="J30" s="356">
        <f>(I30/F30)</f>
        <v>248.5</v>
      </c>
      <c r="K30" s="357">
        <f>H30/I30</f>
        <v>4.350100603621731</v>
      </c>
      <c r="L30" s="358">
        <f>421210.25+356+162+4324</f>
        <v>426052.25</v>
      </c>
      <c r="M30" s="359">
        <f>55245+64+29+994</f>
        <v>56332</v>
      </c>
      <c r="N30" s="369">
        <f>L30/M30</f>
        <v>7.563236703827309</v>
      </c>
      <c r="O30" s="417">
        <v>1</v>
      </c>
    </row>
    <row r="31" spans="1:15" s="4" customFormat="1" ht="13.5">
      <c r="A31" s="225">
        <v>27</v>
      </c>
      <c r="B31" s="213" t="s">
        <v>364</v>
      </c>
      <c r="C31" s="248">
        <v>40396</v>
      </c>
      <c r="D31" s="352" t="s">
        <v>242</v>
      </c>
      <c r="E31" s="353">
        <v>9</v>
      </c>
      <c r="F31" s="353">
        <v>5</v>
      </c>
      <c r="G31" s="353">
        <v>4</v>
      </c>
      <c r="H31" s="354">
        <v>4095</v>
      </c>
      <c r="I31" s="355">
        <v>612</v>
      </c>
      <c r="J31" s="356">
        <f>(I31/F31)</f>
        <v>122.4</v>
      </c>
      <c r="K31" s="357">
        <f>H31/I31</f>
        <v>6.6911764705882355</v>
      </c>
      <c r="L31" s="358">
        <f>35838.5+19069+5228+4095</f>
        <v>64230.5</v>
      </c>
      <c r="M31" s="359">
        <f>2652+1665+667+612</f>
        <v>5596</v>
      </c>
      <c r="N31" s="369">
        <f>L31/M31</f>
        <v>11.477930664760544</v>
      </c>
      <c r="O31" s="417"/>
    </row>
    <row r="32" spans="1:15" s="4" customFormat="1" ht="15" customHeight="1">
      <c r="A32" s="227">
        <v>28</v>
      </c>
      <c r="B32" s="213" t="s">
        <v>405</v>
      </c>
      <c r="C32" s="248">
        <v>40249</v>
      </c>
      <c r="D32" s="210" t="s">
        <v>47</v>
      </c>
      <c r="E32" s="353">
        <v>71</v>
      </c>
      <c r="F32" s="353">
        <v>2</v>
      </c>
      <c r="G32" s="353">
        <v>22</v>
      </c>
      <c r="H32" s="354">
        <v>3855</v>
      </c>
      <c r="I32" s="355">
        <v>556</v>
      </c>
      <c r="J32" s="356">
        <f>I32/F32</f>
        <v>278</v>
      </c>
      <c r="K32" s="357">
        <f>+H32/I32</f>
        <v>6.933453237410072</v>
      </c>
      <c r="L32" s="358">
        <f>432486.25+301574+151308+7+112893+51222.5+22996.5+15680+18589.5+18584+12838+4788+1663+4208+490+365+2398+36+790+1056+718+2330+3855</f>
        <v>1160875.75</v>
      </c>
      <c r="M32" s="359">
        <f>50407+35095+18523+1+15427+7108+3545+2281+2896+2839+2036+884+288+738+98+73+400+6+143+184+126+381+556</f>
        <v>144035</v>
      </c>
      <c r="N32" s="369">
        <f>+L32/M32</f>
        <v>8.059678203214496</v>
      </c>
      <c r="O32" s="417"/>
    </row>
    <row r="33" spans="1:15" s="4" customFormat="1" ht="12" customHeight="1">
      <c r="A33" s="225">
        <v>29</v>
      </c>
      <c r="B33" s="213" t="s">
        <v>406</v>
      </c>
      <c r="C33" s="248">
        <v>40172</v>
      </c>
      <c r="D33" s="210" t="s">
        <v>47</v>
      </c>
      <c r="E33" s="353">
        <v>196</v>
      </c>
      <c r="F33" s="353">
        <v>1</v>
      </c>
      <c r="G33" s="353">
        <v>15</v>
      </c>
      <c r="H33" s="354">
        <v>3597</v>
      </c>
      <c r="I33" s="355">
        <v>600</v>
      </c>
      <c r="J33" s="356">
        <f>I33/F33</f>
        <v>600</v>
      </c>
      <c r="K33" s="357">
        <f>+H33/I33</f>
        <v>5.995</v>
      </c>
      <c r="L33" s="358">
        <f>821982.75+546264.5+300546.5+218412+49105+23614+196+9844+340-11+2445+535+1144+3612+145+369+3597</f>
        <v>1982140.75</v>
      </c>
      <c r="M33" s="359">
        <f>109740+66898+39464+31918+7910+4204-8+1658-1+56+431+18+107+206+886+29+105+600</f>
        <v>264221</v>
      </c>
      <c r="N33" s="369">
        <f>+L33/M33</f>
        <v>7.50182896136189</v>
      </c>
      <c r="O33" s="417">
        <v>1</v>
      </c>
    </row>
    <row r="34" spans="1:15" s="4" customFormat="1" ht="13.5">
      <c r="A34" s="225">
        <v>30</v>
      </c>
      <c r="B34" s="213" t="s">
        <v>250</v>
      </c>
      <c r="C34" s="248">
        <v>40326</v>
      </c>
      <c r="D34" s="352" t="s">
        <v>240</v>
      </c>
      <c r="E34" s="353">
        <v>212</v>
      </c>
      <c r="F34" s="353">
        <v>4</v>
      </c>
      <c r="G34" s="353">
        <v>14</v>
      </c>
      <c r="H34" s="354">
        <v>3457</v>
      </c>
      <c r="I34" s="355">
        <v>664</v>
      </c>
      <c r="J34" s="356">
        <f>I34/F34</f>
        <v>166</v>
      </c>
      <c r="K34" s="357">
        <f>+H34/I34</f>
        <v>5.206325301204819</v>
      </c>
      <c r="L34" s="358">
        <v>6002813</v>
      </c>
      <c r="M34" s="359">
        <v>572152</v>
      </c>
      <c r="N34" s="369">
        <f>+L34/M34</f>
        <v>10.491640333337994</v>
      </c>
      <c r="O34" s="417"/>
    </row>
    <row r="35" spans="1:15" s="4" customFormat="1" ht="13.5">
      <c r="A35" s="227">
        <v>31</v>
      </c>
      <c r="B35" s="213" t="s">
        <v>330</v>
      </c>
      <c r="C35" s="248">
        <v>40375</v>
      </c>
      <c r="D35" s="352" t="s">
        <v>241</v>
      </c>
      <c r="E35" s="353">
        <v>67</v>
      </c>
      <c r="F35" s="353">
        <v>11</v>
      </c>
      <c r="G35" s="353">
        <v>7</v>
      </c>
      <c r="H35" s="354">
        <v>3278</v>
      </c>
      <c r="I35" s="355">
        <v>566</v>
      </c>
      <c r="J35" s="356">
        <f>I35/F35</f>
        <v>51.45454545454545</v>
      </c>
      <c r="K35" s="357">
        <f>H35/I35</f>
        <v>5.791519434628976</v>
      </c>
      <c r="L35" s="358">
        <v>512946</v>
      </c>
      <c r="M35" s="359">
        <v>53738</v>
      </c>
      <c r="N35" s="369">
        <f>+L35/M35</f>
        <v>9.545312441847482</v>
      </c>
      <c r="O35" s="329"/>
    </row>
    <row r="36" spans="1:15" s="4" customFormat="1" ht="13.5">
      <c r="A36" s="225">
        <v>32</v>
      </c>
      <c r="B36" s="213" t="s">
        <v>197</v>
      </c>
      <c r="C36" s="248">
        <v>40256</v>
      </c>
      <c r="D36" s="352" t="s">
        <v>263</v>
      </c>
      <c r="E36" s="353">
        <v>25</v>
      </c>
      <c r="F36" s="353">
        <v>1</v>
      </c>
      <c r="G36" s="353">
        <v>20</v>
      </c>
      <c r="H36" s="354">
        <v>2483</v>
      </c>
      <c r="I36" s="355">
        <v>286</v>
      </c>
      <c r="J36" s="356">
        <f>I36/F36</f>
        <v>286</v>
      </c>
      <c r="K36" s="357">
        <f>+H36/I36</f>
        <v>8.681818181818182</v>
      </c>
      <c r="L36" s="358">
        <v>321144</v>
      </c>
      <c r="M36" s="359">
        <v>33567</v>
      </c>
      <c r="N36" s="369">
        <f>+L36/M36</f>
        <v>9.5672535525963</v>
      </c>
      <c r="O36" s="417"/>
    </row>
    <row r="37" spans="1:15" s="4" customFormat="1" ht="13.5">
      <c r="A37" s="225">
        <v>33</v>
      </c>
      <c r="B37" s="213" t="s">
        <v>407</v>
      </c>
      <c r="C37" s="248">
        <v>39801</v>
      </c>
      <c r="D37" s="352" t="s">
        <v>242</v>
      </c>
      <c r="E37" s="353">
        <v>42</v>
      </c>
      <c r="F37" s="353">
        <v>1</v>
      </c>
      <c r="G37" s="353">
        <v>38</v>
      </c>
      <c r="H37" s="354">
        <v>2376</v>
      </c>
      <c r="I37" s="355">
        <v>594</v>
      </c>
      <c r="J37" s="356">
        <f>(I37/F37)</f>
        <v>594</v>
      </c>
      <c r="K37" s="357">
        <f>H37/I37</f>
        <v>4</v>
      </c>
      <c r="L37" s="358">
        <f>295344+204961.5+145464.5+116108.5+111972.5+49984+26327+32042+18579+20005+19180+15980+2686.5+3166.5+366+13433+4493+735.5+607.5+2528+83+198+248+2348+825+2700+2268+393+2002+2063+343+1188+2020+398.46+291.4+240.58+592+2+2376</f>
        <v>1104543.44</v>
      </c>
      <c r="M37" s="359">
        <f>36142+24747+19417+15404+14719+7567+3314+5289+3173+3275+3534+2826+540+724+52+2536+882+130+150+615+21+66+51+497+165+675+506+78+241+404+59+297+505+86+63+59+148+594</f>
        <v>149551</v>
      </c>
      <c r="N37" s="369">
        <f>L37/M37</f>
        <v>7.385730887790786</v>
      </c>
      <c r="O37" s="417">
        <v>1</v>
      </c>
    </row>
    <row r="38" spans="1:15" s="4" customFormat="1" ht="15" customHeight="1">
      <c r="A38" s="227">
        <v>34</v>
      </c>
      <c r="B38" s="213" t="s">
        <v>408</v>
      </c>
      <c r="C38" s="248">
        <v>40193</v>
      </c>
      <c r="D38" s="352" t="s">
        <v>242</v>
      </c>
      <c r="E38" s="353">
        <v>55</v>
      </c>
      <c r="F38" s="353">
        <v>1</v>
      </c>
      <c r="G38" s="353">
        <v>25</v>
      </c>
      <c r="H38" s="354">
        <v>2376</v>
      </c>
      <c r="I38" s="355">
        <v>594</v>
      </c>
      <c r="J38" s="356">
        <f>(I38/F38)</f>
        <v>594</v>
      </c>
      <c r="K38" s="357">
        <f>H38/I38</f>
        <v>4</v>
      </c>
      <c r="L38" s="358">
        <f>197266+158498+94472.5+25746.5+5341+4975+4175+3550+3868+6158+8020+1277+951+3397+4599+198+566+1146+2247.5+174+31.5+2775.5+1188+735+2376</f>
        <v>533731.5</v>
      </c>
      <c r="M38" s="359">
        <f>19567+17056+12441+3194+866+909+697+693+818+1478+1988+298+238+832+1154+55+212+207+411+57+12+610+297+71+594</f>
        <v>64755</v>
      </c>
      <c r="N38" s="369">
        <f>L38/M38</f>
        <v>8.24232105628909</v>
      </c>
      <c r="O38" s="417"/>
    </row>
    <row r="39" spans="1:15" s="4" customFormat="1" ht="13.5">
      <c r="A39" s="225">
        <v>35</v>
      </c>
      <c r="B39" s="213" t="s">
        <v>317</v>
      </c>
      <c r="C39" s="248">
        <v>40130</v>
      </c>
      <c r="D39" s="352" t="s">
        <v>242</v>
      </c>
      <c r="E39" s="353">
        <v>13</v>
      </c>
      <c r="F39" s="353">
        <v>1</v>
      </c>
      <c r="G39" s="353">
        <v>20</v>
      </c>
      <c r="H39" s="354">
        <v>2376</v>
      </c>
      <c r="I39" s="355">
        <v>594</v>
      </c>
      <c r="J39" s="356">
        <f>(I39/F39)</f>
        <v>594</v>
      </c>
      <c r="K39" s="357">
        <f>H39/I39</f>
        <v>4</v>
      </c>
      <c r="L39" s="358">
        <f>61012+24426+6122+10040+4081+228+2698+1216+1678.5+1457+452+472+1209.4+1001.04+947+262+901+178+4160+2376</f>
        <v>124916.93999999999</v>
      </c>
      <c r="M39" s="359">
        <f>5982+2401+678+1620+879+42+433+305+334+339+195+86+256+229+130+31+125+25+1040+594</f>
        <v>15724</v>
      </c>
      <c r="N39" s="369">
        <f>L39/M39</f>
        <v>7.944348766217247</v>
      </c>
      <c r="O39" s="417">
        <v>1</v>
      </c>
    </row>
    <row r="40" spans="1:15" s="4" customFormat="1" ht="13.5">
      <c r="A40" s="225">
        <v>36</v>
      </c>
      <c r="B40" s="213" t="s">
        <v>300</v>
      </c>
      <c r="C40" s="248">
        <v>40361</v>
      </c>
      <c r="D40" s="352" t="s">
        <v>242</v>
      </c>
      <c r="E40" s="353">
        <v>6</v>
      </c>
      <c r="F40" s="353">
        <v>5</v>
      </c>
      <c r="G40" s="353">
        <v>9</v>
      </c>
      <c r="H40" s="354">
        <v>2187</v>
      </c>
      <c r="I40" s="355">
        <v>338</v>
      </c>
      <c r="J40" s="356">
        <f>(I40/F40)</f>
        <v>67.6</v>
      </c>
      <c r="K40" s="357">
        <f>H40/I40</f>
        <v>6.470414201183432</v>
      </c>
      <c r="L40" s="358">
        <f>31734.5+2495+3417.5+2187</f>
        <v>39834</v>
      </c>
      <c r="M40" s="359">
        <f>4397+343+476+338</f>
        <v>5554</v>
      </c>
      <c r="N40" s="369">
        <f>L40/M40</f>
        <v>7.17212819589485</v>
      </c>
      <c r="O40" s="417"/>
    </row>
    <row r="41" spans="1:15" s="4" customFormat="1" ht="13.5">
      <c r="A41" s="227">
        <v>37</v>
      </c>
      <c r="B41" s="213" t="s">
        <v>409</v>
      </c>
      <c r="C41" s="248">
        <v>40207</v>
      </c>
      <c r="D41" s="352" t="s">
        <v>242</v>
      </c>
      <c r="E41" s="353">
        <v>43</v>
      </c>
      <c r="F41" s="353">
        <v>6</v>
      </c>
      <c r="G41" s="353">
        <v>19</v>
      </c>
      <c r="H41" s="354">
        <v>2124</v>
      </c>
      <c r="I41" s="355">
        <v>312</v>
      </c>
      <c r="J41" s="356">
        <f>(I41/F41)</f>
        <v>52</v>
      </c>
      <c r="K41" s="357">
        <f>H41/I41</f>
        <v>6.8076923076923075</v>
      </c>
      <c r="L41" s="358">
        <f>197921.25+1391+1783+2124</f>
        <v>203219.25</v>
      </c>
      <c r="M41" s="359">
        <f>28461+236+288+312</f>
        <v>29297</v>
      </c>
      <c r="N41" s="369">
        <f>L41/M41</f>
        <v>6.936520804177902</v>
      </c>
      <c r="O41" s="417">
        <v>1</v>
      </c>
    </row>
    <row r="42" spans="1:15" s="4" customFormat="1" ht="13.5">
      <c r="A42" s="225">
        <v>38</v>
      </c>
      <c r="B42" s="213" t="s">
        <v>423</v>
      </c>
      <c r="C42" s="248">
        <v>40361</v>
      </c>
      <c r="D42" s="352" t="s">
        <v>289</v>
      </c>
      <c r="E42" s="353" t="s">
        <v>79</v>
      </c>
      <c r="F42" s="353" t="s">
        <v>410</v>
      </c>
      <c r="G42" s="353" t="s">
        <v>156</v>
      </c>
      <c r="H42" s="354">
        <v>2065</v>
      </c>
      <c r="I42" s="355">
        <v>319</v>
      </c>
      <c r="J42" s="356">
        <f>I42/F42</f>
        <v>79.75</v>
      </c>
      <c r="K42" s="357">
        <f>+H42/I42</f>
        <v>6.4733542319749215</v>
      </c>
      <c r="L42" s="358">
        <v>56991</v>
      </c>
      <c r="M42" s="359">
        <v>7439</v>
      </c>
      <c r="N42" s="369">
        <f>+L42/M42</f>
        <v>7.661110364296277</v>
      </c>
      <c r="O42" s="417"/>
    </row>
    <row r="43" spans="1:15" s="4" customFormat="1" ht="13.5">
      <c r="A43" s="225">
        <v>39</v>
      </c>
      <c r="B43" s="213" t="s">
        <v>291</v>
      </c>
      <c r="C43" s="248">
        <v>40354</v>
      </c>
      <c r="D43" s="352" t="s">
        <v>263</v>
      </c>
      <c r="E43" s="353">
        <v>19</v>
      </c>
      <c r="F43" s="353">
        <v>9</v>
      </c>
      <c r="G43" s="353">
        <v>10</v>
      </c>
      <c r="H43" s="354">
        <v>2009</v>
      </c>
      <c r="I43" s="355">
        <v>304</v>
      </c>
      <c r="J43" s="356">
        <f>I43/F43</f>
        <v>33.77777777777778</v>
      </c>
      <c r="K43" s="357">
        <f>+H43/I43</f>
        <v>6.608552631578948</v>
      </c>
      <c r="L43" s="358">
        <v>188957</v>
      </c>
      <c r="M43" s="359">
        <v>17323</v>
      </c>
      <c r="N43" s="369">
        <f>+L43/M43</f>
        <v>10.907868152167639</v>
      </c>
      <c r="O43" s="417"/>
    </row>
    <row r="44" spans="1:15" s="4" customFormat="1" ht="13.5">
      <c r="A44" s="227">
        <v>40</v>
      </c>
      <c r="B44" s="213" t="s">
        <v>63</v>
      </c>
      <c r="C44" s="248">
        <v>40179</v>
      </c>
      <c r="D44" s="352" t="s">
        <v>242</v>
      </c>
      <c r="E44" s="353">
        <v>42</v>
      </c>
      <c r="F44" s="353">
        <v>3</v>
      </c>
      <c r="G44" s="353">
        <v>26</v>
      </c>
      <c r="H44" s="354">
        <v>1880.5</v>
      </c>
      <c r="I44" s="355">
        <v>319</v>
      </c>
      <c r="J44" s="356">
        <f>(I44/F44)</f>
        <v>106.33333333333333</v>
      </c>
      <c r="K44" s="357">
        <f>H44/I44</f>
        <v>5.894984326018808</v>
      </c>
      <c r="L44" s="358">
        <f>310442.5+275157.5+119153+26271.5+19971.5+13231+6468+3094+3122+818+3348+2300+3563+967.5+3712+860+1689+2039.5+386+1501+1918+1782+950.5+1188+40.5+1880.5</f>
        <v>805854.5</v>
      </c>
      <c r="M44" s="359">
        <f>26771+24068+11328+2954+1983+1309+737+492+663+147+552+369+891+351+402+113+203+279+61+213+429+446+238+297+3+319</f>
        <v>75618</v>
      </c>
      <c r="N44" s="369">
        <f>L44/M44</f>
        <v>10.65691369779682</v>
      </c>
      <c r="O44" s="417"/>
    </row>
    <row r="45" spans="1:15" s="4" customFormat="1" ht="13.5">
      <c r="A45" s="225">
        <v>41</v>
      </c>
      <c r="B45" s="213" t="s">
        <v>297</v>
      </c>
      <c r="C45" s="248">
        <v>40368</v>
      </c>
      <c r="D45" s="352" t="s">
        <v>240</v>
      </c>
      <c r="E45" s="353">
        <v>62</v>
      </c>
      <c r="F45" s="353">
        <v>3</v>
      </c>
      <c r="G45" s="353">
        <v>8</v>
      </c>
      <c r="H45" s="354">
        <v>1529</v>
      </c>
      <c r="I45" s="355">
        <v>171</v>
      </c>
      <c r="J45" s="356">
        <f>I45/F45</f>
        <v>57</v>
      </c>
      <c r="K45" s="357">
        <f>+H45/I45</f>
        <v>8.941520467836257</v>
      </c>
      <c r="L45" s="358">
        <v>356091</v>
      </c>
      <c r="M45" s="359">
        <v>33146</v>
      </c>
      <c r="N45" s="369">
        <f>+L45/M45</f>
        <v>10.74310625716527</v>
      </c>
      <c r="O45" s="417"/>
    </row>
    <row r="46" spans="1:15" s="4" customFormat="1" ht="13.5">
      <c r="A46" s="225">
        <v>42</v>
      </c>
      <c r="B46" s="213" t="s">
        <v>278</v>
      </c>
      <c r="C46" s="248">
        <v>40340</v>
      </c>
      <c r="D46" s="352" t="s">
        <v>242</v>
      </c>
      <c r="E46" s="353">
        <v>4</v>
      </c>
      <c r="F46" s="353">
        <v>3</v>
      </c>
      <c r="G46" s="353">
        <v>12</v>
      </c>
      <c r="H46" s="354">
        <v>1518</v>
      </c>
      <c r="I46" s="355">
        <v>237</v>
      </c>
      <c r="J46" s="356">
        <f>(I46/F46)</f>
        <v>79</v>
      </c>
      <c r="K46" s="357">
        <f>H46/I46</f>
        <v>6.405063291139241</v>
      </c>
      <c r="L46" s="358">
        <f>44210.5+417.5+781.5+1518</f>
        <v>46927.5</v>
      </c>
      <c r="M46" s="359">
        <f>5336+57+129+237</f>
        <v>5759</v>
      </c>
      <c r="N46" s="369">
        <f>L46/M46</f>
        <v>8.148550095502692</v>
      </c>
      <c r="O46" s="417"/>
    </row>
    <row r="47" spans="1:15" s="4" customFormat="1" ht="13.5">
      <c r="A47" s="227">
        <v>43</v>
      </c>
      <c r="B47" s="213" t="s">
        <v>265</v>
      </c>
      <c r="C47" s="248">
        <v>40333</v>
      </c>
      <c r="D47" s="352" t="s">
        <v>242</v>
      </c>
      <c r="E47" s="353">
        <v>5</v>
      </c>
      <c r="F47" s="353">
        <v>5</v>
      </c>
      <c r="G47" s="353">
        <v>13</v>
      </c>
      <c r="H47" s="354">
        <v>1445</v>
      </c>
      <c r="I47" s="355">
        <v>234</v>
      </c>
      <c r="J47" s="356">
        <f>(I47/F47)</f>
        <v>46.8</v>
      </c>
      <c r="K47" s="357">
        <f>H47/I47</f>
        <v>6.1752136752136755</v>
      </c>
      <c r="L47" s="358">
        <f>36730.5+564+1413+1445</f>
        <v>40152.5</v>
      </c>
      <c r="M47" s="359">
        <f>3877+97+237+234</f>
        <v>4445</v>
      </c>
      <c r="N47" s="369">
        <f>L47/M47</f>
        <v>9.03318335208099</v>
      </c>
      <c r="O47" s="417"/>
    </row>
    <row r="48" spans="1:15" s="4" customFormat="1" ht="13.5">
      <c r="A48" s="225">
        <v>44</v>
      </c>
      <c r="B48" s="213" t="s">
        <v>411</v>
      </c>
      <c r="C48" s="248">
        <v>40263</v>
      </c>
      <c r="D48" s="352" t="s">
        <v>101</v>
      </c>
      <c r="E48" s="353">
        <v>286</v>
      </c>
      <c r="F48" s="353">
        <v>3</v>
      </c>
      <c r="G48" s="353">
        <v>22</v>
      </c>
      <c r="H48" s="354">
        <v>1386</v>
      </c>
      <c r="I48" s="355">
        <v>184</v>
      </c>
      <c r="J48" s="356">
        <f>IF(H48&lt;&gt;0,I48/F48,"")</f>
        <v>61.333333333333336</v>
      </c>
      <c r="K48" s="357">
        <f>IF(H48&lt;&gt;0,H48/I48,"")</f>
        <v>7.532608695652174</v>
      </c>
      <c r="L48" s="358">
        <f>9494692+H48</f>
        <v>9496078</v>
      </c>
      <c r="M48" s="359">
        <f>1140920+I48</f>
        <v>1141104</v>
      </c>
      <c r="N48" s="369">
        <f>+L48/M48</f>
        <v>8.321833943268974</v>
      </c>
      <c r="O48" s="417">
        <v>1</v>
      </c>
    </row>
    <row r="49" spans="1:15" s="4" customFormat="1" ht="13.5">
      <c r="A49" s="225">
        <v>45</v>
      </c>
      <c r="B49" s="213" t="s">
        <v>412</v>
      </c>
      <c r="C49" s="248">
        <v>40235</v>
      </c>
      <c r="D49" s="352" t="s">
        <v>240</v>
      </c>
      <c r="E49" s="353">
        <v>256</v>
      </c>
      <c r="F49" s="353">
        <v>4</v>
      </c>
      <c r="G49" s="353">
        <v>27</v>
      </c>
      <c r="H49" s="354">
        <v>1343</v>
      </c>
      <c r="I49" s="355">
        <v>233</v>
      </c>
      <c r="J49" s="356">
        <f>I49/F49</f>
        <v>58.25</v>
      </c>
      <c r="K49" s="357">
        <f>+H49/I49</f>
        <v>5.763948497854077</v>
      </c>
      <c r="L49" s="358">
        <v>21693531</v>
      </c>
      <c r="M49" s="359">
        <v>2452700</v>
      </c>
      <c r="N49" s="369">
        <f>+L49/M49</f>
        <v>8.84475516777429</v>
      </c>
      <c r="O49" s="417">
        <v>1</v>
      </c>
    </row>
    <row r="50" spans="1:15" s="4" customFormat="1" ht="13.5">
      <c r="A50" s="227">
        <v>46</v>
      </c>
      <c r="B50" s="213" t="s">
        <v>413</v>
      </c>
      <c r="C50" s="248">
        <v>40284</v>
      </c>
      <c r="D50" s="352" t="s">
        <v>242</v>
      </c>
      <c r="E50" s="353">
        <v>14</v>
      </c>
      <c r="F50" s="353">
        <v>1</v>
      </c>
      <c r="G50" s="353">
        <v>15</v>
      </c>
      <c r="H50" s="354">
        <v>1330</v>
      </c>
      <c r="I50" s="355">
        <v>270</v>
      </c>
      <c r="J50" s="356">
        <f>(I50/F50)</f>
        <v>270</v>
      </c>
      <c r="K50" s="357">
        <f>H50/I50</f>
        <v>4.925925925925926</v>
      </c>
      <c r="L50" s="358">
        <f>45403.5+26416+19522+5885+5520+2576+2604+1325+840+957.5+196+2970+1095+960+1330</f>
        <v>117600</v>
      </c>
      <c r="M50" s="359">
        <f>4053+2594+2599+732+962+495+470+215+146+347+28+743+229+194+270</f>
        <v>14077</v>
      </c>
      <c r="N50" s="369">
        <f>L50/M50</f>
        <v>8.35405271009448</v>
      </c>
      <c r="O50" s="417">
        <v>1</v>
      </c>
    </row>
    <row r="51" spans="1:15" s="4" customFormat="1" ht="13.5">
      <c r="A51" s="225">
        <v>47</v>
      </c>
      <c r="B51" s="213" t="s">
        <v>414</v>
      </c>
      <c r="C51" s="248">
        <v>40424</v>
      </c>
      <c r="D51" s="352" t="s">
        <v>241</v>
      </c>
      <c r="E51" s="353">
        <v>64</v>
      </c>
      <c r="F51" s="353">
        <v>1</v>
      </c>
      <c r="G51" s="353" t="s">
        <v>389</v>
      </c>
      <c r="H51" s="354">
        <v>1325</v>
      </c>
      <c r="I51" s="355">
        <v>86</v>
      </c>
      <c r="J51" s="356">
        <f>I51/F51</f>
        <v>86</v>
      </c>
      <c r="K51" s="357">
        <f>H51/I51</f>
        <v>15.406976744186046</v>
      </c>
      <c r="L51" s="358">
        <v>1325</v>
      </c>
      <c r="M51" s="359">
        <v>86</v>
      </c>
      <c r="N51" s="369">
        <f>+L51/M51</f>
        <v>15.406976744186046</v>
      </c>
      <c r="O51" s="329"/>
    </row>
    <row r="52" spans="1:15" s="4" customFormat="1" ht="13.5">
      <c r="A52" s="225">
        <v>48</v>
      </c>
      <c r="B52" s="213" t="s">
        <v>290</v>
      </c>
      <c r="C52" s="248">
        <v>40200</v>
      </c>
      <c r="D52" s="352" t="s">
        <v>240</v>
      </c>
      <c r="E52" s="353">
        <v>100</v>
      </c>
      <c r="F52" s="353">
        <v>1</v>
      </c>
      <c r="G52" s="353">
        <v>10</v>
      </c>
      <c r="H52" s="354">
        <v>1206</v>
      </c>
      <c r="I52" s="355">
        <v>350</v>
      </c>
      <c r="J52" s="356">
        <f>I52/F52</f>
        <v>350</v>
      </c>
      <c r="K52" s="357">
        <f>+H52/I52</f>
        <v>3.4457142857142857</v>
      </c>
      <c r="L52" s="358">
        <v>602901</v>
      </c>
      <c r="M52" s="359">
        <v>63060</v>
      </c>
      <c r="N52" s="369">
        <f>+L52/M52</f>
        <v>9.560751665080875</v>
      </c>
      <c r="O52" s="417"/>
    </row>
    <row r="53" spans="1:15" s="4" customFormat="1" ht="13.5">
      <c r="A53" s="227">
        <v>49</v>
      </c>
      <c r="B53" s="213" t="s">
        <v>368</v>
      </c>
      <c r="C53" s="248">
        <v>40389</v>
      </c>
      <c r="D53" s="352" t="s">
        <v>242</v>
      </c>
      <c r="E53" s="353">
        <v>3</v>
      </c>
      <c r="F53" s="353">
        <v>2</v>
      </c>
      <c r="G53" s="353">
        <v>5</v>
      </c>
      <c r="H53" s="354">
        <v>1204</v>
      </c>
      <c r="I53" s="355">
        <v>139</v>
      </c>
      <c r="J53" s="356">
        <f>(I53/F53)</f>
        <v>69.5</v>
      </c>
      <c r="K53" s="357">
        <f>H53/I53</f>
        <v>8.661870503597122</v>
      </c>
      <c r="L53" s="358">
        <f>6803+1310+2816.5+1204</f>
        <v>12133.5</v>
      </c>
      <c r="M53" s="359">
        <f>678+171+330+139</f>
        <v>1318</v>
      </c>
      <c r="N53" s="369">
        <f>L53/M53</f>
        <v>9.205993930197268</v>
      </c>
      <c r="O53" s="417"/>
    </row>
    <row r="54" spans="1:15" s="4" customFormat="1" ht="13.5">
      <c r="A54" s="225">
        <v>50</v>
      </c>
      <c r="B54" s="213" t="s">
        <v>75</v>
      </c>
      <c r="C54" s="248">
        <v>40235</v>
      </c>
      <c r="D54" s="352" t="s">
        <v>241</v>
      </c>
      <c r="E54" s="353">
        <v>27</v>
      </c>
      <c r="F54" s="353">
        <v>1</v>
      </c>
      <c r="G54" s="353">
        <v>14</v>
      </c>
      <c r="H54" s="354">
        <v>1190</v>
      </c>
      <c r="I54" s="355">
        <v>119</v>
      </c>
      <c r="J54" s="356">
        <f>I54/F54</f>
        <v>119</v>
      </c>
      <c r="K54" s="357">
        <f>H54/I54</f>
        <v>10</v>
      </c>
      <c r="L54" s="358">
        <v>179663</v>
      </c>
      <c r="M54" s="359">
        <v>15565</v>
      </c>
      <c r="N54" s="369">
        <f>+L54/M54</f>
        <v>11.542756183745583</v>
      </c>
      <c r="O54" s="329"/>
    </row>
    <row r="55" spans="1:15" s="4" customFormat="1" ht="13.5">
      <c r="A55" s="225">
        <v>51</v>
      </c>
      <c r="B55" s="213" t="s">
        <v>115</v>
      </c>
      <c r="C55" s="248">
        <v>40088</v>
      </c>
      <c r="D55" s="352" t="s">
        <v>242</v>
      </c>
      <c r="E55" s="353">
        <v>22</v>
      </c>
      <c r="F55" s="353">
        <v>1</v>
      </c>
      <c r="G55" s="353">
        <v>21</v>
      </c>
      <c r="H55" s="354">
        <v>1188</v>
      </c>
      <c r="I55" s="355">
        <v>297</v>
      </c>
      <c r="J55" s="356">
        <f>(I55/F55)</f>
        <v>297</v>
      </c>
      <c r="K55" s="357">
        <f>H55/I55</f>
        <v>4</v>
      </c>
      <c r="L55" s="358">
        <f>25195+10013.5+1152+270+83.5+141+48+709.5+1424+1356+5416.5+126229.75+19059.5+5814+6475.5+5450+6300+4948+862+493+1188</f>
        <v>222628.75</v>
      </c>
      <c r="M55" s="359">
        <f>2139+1282+178+44+14+26+8+240+356+299+446+10017+1456+869+877+646+776+686+134+93+297</f>
        <v>20883</v>
      </c>
      <c r="N55" s="369">
        <f>L55/M55</f>
        <v>10.660764736867309</v>
      </c>
      <c r="O55" s="417"/>
    </row>
    <row r="56" spans="1:15" s="4" customFormat="1" ht="13.5">
      <c r="A56" s="227">
        <v>52</v>
      </c>
      <c r="B56" s="213" t="s">
        <v>415</v>
      </c>
      <c r="C56" s="248">
        <v>40151</v>
      </c>
      <c r="D56" s="352" t="s">
        <v>101</v>
      </c>
      <c r="E56" s="353">
        <v>140</v>
      </c>
      <c r="F56" s="353">
        <v>1</v>
      </c>
      <c r="G56" s="353">
        <v>13</v>
      </c>
      <c r="H56" s="354">
        <v>1188</v>
      </c>
      <c r="I56" s="355">
        <v>238</v>
      </c>
      <c r="J56" s="356">
        <f>IF(H56&lt;&gt;0,I56/F56,"")</f>
        <v>238</v>
      </c>
      <c r="K56" s="357">
        <f>IF(H56&lt;&gt;0,H56/I56,"")</f>
        <v>4.991596638655462</v>
      </c>
      <c r="L56" s="358">
        <f>1040676.5+H56</f>
        <v>1041864.5</v>
      </c>
      <c r="M56" s="359">
        <f>133177+J56</f>
        <v>133415</v>
      </c>
      <c r="N56" s="369">
        <f>+L56/M56</f>
        <v>7.809200614623543</v>
      </c>
      <c r="O56" s="417">
        <v>1</v>
      </c>
    </row>
    <row r="57" spans="1:15" s="4" customFormat="1" ht="13.5">
      <c r="A57" s="225">
        <v>53</v>
      </c>
      <c r="B57" s="253" t="s">
        <v>173</v>
      </c>
      <c r="C57" s="248">
        <v>40291</v>
      </c>
      <c r="D57" s="352" t="s">
        <v>242</v>
      </c>
      <c r="E57" s="353">
        <v>12</v>
      </c>
      <c r="F57" s="353">
        <v>3</v>
      </c>
      <c r="G57" s="353">
        <v>18</v>
      </c>
      <c r="H57" s="354">
        <v>1155</v>
      </c>
      <c r="I57" s="355">
        <v>165</v>
      </c>
      <c r="J57" s="356">
        <f>(I57/F57)</f>
        <v>55</v>
      </c>
      <c r="K57" s="357">
        <f>H57/I57</f>
        <v>7</v>
      </c>
      <c r="L57" s="358">
        <f>177949.5+5454.5+2200.5+1155</f>
        <v>186759.5</v>
      </c>
      <c r="M57" s="359">
        <f>19461+622+289+165</f>
        <v>20537</v>
      </c>
      <c r="N57" s="369">
        <f>L57/M57</f>
        <v>9.093806300822905</v>
      </c>
      <c r="O57" s="417"/>
    </row>
    <row r="58" spans="1:15" s="4" customFormat="1" ht="13.5" customHeight="1">
      <c r="A58" s="225">
        <v>54</v>
      </c>
      <c r="B58" s="213" t="s">
        <v>287</v>
      </c>
      <c r="C58" s="248">
        <v>40347</v>
      </c>
      <c r="D58" s="352" t="s">
        <v>242</v>
      </c>
      <c r="E58" s="353">
        <v>2</v>
      </c>
      <c r="F58" s="353">
        <v>2</v>
      </c>
      <c r="G58" s="353">
        <v>11</v>
      </c>
      <c r="H58" s="354">
        <v>1133</v>
      </c>
      <c r="I58" s="355">
        <v>179</v>
      </c>
      <c r="J58" s="356">
        <f>(I58/F58)</f>
        <v>89.5</v>
      </c>
      <c r="K58" s="357">
        <f>H58/I58</f>
        <v>6.329608938547486</v>
      </c>
      <c r="L58" s="358">
        <f>15693+762+1031+1133</f>
        <v>18619</v>
      </c>
      <c r="M58" s="359">
        <f>1559+119+194+179</f>
        <v>2051</v>
      </c>
      <c r="N58" s="369">
        <f>L58/M58</f>
        <v>9.07801072647489</v>
      </c>
      <c r="O58" s="417"/>
    </row>
    <row r="59" spans="1:15" s="4" customFormat="1" ht="13.5">
      <c r="A59" s="227">
        <v>55</v>
      </c>
      <c r="B59" s="213" t="s">
        <v>58</v>
      </c>
      <c r="C59" s="248">
        <v>40165</v>
      </c>
      <c r="D59" s="352" t="s">
        <v>242</v>
      </c>
      <c r="E59" s="353">
        <v>125</v>
      </c>
      <c r="F59" s="353">
        <v>2</v>
      </c>
      <c r="G59" s="353">
        <v>36</v>
      </c>
      <c r="H59" s="354">
        <v>1045</v>
      </c>
      <c r="I59" s="355">
        <v>113</v>
      </c>
      <c r="J59" s="356">
        <v>28</v>
      </c>
      <c r="K59" s="357">
        <v>8</v>
      </c>
      <c r="L59" s="358">
        <f>26351050.5+1782+1045</f>
        <v>26353877.5</v>
      </c>
      <c r="M59" s="359">
        <f>2457871+446+113</f>
        <v>2458430</v>
      </c>
      <c r="N59" s="369">
        <v>10.72108768116797</v>
      </c>
      <c r="O59" s="417"/>
    </row>
    <row r="60" spans="1:15" s="4" customFormat="1" ht="13.5">
      <c r="A60" s="225">
        <v>56</v>
      </c>
      <c r="B60" s="213" t="s">
        <v>119</v>
      </c>
      <c r="C60" s="248">
        <v>40207</v>
      </c>
      <c r="D60" s="352" t="s">
        <v>263</v>
      </c>
      <c r="E60" s="353">
        <v>87</v>
      </c>
      <c r="F60" s="353">
        <v>5</v>
      </c>
      <c r="G60" s="353">
        <v>19</v>
      </c>
      <c r="H60" s="354">
        <v>989</v>
      </c>
      <c r="I60" s="355">
        <v>170</v>
      </c>
      <c r="J60" s="356">
        <f>I60/F60</f>
        <v>34</v>
      </c>
      <c r="K60" s="357">
        <f>+H60/I60</f>
        <v>5.817647058823529</v>
      </c>
      <c r="L60" s="358">
        <v>1076694</v>
      </c>
      <c r="M60" s="359">
        <v>103809</v>
      </c>
      <c r="N60" s="369">
        <f>+L60/M60</f>
        <v>10.371875270930266</v>
      </c>
      <c r="O60" s="417"/>
    </row>
    <row r="61" spans="1:15" s="4" customFormat="1" ht="13.5">
      <c r="A61" s="225">
        <v>57</v>
      </c>
      <c r="B61" s="213" t="s">
        <v>229</v>
      </c>
      <c r="C61" s="248">
        <v>40305</v>
      </c>
      <c r="D61" s="352" t="s">
        <v>242</v>
      </c>
      <c r="E61" s="353">
        <v>22</v>
      </c>
      <c r="F61" s="353">
        <v>2</v>
      </c>
      <c r="G61" s="353">
        <v>16</v>
      </c>
      <c r="H61" s="354">
        <v>979</v>
      </c>
      <c r="I61" s="355">
        <v>155</v>
      </c>
      <c r="J61" s="356">
        <f>(I61/F61)</f>
        <v>77.5</v>
      </c>
      <c r="K61" s="357">
        <f>H61/I61</f>
        <v>6.316129032258065</v>
      </c>
      <c r="L61" s="358">
        <f>296367.5+1334+979</f>
        <v>298680.5</v>
      </c>
      <c r="M61" s="359">
        <f>30471+150+155</f>
        <v>30776</v>
      </c>
      <c r="N61" s="369">
        <f>L61/M61</f>
        <v>9.704981154146088</v>
      </c>
      <c r="O61" s="417"/>
    </row>
    <row r="62" spans="1:15" s="4" customFormat="1" ht="13.5">
      <c r="A62" s="227">
        <v>58</v>
      </c>
      <c r="B62" s="213" t="s">
        <v>348</v>
      </c>
      <c r="C62" s="248">
        <v>40309</v>
      </c>
      <c r="D62" s="352" t="s">
        <v>240</v>
      </c>
      <c r="E62" s="353">
        <v>13</v>
      </c>
      <c r="F62" s="353">
        <v>2</v>
      </c>
      <c r="G62" s="353">
        <v>12</v>
      </c>
      <c r="H62" s="354">
        <v>945</v>
      </c>
      <c r="I62" s="355">
        <v>141</v>
      </c>
      <c r="J62" s="356">
        <f>I62/F62</f>
        <v>70.5</v>
      </c>
      <c r="K62" s="357">
        <f>+H62/I62</f>
        <v>6.702127659574468</v>
      </c>
      <c r="L62" s="358">
        <v>198720</v>
      </c>
      <c r="M62" s="359">
        <v>18926</v>
      </c>
      <c r="N62" s="369">
        <f>+L62/M62</f>
        <v>10.499841487900243</v>
      </c>
      <c r="O62" s="417"/>
    </row>
    <row r="63" spans="1:15" s="4" customFormat="1" ht="13.5">
      <c r="A63" s="225">
        <v>59</v>
      </c>
      <c r="B63" s="213" t="s">
        <v>337</v>
      </c>
      <c r="C63" s="248">
        <v>40375</v>
      </c>
      <c r="D63" s="352" t="s">
        <v>242</v>
      </c>
      <c r="E63" s="353">
        <v>2</v>
      </c>
      <c r="F63" s="353">
        <v>1</v>
      </c>
      <c r="G63" s="353">
        <v>7</v>
      </c>
      <c r="H63" s="354">
        <v>912.5</v>
      </c>
      <c r="I63" s="355">
        <v>121</v>
      </c>
      <c r="J63" s="356">
        <f>(I63/F63)</f>
        <v>121</v>
      </c>
      <c r="K63" s="357">
        <f>H63/I63</f>
        <v>7.541322314049586</v>
      </c>
      <c r="L63" s="358">
        <f>5961+952+178+912.5</f>
        <v>8003.5</v>
      </c>
      <c r="M63" s="359">
        <f>700+123+22+121</f>
        <v>966</v>
      </c>
      <c r="N63" s="369">
        <f>L63/M63</f>
        <v>8.2851966873706</v>
      </c>
      <c r="O63" s="417"/>
    </row>
    <row r="64" spans="1:15" s="4" customFormat="1" ht="13.5">
      <c r="A64" s="225">
        <v>60</v>
      </c>
      <c r="B64" s="213" t="s">
        <v>374</v>
      </c>
      <c r="C64" s="248">
        <v>40319</v>
      </c>
      <c r="D64" s="352" t="s">
        <v>240</v>
      </c>
      <c r="E64" s="353">
        <v>178</v>
      </c>
      <c r="F64" s="353">
        <v>2</v>
      </c>
      <c r="G64" s="353">
        <v>15</v>
      </c>
      <c r="H64" s="354">
        <v>874</v>
      </c>
      <c r="I64" s="355">
        <v>154</v>
      </c>
      <c r="J64" s="356">
        <f>I64/F64</f>
        <v>77</v>
      </c>
      <c r="K64" s="357">
        <f>+H64/I64</f>
        <v>5.675324675324675</v>
      </c>
      <c r="L64" s="358">
        <v>4933678</v>
      </c>
      <c r="M64" s="359">
        <v>547182</v>
      </c>
      <c r="N64" s="369">
        <f>+L64/M64</f>
        <v>9.016521011290576</v>
      </c>
      <c r="O64" s="417"/>
    </row>
    <row r="65" spans="1:15" s="4" customFormat="1" ht="13.5">
      <c r="A65" s="227">
        <v>61</v>
      </c>
      <c r="B65" s="213" t="s">
        <v>346</v>
      </c>
      <c r="C65" s="248">
        <v>40228</v>
      </c>
      <c r="D65" s="352" t="s">
        <v>242</v>
      </c>
      <c r="E65" s="353">
        <v>88</v>
      </c>
      <c r="F65" s="353">
        <v>1</v>
      </c>
      <c r="G65" s="353">
        <v>22</v>
      </c>
      <c r="H65" s="354">
        <v>661</v>
      </c>
      <c r="I65" s="355">
        <v>97</v>
      </c>
      <c r="J65" s="356">
        <f>(I65/F65)</f>
        <v>97</v>
      </c>
      <c r="K65" s="357">
        <f>H65/I65</f>
        <v>6.814432989690721</v>
      </c>
      <c r="L65" s="358">
        <f>848677.55+469+99+661</f>
        <v>849906.55</v>
      </c>
      <c r="M65" s="359">
        <f>99747+71+15+97</f>
        <v>99930</v>
      </c>
      <c r="N65" s="369">
        <f>L65/M65</f>
        <v>8.505019013309317</v>
      </c>
      <c r="O65" s="417"/>
    </row>
    <row r="66" spans="1:15" s="4" customFormat="1" ht="13.5">
      <c r="A66" s="225">
        <v>62</v>
      </c>
      <c r="B66" s="213" t="s">
        <v>377</v>
      </c>
      <c r="C66" s="248">
        <v>40361</v>
      </c>
      <c r="D66" s="352" t="s">
        <v>242</v>
      </c>
      <c r="E66" s="353">
        <v>3</v>
      </c>
      <c r="F66" s="353">
        <v>2</v>
      </c>
      <c r="G66" s="353">
        <v>9</v>
      </c>
      <c r="H66" s="354">
        <v>584</v>
      </c>
      <c r="I66" s="355">
        <v>73</v>
      </c>
      <c r="J66" s="356">
        <f>(I66/F66)</f>
        <v>36.5</v>
      </c>
      <c r="K66" s="357">
        <f>H66/I66</f>
        <v>8</v>
      </c>
      <c r="L66" s="358">
        <f>15313.5+921+1611.5+584</f>
        <v>18430</v>
      </c>
      <c r="M66" s="359">
        <f>1730+119+201+73</f>
        <v>2123</v>
      </c>
      <c r="N66" s="369">
        <f>L66/M66</f>
        <v>8.68111163447951</v>
      </c>
      <c r="O66" s="417"/>
    </row>
    <row r="67" spans="1:15" s="4" customFormat="1" ht="13.5">
      <c r="A67" s="225">
        <v>63</v>
      </c>
      <c r="B67" s="213" t="s">
        <v>416</v>
      </c>
      <c r="C67" s="248">
        <v>40347</v>
      </c>
      <c r="D67" s="352" t="s">
        <v>101</v>
      </c>
      <c r="E67" s="353">
        <v>10</v>
      </c>
      <c r="F67" s="353">
        <v>5</v>
      </c>
      <c r="G67" s="353">
        <v>11</v>
      </c>
      <c r="H67" s="354">
        <v>574</v>
      </c>
      <c r="I67" s="355">
        <v>84</v>
      </c>
      <c r="J67" s="356">
        <f>IF(H67&lt;&gt;0,I67/F67,"")</f>
        <v>16.8</v>
      </c>
      <c r="K67" s="357">
        <f>IF(H67&lt;&gt;0,H67/I67,"")</f>
        <v>6.833333333333333</v>
      </c>
      <c r="L67" s="358">
        <f>34544+H67</f>
        <v>35118</v>
      </c>
      <c r="M67" s="359">
        <f>4886+I67</f>
        <v>4970</v>
      </c>
      <c r="N67" s="369">
        <f>+L67/M67</f>
        <v>7.065995975855131</v>
      </c>
      <c r="O67" s="417">
        <v>1</v>
      </c>
    </row>
    <row r="68" spans="1:15" s="4" customFormat="1" ht="13.5">
      <c r="A68" s="227">
        <v>64</v>
      </c>
      <c r="B68" s="213" t="s">
        <v>227</v>
      </c>
      <c r="C68" s="248">
        <v>40298</v>
      </c>
      <c r="D68" s="352" t="s">
        <v>242</v>
      </c>
      <c r="E68" s="353">
        <v>10</v>
      </c>
      <c r="F68" s="353">
        <v>2</v>
      </c>
      <c r="G68" s="353">
        <v>17</v>
      </c>
      <c r="H68" s="354">
        <v>477</v>
      </c>
      <c r="I68" s="355">
        <v>59</v>
      </c>
      <c r="J68" s="356">
        <f>(I68/F68)</f>
        <v>29.5</v>
      </c>
      <c r="K68" s="357">
        <f>H68/I68</f>
        <v>8.084745762711865</v>
      </c>
      <c r="L68" s="358">
        <f>83892.5+865+192+477</f>
        <v>85426.5</v>
      </c>
      <c r="M68" s="359">
        <f>10300+144+24+59</f>
        <v>10527</v>
      </c>
      <c r="N68" s="369">
        <f>L68/M68</f>
        <v>8.114990025648332</v>
      </c>
      <c r="O68" s="417"/>
    </row>
    <row r="69" spans="1:15" s="4" customFormat="1" ht="13.5">
      <c r="A69" s="225">
        <v>65</v>
      </c>
      <c r="B69" s="213" t="s">
        <v>43</v>
      </c>
      <c r="C69" s="248">
        <v>40095</v>
      </c>
      <c r="D69" s="352" t="s">
        <v>242</v>
      </c>
      <c r="E69" s="353">
        <v>22</v>
      </c>
      <c r="F69" s="353">
        <v>1</v>
      </c>
      <c r="G69" s="353">
        <v>19</v>
      </c>
      <c r="H69" s="354">
        <v>476</v>
      </c>
      <c r="I69" s="355">
        <v>72</v>
      </c>
      <c r="J69" s="356">
        <f>(I69/F69)</f>
        <v>72</v>
      </c>
      <c r="K69" s="357">
        <f>H69/I69</f>
        <v>6.611111111111111</v>
      </c>
      <c r="L69" s="358">
        <f>158809.5+140713.25+103696.25+38523+19360+17458+1188+196+2484+3158+1780+2933+1780+2461+6600.5+2668.5+440+441+476</f>
        <v>505166</v>
      </c>
      <c r="M69" s="359">
        <f>14214+13110+10683+4685+3074+2645+297+16+571+596+445+584+445+466+837+295+44+65+72</f>
        <v>53144</v>
      </c>
      <c r="N69" s="369">
        <f>L69/M69</f>
        <v>9.505607406292338</v>
      </c>
      <c r="O69" s="417"/>
    </row>
    <row r="70" spans="1:15" s="4" customFormat="1" ht="13.5">
      <c r="A70" s="225">
        <v>66</v>
      </c>
      <c r="B70" s="213" t="s">
        <v>217</v>
      </c>
      <c r="C70" s="248">
        <v>40284</v>
      </c>
      <c r="D70" s="352" t="s">
        <v>263</v>
      </c>
      <c r="E70" s="353">
        <v>30</v>
      </c>
      <c r="F70" s="353">
        <v>2</v>
      </c>
      <c r="G70" s="353">
        <v>20</v>
      </c>
      <c r="H70" s="354">
        <v>459</v>
      </c>
      <c r="I70" s="355">
        <v>81</v>
      </c>
      <c r="J70" s="356">
        <f>I70/F70</f>
        <v>40.5</v>
      </c>
      <c r="K70" s="357">
        <f>+H70/I70</f>
        <v>5.666666666666667</v>
      </c>
      <c r="L70" s="358">
        <v>268851</v>
      </c>
      <c r="M70" s="359">
        <v>30621</v>
      </c>
      <c r="N70" s="369">
        <f>+L70/M70</f>
        <v>8.779954932889193</v>
      </c>
      <c r="O70" s="417"/>
    </row>
    <row r="71" spans="1:15" s="4" customFormat="1" ht="13.5">
      <c r="A71" s="227">
        <v>67</v>
      </c>
      <c r="B71" s="213" t="s">
        <v>218</v>
      </c>
      <c r="C71" s="248">
        <v>40284</v>
      </c>
      <c r="D71" s="352" t="s">
        <v>242</v>
      </c>
      <c r="E71" s="353">
        <v>14</v>
      </c>
      <c r="F71" s="353">
        <v>1</v>
      </c>
      <c r="G71" s="353">
        <v>13</v>
      </c>
      <c r="H71" s="354">
        <v>448</v>
      </c>
      <c r="I71" s="355">
        <v>68</v>
      </c>
      <c r="J71" s="356">
        <f>(I71/F71)</f>
        <v>68</v>
      </c>
      <c r="K71" s="357">
        <f>H71/I71</f>
        <v>6.588235294117647</v>
      </c>
      <c r="L71" s="358">
        <f>76493+31029+16263+2973.5+5950+1072+478+1719+278+273+129+687+448</f>
        <v>137792.5</v>
      </c>
      <c r="M71" s="359">
        <f>5580+2331+1364+295+742+216+64+225+39+39+18+75+68</f>
        <v>11056</v>
      </c>
      <c r="N71" s="369">
        <f>L71/M71</f>
        <v>12.463142185238784</v>
      </c>
      <c r="O71" s="417"/>
    </row>
    <row r="72" spans="1:15" s="4" customFormat="1" ht="13.5">
      <c r="A72" s="225">
        <v>68</v>
      </c>
      <c r="B72" s="213" t="s">
        <v>358</v>
      </c>
      <c r="C72" s="248">
        <v>40214</v>
      </c>
      <c r="D72" s="352" t="s">
        <v>263</v>
      </c>
      <c r="E72" s="353">
        <v>144</v>
      </c>
      <c r="F72" s="353">
        <v>2</v>
      </c>
      <c r="G72" s="353">
        <v>29</v>
      </c>
      <c r="H72" s="354">
        <v>446</v>
      </c>
      <c r="I72" s="355">
        <v>89</v>
      </c>
      <c r="J72" s="356">
        <f>I72/F72</f>
        <v>44.5</v>
      </c>
      <c r="K72" s="357">
        <f>+H72/I72</f>
        <v>5.01123595505618</v>
      </c>
      <c r="L72" s="358">
        <v>6100286</v>
      </c>
      <c r="M72" s="359">
        <v>665744</v>
      </c>
      <c r="N72" s="369">
        <f>+L72/M72</f>
        <v>9.163110745271455</v>
      </c>
      <c r="O72" s="417">
        <v>1</v>
      </c>
    </row>
    <row r="73" spans="1:15" s="4" customFormat="1" ht="13.5">
      <c r="A73" s="225">
        <v>69</v>
      </c>
      <c r="B73" s="213" t="s">
        <v>246</v>
      </c>
      <c r="C73" s="248">
        <v>40319</v>
      </c>
      <c r="D73" s="352" t="s">
        <v>242</v>
      </c>
      <c r="E73" s="353">
        <v>40</v>
      </c>
      <c r="F73" s="353">
        <v>1</v>
      </c>
      <c r="G73" s="353">
        <v>15</v>
      </c>
      <c r="H73" s="354">
        <v>419.5</v>
      </c>
      <c r="I73" s="355">
        <v>61</v>
      </c>
      <c r="J73" s="356">
        <f>(I73/F73)</f>
        <v>61</v>
      </c>
      <c r="K73" s="357">
        <f>H73/I73</f>
        <v>6.877049180327869</v>
      </c>
      <c r="L73" s="358">
        <f>711534+6511+3796+419.5</f>
        <v>722260.5</v>
      </c>
      <c r="M73" s="359">
        <f>75498+1388+916+61</f>
        <v>77863</v>
      </c>
      <c r="N73" s="369">
        <f>L73/M73</f>
        <v>9.276042536249566</v>
      </c>
      <c r="O73" s="417"/>
    </row>
    <row r="74" spans="1:15" s="4" customFormat="1" ht="13.5">
      <c r="A74" s="227">
        <v>70</v>
      </c>
      <c r="B74" s="213" t="s">
        <v>417</v>
      </c>
      <c r="C74" s="248">
        <v>40277</v>
      </c>
      <c r="D74" s="210" t="s">
        <v>47</v>
      </c>
      <c r="E74" s="353">
        <v>101</v>
      </c>
      <c r="F74" s="353">
        <v>1</v>
      </c>
      <c r="G74" s="353">
        <v>11</v>
      </c>
      <c r="H74" s="354">
        <v>409</v>
      </c>
      <c r="I74" s="355">
        <v>63</v>
      </c>
      <c r="J74" s="356">
        <f>I74/F74</f>
        <v>63</v>
      </c>
      <c r="K74" s="357">
        <f>+H74/I74</f>
        <v>6.492063492063492</v>
      </c>
      <c r="L74" s="358">
        <f>139056.25+65096+32553+8586+0.5+3919+0.5+4271+1102+240+828+70+409</f>
        <v>256131.25</v>
      </c>
      <c r="M74" s="359">
        <f>17232+8920+4923+1282+584+699+215+38+132+12+63</f>
        <v>34100</v>
      </c>
      <c r="N74" s="369">
        <f>+L74/M74</f>
        <v>7.511180351906158</v>
      </c>
      <c r="O74" s="417">
        <v>1</v>
      </c>
    </row>
    <row r="75" spans="1:15" s="4" customFormat="1" ht="13.5">
      <c r="A75" s="225">
        <v>71</v>
      </c>
      <c r="B75" s="213" t="s">
        <v>282</v>
      </c>
      <c r="C75" s="248">
        <v>40284</v>
      </c>
      <c r="D75" s="352" t="s">
        <v>263</v>
      </c>
      <c r="E75" s="353">
        <v>1</v>
      </c>
      <c r="F75" s="353">
        <v>1</v>
      </c>
      <c r="G75" s="353">
        <v>17</v>
      </c>
      <c r="H75" s="354">
        <v>407</v>
      </c>
      <c r="I75" s="355">
        <v>75</v>
      </c>
      <c r="J75" s="356">
        <f>I75/F75</f>
        <v>75</v>
      </c>
      <c r="K75" s="357">
        <f>+H75/I75</f>
        <v>5.426666666666667</v>
      </c>
      <c r="L75" s="358">
        <v>43744</v>
      </c>
      <c r="M75" s="359">
        <v>3526</v>
      </c>
      <c r="N75" s="369">
        <f>+L75/M75</f>
        <v>12.406125921724334</v>
      </c>
      <c r="O75" s="417"/>
    </row>
    <row r="76" spans="1:15" s="4" customFormat="1" ht="13.5">
      <c r="A76" s="225">
        <v>72</v>
      </c>
      <c r="B76" s="213" t="s">
        <v>418</v>
      </c>
      <c r="C76" s="248">
        <v>40249</v>
      </c>
      <c r="D76" s="352" t="s">
        <v>101</v>
      </c>
      <c r="E76" s="353">
        <v>116</v>
      </c>
      <c r="F76" s="353">
        <v>2</v>
      </c>
      <c r="G76" s="353">
        <v>25</v>
      </c>
      <c r="H76" s="354">
        <v>375</v>
      </c>
      <c r="I76" s="355">
        <v>71</v>
      </c>
      <c r="J76" s="356">
        <f>IF(H76&lt;&gt;0,I76/F76,"")</f>
        <v>35.5</v>
      </c>
      <c r="K76" s="357">
        <f>IF(H76&lt;&gt;0,H76/I76,"")</f>
        <v>5.28169014084507</v>
      </c>
      <c r="L76" s="358">
        <f>1547108.25+H76</f>
        <v>1547483.25</v>
      </c>
      <c r="M76" s="359">
        <f>209722+I76</f>
        <v>209793</v>
      </c>
      <c r="N76" s="369">
        <f>+L76/M76</f>
        <v>7.37623872102501</v>
      </c>
      <c r="O76" s="417">
        <v>1</v>
      </c>
    </row>
    <row r="77" spans="1:15" s="4" customFormat="1" ht="13.5">
      <c r="A77" s="227">
        <v>73</v>
      </c>
      <c r="B77" s="253" t="s">
        <v>180</v>
      </c>
      <c r="C77" s="248">
        <v>40186</v>
      </c>
      <c r="D77" s="352" t="s">
        <v>242</v>
      </c>
      <c r="E77" s="353">
        <v>4</v>
      </c>
      <c r="F77" s="353">
        <v>1</v>
      </c>
      <c r="G77" s="353">
        <v>27</v>
      </c>
      <c r="H77" s="354">
        <v>373</v>
      </c>
      <c r="I77" s="355">
        <v>51</v>
      </c>
      <c r="J77" s="356">
        <v>233.5</v>
      </c>
      <c r="K77" s="357">
        <v>4.4860813704496785</v>
      </c>
      <c r="L77" s="358">
        <f>47709+373</f>
        <v>48082</v>
      </c>
      <c r="M77" s="359">
        <f>6734+51</f>
        <v>6785</v>
      </c>
      <c r="N77" s="369">
        <v>7.084793584793585</v>
      </c>
      <c r="O77" s="417"/>
    </row>
    <row r="78" spans="1:15" s="4" customFormat="1" ht="13.5">
      <c r="A78" s="225">
        <v>74</v>
      </c>
      <c r="B78" s="213" t="s">
        <v>71</v>
      </c>
      <c r="C78" s="248">
        <v>40214</v>
      </c>
      <c r="D78" s="352" t="s">
        <v>241</v>
      </c>
      <c r="E78" s="353">
        <v>72</v>
      </c>
      <c r="F78" s="353">
        <v>1</v>
      </c>
      <c r="G78" s="353">
        <v>21</v>
      </c>
      <c r="H78" s="354">
        <v>360</v>
      </c>
      <c r="I78" s="355">
        <v>30</v>
      </c>
      <c r="J78" s="356">
        <f>I78/F78</f>
        <v>30</v>
      </c>
      <c r="K78" s="357">
        <f>H78/I78</f>
        <v>12</v>
      </c>
      <c r="L78" s="358">
        <v>1240570</v>
      </c>
      <c r="M78" s="359">
        <v>127045</v>
      </c>
      <c r="N78" s="369">
        <f>+L78/M78</f>
        <v>9.764807745287102</v>
      </c>
      <c r="O78" s="329"/>
    </row>
    <row r="79" spans="1:15" s="4" customFormat="1" ht="13.5">
      <c r="A79" s="225">
        <v>75</v>
      </c>
      <c r="B79" s="213" t="s">
        <v>70</v>
      </c>
      <c r="C79" s="248">
        <v>40228</v>
      </c>
      <c r="D79" s="352" t="s">
        <v>242</v>
      </c>
      <c r="E79" s="353">
        <v>17</v>
      </c>
      <c r="F79" s="353">
        <v>2</v>
      </c>
      <c r="G79" s="353">
        <v>26</v>
      </c>
      <c r="H79" s="354">
        <v>336</v>
      </c>
      <c r="I79" s="355">
        <v>56</v>
      </c>
      <c r="J79" s="356">
        <f>(I79/F79)</f>
        <v>28</v>
      </c>
      <c r="K79" s="357">
        <f>H79/I79</f>
        <v>6</v>
      </c>
      <c r="L79" s="358">
        <f>289107+1009.5+669+336</f>
        <v>291121.5</v>
      </c>
      <c r="M79" s="359">
        <f>30560+127+85+56</f>
        <v>30828</v>
      </c>
      <c r="N79" s="369">
        <f>L79/M79</f>
        <v>9.44341183339821</v>
      </c>
      <c r="O79" s="417"/>
    </row>
    <row r="80" spans="1:15" s="4" customFormat="1" ht="13.5">
      <c r="A80" s="227">
        <v>76</v>
      </c>
      <c r="B80" s="213" t="s">
        <v>260</v>
      </c>
      <c r="C80" s="248">
        <v>40319</v>
      </c>
      <c r="D80" s="352" t="s">
        <v>241</v>
      </c>
      <c r="E80" s="353">
        <v>83</v>
      </c>
      <c r="F80" s="353">
        <v>1</v>
      </c>
      <c r="G80" s="353">
        <v>15</v>
      </c>
      <c r="H80" s="354">
        <v>330</v>
      </c>
      <c r="I80" s="355">
        <v>64</v>
      </c>
      <c r="J80" s="356">
        <f>I80/F80</f>
        <v>64</v>
      </c>
      <c r="K80" s="357">
        <f>H80/I80</f>
        <v>5.15625</v>
      </c>
      <c r="L80" s="358">
        <v>1148321</v>
      </c>
      <c r="M80" s="359">
        <v>133120</v>
      </c>
      <c r="N80" s="369">
        <f aca="true" t="shared" si="2" ref="N80:N86">+L80/M80</f>
        <v>8.626209435096154</v>
      </c>
      <c r="O80" s="329"/>
    </row>
    <row r="81" spans="1:15" s="4" customFormat="1" ht="15" customHeight="1">
      <c r="A81" s="225">
        <v>77</v>
      </c>
      <c r="B81" s="213" t="s">
        <v>419</v>
      </c>
      <c r="C81" s="248">
        <v>40193</v>
      </c>
      <c r="D81" s="352" t="s">
        <v>101</v>
      </c>
      <c r="E81" s="353">
        <v>124</v>
      </c>
      <c r="F81" s="353">
        <v>2</v>
      </c>
      <c r="G81" s="353">
        <v>26</v>
      </c>
      <c r="H81" s="354">
        <v>318</v>
      </c>
      <c r="I81" s="355">
        <v>60</v>
      </c>
      <c r="J81" s="356">
        <f>IF(H81&lt;&gt;0,I81/F81,"")</f>
        <v>30</v>
      </c>
      <c r="K81" s="357">
        <f>IF(H81&lt;&gt;0,H81/I81,"")</f>
        <v>5.3</v>
      </c>
      <c r="L81" s="358">
        <f>461638.75+H81</f>
        <v>461956.75</v>
      </c>
      <c r="M81" s="359">
        <f>58526+I81</f>
        <v>58586</v>
      </c>
      <c r="N81" s="369">
        <f t="shared" si="2"/>
        <v>7.885104803195302</v>
      </c>
      <c r="O81" s="417">
        <v>1</v>
      </c>
    </row>
    <row r="82" spans="1:15" s="4" customFormat="1" ht="13.5">
      <c r="A82" s="225">
        <v>78</v>
      </c>
      <c r="B82" s="213" t="s">
        <v>316</v>
      </c>
      <c r="C82" s="248">
        <v>40074</v>
      </c>
      <c r="D82" s="352" t="s">
        <v>101</v>
      </c>
      <c r="E82" s="353">
        <v>142</v>
      </c>
      <c r="F82" s="353">
        <v>1</v>
      </c>
      <c r="G82" s="353">
        <v>16</v>
      </c>
      <c r="H82" s="354">
        <v>318</v>
      </c>
      <c r="I82" s="355">
        <v>53</v>
      </c>
      <c r="J82" s="356">
        <f>IF(H82&lt;&gt;0,I82/F82,"")</f>
        <v>53</v>
      </c>
      <c r="K82" s="357">
        <f>IF(H82&lt;&gt;0,H82/I82,"")</f>
        <v>6</v>
      </c>
      <c r="L82" s="358">
        <f>813553.5+H82</f>
        <v>813871.5</v>
      </c>
      <c r="M82" s="359">
        <f>102937+J82</f>
        <v>102990</v>
      </c>
      <c r="N82" s="369">
        <f t="shared" si="2"/>
        <v>7.902432274978153</v>
      </c>
      <c r="O82" s="417">
        <v>1</v>
      </c>
    </row>
    <row r="83" spans="1:15" s="4" customFormat="1" ht="13.5">
      <c r="A83" s="225">
        <v>79</v>
      </c>
      <c r="B83" s="213" t="s">
        <v>357</v>
      </c>
      <c r="C83" s="248">
        <v>40102</v>
      </c>
      <c r="D83" s="352" t="s">
        <v>101</v>
      </c>
      <c r="E83" s="353">
        <v>319</v>
      </c>
      <c r="F83" s="353">
        <v>2</v>
      </c>
      <c r="G83" s="353">
        <v>35</v>
      </c>
      <c r="H83" s="354">
        <v>298</v>
      </c>
      <c r="I83" s="355">
        <v>57</v>
      </c>
      <c r="J83" s="356">
        <f>IF(H83&lt;&gt;0,I83/F83,"")</f>
        <v>28.5</v>
      </c>
      <c r="K83" s="357">
        <f>IF(H83&lt;&gt;0,H83/I83,"")</f>
        <v>5.228070175438597</v>
      </c>
      <c r="L83" s="358">
        <f>19811372.25+H83</f>
        <v>19811670.25</v>
      </c>
      <c r="M83" s="359">
        <f>2435756+I83</f>
        <v>2435813</v>
      </c>
      <c r="N83" s="369">
        <f t="shared" si="2"/>
        <v>8.133493929952751</v>
      </c>
      <c r="O83" s="417">
        <v>1</v>
      </c>
    </row>
    <row r="84" spans="1:15" s="4" customFormat="1" ht="13.5">
      <c r="A84" s="227">
        <v>80</v>
      </c>
      <c r="B84" s="213" t="s">
        <v>351</v>
      </c>
      <c r="C84" s="248">
        <v>40284</v>
      </c>
      <c r="D84" s="352" t="s">
        <v>241</v>
      </c>
      <c r="E84" s="353">
        <v>50</v>
      </c>
      <c r="F84" s="353">
        <v>1</v>
      </c>
      <c r="G84" s="353">
        <v>18</v>
      </c>
      <c r="H84" s="354">
        <v>295</v>
      </c>
      <c r="I84" s="355">
        <v>59</v>
      </c>
      <c r="J84" s="356">
        <f>I84/F84</f>
        <v>59</v>
      </c>
      <c r="K84" s="357">
        <f>H84/I84</f>
        <v>5</v>
      </c>
      <c r="L84" s="358">
        <v>352383</v>
      </c>
      <c r="M84" s="359">
        <v>45998</v>
      </c>
      <c r="N84" s="369">
        <f t="shared" si="2"/>
        <v>7.660833079699118</v>
      </c>
      <c r="O84" s="329"/>
    </row>
    <row r="85" spans="1:15" s="4" customFormat="1" ht="13.5">
      <c r="A85" s="225">
        <v>81</v>
      </c>
      <c r="B85" s="213" t="s">
        <v>306</v>
      </c>
      <c r="C85" s="248">
        <v>40312</v>
      </c>
      <c r="D85" s="352" t="s">
        <v>101</v>
      </c>
      <c r="E85" s="353">
        <v>76</v>
      </c>
      <c r="F85" s="353">
        <v>1</v>
      </c>
      <c r="G85" s="353">
        <v>16</v>
      </c>
      <c r="H85" s="354">
        <v>260</v>
      </c>
      <c r="I85" s="355">
        <v>39</v>
      </c>
      <c r="J85" s="356">
        <f>IF(H85&lt;&gt;0,I85/F85,"")</f>
        <v>39</v>
      </c>
      <c r="K85" s="357">
        <f>IF(H85&lt;&gt;0,H85/I85,"")</f>
        <v>6.666666666666667</v>
      </c>
      <c r="L85" s="358">
        <f>366661.5+H85</f>
        <v>366921.5</v>
      </c>
      <c r="M85" s="359">
        <f>32730+J85</f>
        <v>32769</v>
      </c>
      <c r="N85" s="369">
        <f t="shared" si="2"/>
        <v>11.197213830144344</v>
      </c>
      <c r="O85" s="417"/>
    </row>
    <row r="86" spans="1:15" s="4" customFormat="1" ht="13.5">
      <c r="A86" s="225">
        <v>82</v>
      </c>
      <c r="B86" s="213" t="s">
        <v>371</v>
      </c>
      <c r="C86" s="248">
        <v>40165</v>
      </c>
      <c r="D86" s="352" t="s">
        <v>101</v>
      </c>
      <c r="E86" s="353">
        <v>38</v>
      </c>
      <c r="F86" s="353">
        <v>1</v>
      </c>
      <c r="G86" s="353">
        <v>33</v>
      </c>
      <c r="H86" s="354">
        <v>255</v>
      </c>
      <c r="I86" s="355">
        <v>51</v>
      </c>
      <c r="J86" s="356">
        <f>IF(H86&lt;&gt;0,I86/F86,"")</f>
        <v>51</v>
      </c>
      <c r="K86" s="357">
        <f>IF(H86&lt;&gt;0,H86/I86,"")</f>
        <v>5</v>
      </c>
      <c r="L86" s="358">
        <f>1135411+H86</f>
        <v>1135666</v>
      </c>
      <c r="M86" s="359">
        <f>138863+J86</f>
        <v>138914</v>
      </c>
      <c r="N86" s="369">
        <f t="shared" si="2"/>
        <v>8.175317102667838</v>
      </c>
      <c r="O86" s="417">
        <v>1</v>
      </c>
    </row>
    <row r="87" spans="1:15" s="4" customFormat="1" ht="13.5">
      <c r="A87" s="227">
        <v>83</v>
      </c>
      <c r="B87" s="213" t="s">
        <v>192</v>
      </c>
      <c r="C87" s="248">
        <v>40249</v>
      </c>
      <c r="D87" s="352" t="s">
        <v>242</v>
      </c>
      <c r="E87" s="353">
        <v>1</v>
      </c>
      <c r="F87" s="353">
        <v>1</v>
      </c>
      <c r="G87" s="353">
        <v>17</v>
      </c>
      <c r="H87" s="354">
        <v>224</v>
      </c>
      <c r="I87" s="355">
        <v>32</v>
      </c>
      <c r="J87" s="356">
        <f>(I87/F87)</f>
        <v>32</v>
      </c>
      <c r="K87" s="357">
        <f aca="true" t="shared" si="3" ref="K87:K92">H87/I87</f>
        <v>7</v>
      </c>
      <c r="L87" s="358">
        <f>13599.5+20829+12139+2892+1300+2783.5+2376+910+865.5+135.5+307+704+665+619+402+128+13.5+224</f>
        <v>60892.5</v>
      </c>
      <c r="M87" s="359">
        <f>894+1348+783+335+154+243+594+81+119+17+54+80+88+69+48+18+2+32</f>
        <v>4959</v>
      </c>
      <c r="N87" s="369">
        <f>L87/M87</f>
        <v>12.279189352692075</v>
      </c>
      <c r="O87" s="417"/>
    </row>
    <row r="88" spans="1:15" s="4" customFormat="1" ht="13.5">
      <c r="A88" s="225">
        <v>84</v>
      </c>
      <c r="B88" s="253" t="s">
        <v>293</v>
      </c>
      <c r="C88" s="248">
        <v>40277</v>
      </c>
      <c r="D88" s="352" t="s">
        <v>242</v>
      </c>
      <c r="E88" s="353">
        <v>32</v>
      </c>
      <c r="F88" s="353">
        <v>1</v>
      </c>
      <c r="G88" s="353">
        <v>17</v>
      </c>
      <c r="H88" s="354">
        <v>203</v>
      </c>
      <c r="I88" s="355">
        <v>29</v>
      </c>
      <c r="J88" s="356">
        <f>(I88/F88)</f>
        <v>29</v>
      </c>
      <c r="K88" s="357">
        <f t="shared" si="3"/>
        <v>7</v>
      </c>
      <c r="L88" s="358">
        <f>123623+70914+52321.5+36022.5+20471+19766.5+8607.5+6454.5+5997+5816+5957.5+4106+4057+1721+797+784+203</f>
        <v>367619</v>
      </c>
      <c r="M88" s="359">
        <f>12717+7769+7500+5431+3494+3439+1495+1058+966+862+757+518+635+261+113+120+29</f>
        <v>47164</v>
      </c>
      <c r="N88" s="369">
        <f>L88/M88</f>
        <v>7.794483080315495</v>
      </c>
      <c r="O88" s="417"/>
    </row>
    <row r="89" spans="1:15" s="4" customFormat="1" ht="13.5">
      <c r="A89" s="225">
        <v>85</v>
      </c>
      <c r="B89" s="213" t="s">
        <v>345</v>
      </c>
      <c r="C89" s="248">
        <v>39926</v>
      </c>
      <c r="D89" s="352" t="s">
        <v>242</v>
      </c>
      <c r="E89" s="353">
        <v>40</v>
      </c>
      <c r="F89" s="353">
        <v>1</v>
      </c>
      <c r="G89" s="353">
        <v>47</v>
      </c>
      <c r="H89" s="354">
        <v>201.5</v>
      </c>
      <c r="I89" s="355">
        <v>31</v>
      </c>
      <c r="J89" s="356">
        <f>(I89/F89)</f>
        <v>31</v>
      </c>
      <c r="K89" s="357">
        <f t="shared" si="3"/>
        <v>6.5</v>
      </c>
      <c r="L89" s="358">
        <f>35864.5+53058.5+35303.5+15734.5+12778.5+9687.5+8045+13953.5+10307+6140.75+1296+667+231+755+1970+2246+752.5+591.5+130+445+2051+750+1477+2060+1816+47+72+84+378+2301+1280+700+256+1780+92+200+187+6592.5+2601.5+325.5+274.5+250.5+1365+122.5+3435+71.5+299+201.5</f>
        <v>241027.25</v>
      </c>
      <c r="M89" s="359">
        <f>3971+5771+3969+2398+2257+2131+1634+2509+1783+912+230+126+48+181+472+311+114+91+20+78+493+183+365+462+452+9+24+28+94+494+182+115+64+445+35+80+73+1697+671+84+61+68+336+35+599+11+46+31</f>
        <v>36243</v>
      </c>
      <c r="N89" s="369">
        <f>L89/M89</f>
        <v>6.650311784344563</v>
      </c>
      <c r="O89" s="417"/>
    </row>
    <row r="90" spans="1:15" s="4" customFormat="1" ht="13.5">
      <c r="A90" s="227">
        <v>86</v>
      </c>
      <c r="B90" s="213" t="s">
        <v>181</v>
      </c>
      <c r="C90" s="248">
        <v>40186</v>
      </c>
      <c r="D90" s="352" t="s">
        <v>242</v>
      </c>
      <c r="E90" s="353">
        <v>4</v>
      </c>
      <c r="F90" s="353">
        <v>1</v>
      </c>
      <c r="G90" s="353">
        <v>32</v>
      </c>
      <c r="H90" s="354">
        <v>181</v>
      </c>
      <c r="I90" s="355">
        <v>34</v>
      </c>
      <c r="J90" s="356">
        <f>(I90/F90)</f>
        <v>34</v>
      </c>
      <c r="K90" s="357">
        <f t="shared" si="3"/>
        <v>5.323529411764706</v>
      </c>
      <c r="L90" s="358">
        <f>83443.75+1230+270+181</f>
        <v>85124.75</v>
      </c>
      <c r="M90" s="359">
        <f>11555+209+47+34</f>
        <v>11845</v>
      </c>
      <c r="N90" s="369">
        <f>L90/M90</f>
        <v>7.1865555086534405</v>
      </c>
      <c r="O90" s="417"/>
    </row>
    <row r="91" spans="1:15" s="4" customFormat="1" ht="13.5">
      <c r="A91" s="225">
        <v>87</v>
      </c>
      <c r="B91" s="213" t="s">
        <v>198</v>
      </c>
      <c r="C91" s="248">
        <v>40256</v>
      </c>
      <c r="D91" s="352" t="s">
        <v>242</v>
      </c>
      <c r="E91" s="353">
        <v>64</v>
      </c>
      <c r="F91" s="353">
        <v>1</v>
      </c>
      <c r="G91" s="353">
        <v>11</v>
      </c>
      <c r="H91" s="354">
        <v>161</v>
      </c>
      <c r="I91" s="355">
        <v>25</v>
      </c>
      <c r="J91" s="356">
        <f>(I91/F91)</f>
        <v>25</v>
      </c>
      <c r="K91" s="357">
        <f t="shared" si="3"/>
        <v>6.44</v>
      </c>
      <c r="L91" s="358">
        <f>200154.75+75068.75+5354.5+7056.5+4518+1434+3806.5+2237+701+90+161</f>
        <v>300582</v>
      </c>
      <c r="M91" s="359">
        <f>18560+6806+580+1084+703+200+609+357+115+15+25</f>
        <v>29054</v>
      </c>
      <c r="N91" s="369">
        <f>L91/M91</f>
        <v>10.34563227094376</v>
      </c>
      <c r="O91" s="417"/>
    </row>
    <row r="92" spans="1:15" s="4" customFormat="1" ht="13.5">
      <c r="A92" s="225">
        <v>88</v>
      </c>
      <c r="B92" s="213" t="s">
        <v>332</v>
      </c>
      <c r="C92" s="248">
        <v>40340</v>
      </c>
      <c r="D92" s="352" t="s">
        <v>241</v>
      </c>
      <c r="E92" s="353">
        <v>72</v>
      </c>
      <c r="F92" s="353">
        <v>1</v>
      </c>
      <c r="G92" s="353">
        <v>12</v>
      </c>
      <c r="H92" s="354">
        <v>150</v>
      </c>
      <c r="I92" s="355">
        <v>25</v>
      </c>
      <c r="J92" s="356">
        <f>I92/F92</f>
        <v>25</v>
      </c>
      <c r="K92" s="357">
        <f t="shared" si="3"/>
        <v>6</v>
      </c>
      <c r="L92" s="358">
        <v>1163960</v>
      </c>
      <c r="M92" s="359">
        <v>101917</v>
      </c>
      <c r="N92" s="369">
        <f aca="true" t="shared" si="4" ref="N92:N97">+L92/M92</f>
        <v>11.420665835925313</v>
      </c>
      <c r="O92" s="329"/>
    </row>
    <row r="93" spans="1:15" s="4" customFormat="1" ht="13.5">
      <c r="A93" s="225">
        <v>89</v>
      </c>
      <c r="B93" s="213" t="s">
        <v>40</v>
      </c>
      <c r="C93" s="248">
        <v>40067</v>
      </c>
      <c r="D93" s="352" t="s">
        <v>101</v>
      </c>
      <c r="E93" s="353">
        <v>105</v>
      </c>
      <c r="F93" s="353">
        <v>1</v>
      </c>
      <c r="G93" s="353">
        <v>40</v>
      </c>
      <c r="H93" s="354">
        <v>144</v>
      </c>
      <c r="I93" s="355">
        <v>24</v>
      </c>
      <c r="J93" s="356">
        <f>IF(H93&lt;&gt;0,I93/F93,"")</f>
        <v>24</v>
      </c>
      <c r="K93" s="357">
        <f>IF(H93&lt;&gt;0,H93/I93,"")</f>
        <v>6</v>
      </c>
      <c r="L93" s="358">
        <v>647504.5</v>
      </c>
      <c r="M93" s="359">
        <v>78793</v>
      </c>
      <c r="N93" s="369">
        <f t="shared" si="4"/>
        <v>8.217792189661518</v>
      </c>
      <c r="O93" s="417"/>
    </row>
    <row r="94" spans="1:15" s="4" customFormat="1" ht="13.5">
      <c r="A94" s="227">
        <v>90</v>
      </c>
      <c r="B94" s="213" t="s">
        <v>338</v>
      </c>
      <c r="C94" s="248">
        <v>40291</v>
      </c>
      <c r="D94" s="352" t="s">
        <v>263</v>
      </c>
      <c r="E94" s="353">
        <v>30</v>
      </c>
      <c r="F94" s="353">
        <v>1</v>
      </c>
      <c r="G94" s="353">
        <v>16</v>
      </c>
      <c r="H94" s="354">
        <v>132</v>
      </c>
      <c r="I94" s="355">
        <v>27</v>
      </c>
      <c r="J94" s="356">
        <f>I94/F94</f>
        <v>27</v>
      </c>
      <c r="K94" s="357">
        <f>+H94/I94</f>
        <v>4.888888888888889</v>
      </c>
      <c r="L94" s="358">
        <v>108311</v>
      </c>
      <c r="M94" s="359">
        <v>11842</v>
      </c>
      <c r="N94" s="369">
        <f t="shared" si="4"/>
        <v>9.146343523053538</v>
      </c>
      <c r="O94" s="417"/>
    </row>
    <row r="95" spans="1:15" s="4" customFormat="1" ht="13.5">
      <c r="A95" s="225">
        <v>91</v>
      </c>
      <c r="B95" s="213" t="s">
        <v>392</v>
      </c>
      <c r="C95" s="248">
        <v>40158</v>
      </c>
      <c r="D95" s="352" t="s">
        <v>263</v>
      </c>
      <c r="E95" s="353">
        <v>148</v>
      </c>
      <c r="F95" s="353">
        <v>1</v>
      </c>
      <c r="G95" s="353">
        <v>13</v>
      </c>
      <c r="H95" s="354">
        <v>115</v>
      </c>
      <c r="I95" s="355">
        <v>23</v>
      </c>
      <c r="J95" s="356">
        <f>I95/F95</f>
        <v>23</v>
      </c>
      <c r="K95" s="357">
        <f>+H95/I95</f>
        <v>5</v>
      </c>
      <c r="L95" s="358">
        <v>2865500</v>
      </c>
      <c r="M95" s="359">
        <v>341382</v>
      </c>
      <c r="N95" s="369">
        <f t="shared" si="4"/>
        <v>8.393822755739905</v>
      </c>
      <c r="O95" s="417">
        <v>1</v>
      </c>
    </row>
    <row r="96" spans="1:15" s="4" customFormat="1" ht="13.5">
      <c r="A96" s="227">
        <v>92</v>
      </c>
      <c r="B96" s="213" t="s">
        <v>420</v>
      </c>
      <c r="C96" s="248">
        <v>40333</v>
      </c>
      <c r="D96" s="352" t="s">
        <v>263</v>
      </c>
      <c r="E96" s="353">
        <v>90</v>
      </c>
      <c r="F96" s="353">
        <v>1</v>
      </c>
      <c r="G96" s="353">
        <v>13</v>
      </c>
      <c r="H96" s="354">
        <v>96</v>
      </c>
      <c r="I96" s="355">
        <v>17</v>
      </c>
      <c r="J96" s="356">
        <f>I96/F96</f>
        <v>17</v>
      </c>
      <c r="K96" s="357">
        <f>+H96/I96</f>
        <v>5.647058823529412</v>
      </c>
      <c r="L96" s="358">
        <v>263184</v>
      </c>
      <c r="M96" s="359">
        <v>32234</v>
      </c>
      <c r="N96" s="369">
        <f t="shared" si="4"/>
        <v>8.16479493702302</v>
      </c>
      <c r="O96" s="417">
        <v>1</v>
      </c>
    </row>
    <row r="97" spans="1:15" s="4" customFormat="1" ht="13.5">
      <c r="A97" s="225">
        <v>93</v>
      </c>
      <c r="B97" s="213" t="s">
        <v>286</v>
      </c>
      <c r="C97" s="248">
        <v>40347</v>
      </c>
      <c r="D97" s="210" t="s">
        <v>47</v>
      </c>
      <c r="E97" s="353">
        <v>45</v>
      </c>
      <c r="F97" s="353">
        <v>1</v>
      </c>
      <c r="G97" s="353">
        <v>11</v>
      </c>
      <c r="H97" s="354">
        <v>96</v>
      </c>
      <c r="I97" s="355">
        <v>16</v>
      </c>
      <c r="J97" s="356">
        <f>I97/F97</f>
        <v>16</v>
      </c>
      <c r="K97" s="357">
        <f>+H97/I97</f>
        <v>6</v>
      </c>
      <c r="L97" s="358">
        <f>163509.5+101167+33186.5+24021.5+13754+6432+0.5+3592+1727+471+4315+96</f>
        <v>352272</v>
      </c>
      <c r="M97" s="359">
        <f>25673+3885+3462+2080+937+579+241+56+689+16</f>
        <v>37618</v>
      </c>
      <c r="N97" s="369">
        <f t="shared" si="4"/>
        <v>9.36445318730395</v>
      </c>
      <c r="O97" s="417"/>
    </row>
    <row r="98" spans="1:15" s="4" customFormat="1" ht="13.5">
      <c r="A98" s="225">
        <v>94</v>
      </c>
      <c r="B98" s="213" t="s">
        <v>354</v>
      </c>
      <c r="C98" s="248">
        <v>40319</v>
      </c>
      <c r="D98" s="352" t="s">
        <v>242</v>
      </c>
      <c r="E98" s="353">
        <v>2</v>
      </c>
      <c r="F98" s="353">
        <v>1</v>
      </c>
      <c r="G98" s="353">
        <v>13</v>
      </c>
      <c r="H98" s="354">
        <v>79</v>
      </c>
      <c r="I98" s="355">
        <v>11</v>
      </c>
      <c r="J98" s="356">
        <f>(I98/F98)</f>
        <v>11</v>
      </c>
      <c r="K98" s="357">
        <f>H98/I98</f>
        <v>7.181818181818182</v>
      </c>
      <c r="L98" s="358">
        <f>4143+1077+726+775+2269+1451+561+189+370+613+538+181+79</f>
        <v>12972</v>
      </c>
      <c r="M98" s="359">
        <f>330+90+108+118+312+209+62+36+139+104+67+25+11</f>
        <v>1611</v>
      </c>
      <c r="N98" s="369">
        <f>L98/M98</f>
        <v>8.052141527001861</v>
      </c>
      <c r="O98" s="417"/>
    </row>
    <row r="99" spans="1:15" s="4" customFormat="1" ht="13.5">
      <c r="A99" s="225">
        <v>95</v>
      </c>
      <c r="B99" s="213" t="s">
        <v>252</v>
      </c>
      <c r="C99" s="248">
        <v>40326</v>
      </c>
      <c r="D99" s="352" t="s">
        <v>101</v>
      </c>
      <c r="E99" s="353">
        <v>45</v>
      </c>
      <c r="F99" s="353">
        <v>2</v>
      </c>
      <c r="G99" s="353">
        <v>14</v>
      </c>
      <c r="H99" s="354">
        <v>78</v>
      </c>
      <c r="I99" s="355">
        <v>12</v>
      </c>
      <c r="J99" s="356">
        <f>IF(H99&lt;&gt;0,I99/F99,"")</f>
        <v>6</v>
      </c>
      <c r="K99" s="357">
        <f>IF(H99&lt;&gt;0,H99/I99,"")</f>
        <v>6.5</v>
      </c>
      <c r="L99" s="358">
        <f>250092.5+H99</f>
        <v>250170.5</v>
      </c>
      <c r="M99" s="359">
        <f>30452+I99</f>
        <v>30464</v>
      </c>
      <c r="N99" s="369">
        <f>+L99/M99</f>
        <v>8.212004332983193</v>
      </c>
      <c r="O99" s="417"/>
    </row>
    <row r="100" spans="1:15" s="4" customFormat="1" ht="13.5">
      <c r="A100" s="225">
        <v>96</v>
      </c>
      <c r="B100" s="213" t="s">
        <v>355</v>
      </c>
      <c r="C100" s="248">
        <v>40312</v>
      </c>
      <c r="D100" s="352" t="s">
        <v>101</v>
      </c>
      <c r="E100" s="353">
        <v>64</v>
      </c>
      <c r="F100" s="353">
        <v>1</v>
      </c>
      <c r="G100" s="353">
        <v>16</v>
      </c>
      <c r="H100" s="354">
        <v>52</v>
      </c>
      <c r="I100" s="355">
        <v>10</v>
      </c>
      <c r="J100" s="356">
        <f>IF(H100&lt;&gt;0,I100/F100,"")</f>
        <v>10</v>
      </c>
      <c r="K100" s="357">
        <f>IF(H100&lt;&gt;0,H100/I100,"")</f>
        <v>5.2</v>
      </c>
      <c r="L100" s="358">
        <f>381254+H100</f>
        <v>381306</v>
      </c>
      <c r="M100" s="359">
        <f>43269+I100</f>
        <v>43279</v>
      </c>
      <c r="N100" s="369">
        <f>+L100/M100</f>
        <v>8.810416137156588</v>
      </c>
      <c r="O100" s="417"/>
    </row>
    <row r="101" spans="1:15" s="4" customFormat="1" ht="14.25" thickBot="1">
      <c r="A101" s="227">
        <v>97</v>
      </c>
      <c r="B101" s="370" t="s">
        <v>206</v>
      </c>
      <c r="C101" s="297">
        <v>40277</v>
      </c>
      <c r="D101" s="403" t="s">
        <v>263</v>
      </c>
      <c r="E101" s="371">
        <v>24</v>
      </c>
      <c r="F101" s="371">
        <v>2</v>
      </c>
      <c r="G101" s="371">
        <v>21</v>
      </c>
      <c r="H101" s="372">
        <v>36</v>
      </c>
      <c r="I101" s="373">
        <v>6</v>
      </c>
      <c r="J101" s="374">
        <f>I101/F101</f>
        <v>3</v>
      </c>
      <c r="K101" s="375">
        <f>+H101/I101</f>
        <v>6</v>
      </c>
      <c r="L101" s="376">
        <v>558681</v>
      </c>
      <c r="M101" s="377">
        <v>56393</v>
      </c>
      <c r="N101" s="378">
        <f>+L101/M101</f>
        <v>9.906921071764225</v>
      </c>
      <c r="O101" s="417"/>
    </row>
    <row r="102" spans="1:15" s="4" customFormat="1" ht="15">
      <c r="A102" s="445"/>
      <c r="B102" s="446"/>
      <c r="C102" s="7"/>
      <c r="D102" s="9"/>
      <c r="E102" s="42"/>
      <c r="F102" s="43"/>
      <c r="G102" s="42"/>
      <c r="H102" s="11"/>
      <c r="I102" s="12"/>
      <c r="J102" s="15"/>
      <c r="K102" s="16"/>
      <c r="L102" s="17"/>
      <c r="M102" s="18"/>
      <c r="N102" s="105"/>
      <c r="O102" s="111"/>
    </row>
    <row r="103" spans="1:15" s="4" customFormat="1" ht="13.5">
      <c r="A103" s="228"/>
      <c r="B103" s="63"/>
      <c r="C103" s="64"/>
      <c r="D103" s="65"/>
      <c r="E103" s="66"/>
      <c r="F103" s="66"/>
      <c r="G103" s="66"/>
      <c r="H103" s="67"/>
      <c r="I103" s="68"/>
      <c r="J103" s="69"/>
      <c r="K103" s="70"/>
      <c r="L103" s="71"/>
      <c r="M103" s="72"/>
      <c r="N103" s="106"/>
      <c r="O103" s="111"/>
    </row>
    <row r="104" spans="1:15" s="4" customFormat="1" ht="15">
      <c r="A104" s="228"/>
      <c r="B104" s="73"/>
      <c r="C104" s="74"/>
      <c r="D104" s="75"/>
      <c r="E104" s="76"/>
      <c r="F104" s="77"/>
      <c r="G104" s="66"/>
      <c r="H104" s="67"/>
      <c r="I104" s="68"/>
      <c r="J104" s="447" t="s">
        <v>153</v>
      </c>
      <c r="K104" s="448"/>
      <c r="L104" s="448"/>
      <c r="M104" s="448"/>
      <c r="N104" s="448"/>
      <c r="O104" s="111"/>
    </row>
    <row r="105" spans="1:15" s="4" customFormat="1" ht="15">
      <c r="A105" s="228"/>
      <c r="B105" s="73"/>
      <c r="C105" s="74"/>
      <c r="D105" s="75"/>
      <c r="E105" s="76"/>
      <c r="F105" s="66"/>
      <c r="G105" s="78"/>
      <c r="H105" s="67"/>
      <c r="I105" s="68"/>
      <c r="J105" s="448"/>
      <c r="K105" s="448"/>
      <c r="L105" s="448"/>
      <c r="M105" s="448"/>
      <c r="N105" s="448"/>
      <c r="O105" s="111"/>
    </row>
    <row r="106" spans="1:14" s="8" customFormat="1" ht="15">
      <c r="A106" s="228"/>
      <c r="B106" s="73"/>
      <c r="C106" s="74"/>
      <c r="D106" s="75"/>
      <c r="E106" s="76"/>
      <c r="F106" s="66"/>
      <c r="G106" s="78"/>
      <c r="H106" s="67"/>
      <c r="I106" s="68"/>
      <c r="J106" s="448"/>
      <c r="K106" s="448"/>
      <c r="L106" s="448"/>
      <c r="M106" s="448"/>
      <c r="N106" s="448"/>
    </row>
    <row r="107" spans="1:15" s="4" customFormat="1" ht="15">
      <c r="A107" s="228"/>
      <c r="B107" s="73"/>
      <c r="C107" s="74"/>
      <c r="D107" s="75"/>
      <c r="E107" s="76"/>
      <c r="F107" s="66"/>
      <c r="G107" s="78"/>
      <c r="H107" s="67"/>
      <c r="I107" s="68"/>
      <c r="J107" s="449"/>
      <c r="K107" s="449"/>
      <c r="L107" s="449"/>
      <c r="M107" s="449"/>
      <c r="N107" s="449"/>
      <c r="O107" s="111"/>
    </row>
    <row r="108" spans="1:15" s="4" customFormat="1" ht="15">
      <c r="A108" s="228"/>
      <c r="B108" s="73"/>
      <c r="C108" s="74"/>
      <c r="D108" s="75"/>
      <c r="E108" s="76"/>
      <c r="F108" s="66"/>
      <c r="G108" s="442" t="s">
        <v>134</v>
      </c>
      <c r="H108" s="443"/>
      <c r="I108" s="443"/>
      <c r="J108" s="443"/>
      <c r="K108" s="443"/>
      <c r="L108" s="443"/>
      <c r="M108" s="443"/>
      <c r="N108" s="443"/>
      <c r="O108" s="111"/>
    </row>
    <row r="109" spans="1:15" s="4" customFormat="1" ht="15">
      <c r="A109" s="228"/>
      <c r="B109" s="73"/>
      <c r="C109" s="74"/>
      <c r="D109" s="75"/>
      <c r="E109" s="76"/>
      <c r="F109" s="76"/>
      <c r="G109" s="443"/>
      <c r="H109" s="443"/>
      <c r="I109" s="443"/>
      <c r="J109" s="443"/>
      <c r="K109" s="443"/>
      <c r="L109" s="443"/>
      <c r="M109" s="443"/>
      <c r="N109" s="443"/>
      <c r="O109" s="111"/>
    </row>
    <row r="110" spans="1:15" s="4" customFormat="1" ht="15">
      <c r="A110" s="228"/>
      <c r="B110" s="73"/>
      <c r="C110" s="74"/>
      <c r="D110" s="75"/>
      <c r="E110" s="76"/>
      <c r="F110" s="66"/>
      <c r="G110" s="443"/>
      <c r="H110" s="443"/>
      <c r="I110" s="443"/>
      <c r="J110" s="443"/>
      <c r="K110" s="443"/>
      <c r="L110" s="443"/>
      <c r="M110" s="443"/>
      <c r="N110" s="443"/>
      <c r="O110" s="111"/>
    </row>
    <row r="111" spans="1:15" s="4" customFormat="1" ht="15">
      <c r="A111" s="228"/>
      <c r="B111" s="73"/>
      <c r="C111" s="74"/>
      <c r="D111" s="75"/>
      <c r="E111" s="76"/>
      <c r="F111" s="66"/>
      <c r="G111" s="443"/>
      <c r="H111" s="443"/>
      <c r="I111" s="443"/>
      <c r="J111" s="443"/>
      <c r="K111" s="443"/>
      <c r="L111" s="443"/>
      <c r="M111" s="443"/>
      <c r="N111" s="443"/>
      <c r="O111" s="111"/>
    </row>
    <row r="112" spans="1:15" s="4" customFormat="1" ht="15">
      <c r="A112" s="228"/>
      <c r="B112" s="73"/>
      <c r="C112" s="74"/>
      <c r="D112" s="75"/>
      <c r="E112" s="76"/>
      <c r="F112" s="66"/>
      <c r="G112" s="443"/>
      <c r="H112" s="443"/>
      <c r="I112" s="443"/>
      <c r="J112" s="443"/>
      <c r="K112" s="443"/>
      <c r="L112" s="443"/>
      <c r="M112" s="443"/>
      <c r="N112" s="443"/>
      <c r="O112" s="111"/>
    </row>
    <row r="113" spans="1:15" s="6" customFormat="1" ht="15">
      <c r="A113" s="228"/>
      <c r="B113" s="73"/>
      <c r="C113" s="74"/>
      <c r="D113" s="75"/>
      <c r="E113" s="76"/>
      <c r="F113" s="66"/>
      <c r="G113" s="443"/>
      <c r="H113" s="443"/>
      <c r="I113" s="443"/>
      <c r="J113" s="443"/>
      <c r="K113" s="443"/>
      <c r="L113" s="443"/>
      <c r="M113" s="443"/>
      <c r="N113" s="443"/>
      <c r="O113" s="112"/>
    </row>
    <row r="114" spans="1:15" s="6" customFormat="1" ht="15">
      <c r="A114" s="228"/>
      <c r="B114" s="73"/>
      <c r="C114" s="74"/>
      <c r="D114" s="75"/>
      <c r="E114" s="76"/>
      <c r="F114" s="66"/>
      <c r="G114" s="444" t="s">
        <v>102</v>
      </c>
      <c r="H114" s="443"/>
      <c r="I114" s="443"/>
      <c r="J114" s="443"/>
      <c r="K114" s="443"/>
      <c r="L114" s="443"/>
      <c r="M114" s="443"/>
      <c r="N114" s="443"/>
      <c r="O114" s="112"/>
    </row>
    <row r="115" spans="1:15" s="6" customFormat="1" ht="15">
      <c r="A115" s="228"/>
      <c r="B115" s="73"/>
      <c r="C115" s="74"/>
      <c r="D115" s="75"/>
      <c r="E115" s="76"/>
      <c r="F115" s="66"/>
      <c r="G115" s="443"/>
      <c r="H115" s="443"/>
      <c r="I115" s="443"/>
      <c r="J115" s="443"/>
      <c r="K115" s="443"/>
      <c r="L115" s="443"/>
      <c r="M115" s="443"/>
      <c r="N115" s="443"/>
      <c r="O115" s="112"/>
    </row>
    <row r="116" spans="1:15" s="6" customFormat="1" ht="15">
      <c r="A116" s="228"/>
      <c r="B116" s="73"/>
      <c r="C116" s="74"/>
      <c r="D116" s="75"/>
      <c r="E116" s="76"/>
      <c r="F116" s="66"/>
      <c r="G116" s="443"/>
      <c r="H116" s="443"/>
      <c r="I116" s="443"/>
      <c r="J116" s="443"/>
      <c r="K116" s="443"/>
      <c r="L116" s="443"/>
      <c r="M116" s="443"/>
      <c r="N116" s="443"/>
      <c r="O116" s="112"/>
    </row>
    <row r="117" spans="1:15" s="6" customFormat="1" ht="15">
      <c r="A117" s="228"/>
      <c r="B117" s="73"/>
      <c r="C117" s="74"/>
      <c r="D117" s="75"/>
      <c r="E117" s="76"/>
      <c r="F117" s="66"/>
      <c r="G117" s="443"/>
      <c r="H117" s="443"/>
      <c r="I117" s="443"/>
      <c r="J117" s="443"/>
      <c r="K117" s="443"/>
      <c r="L117" s="443"/>
      <c r="M117" s="443"/>
      <c r="N117" s="443"/>
      <c r="O117" s="112"/>
    </row>
    <row r="118" spans="1:15" s="6" customFormat="1" ht="15">
      <c r="A118" s="228"/>
      <c r="B118" s="73"/>
      <c r="C118" s="74"/>
      <c r="D118" s="75"/>
      <c r="E118" s="76"/>
      <c r="F118" s="66"/>
      <c r="G118" s="443"/>
      <c r="H118" s="443"/>
      <c r="I118" s="443"/>
      <c r="J118" s="443"/>
      <c r="K118" s="443"/>
      <c r="L118" s="443"/>
      <c r="M118" s="443"/>
      <c r="N118" s="443"/>
      <c r="O118" s="112"/>
    </row>
    <row r="119" spans="1:15" s="6" customFormat="1" ht="15">
      <c r="A119" s="228"/>
      <c r="B119" s="79"/>
      <c r="C119" s="80"/>
      <c r="D119" s="81"/>
      <c r="E119" s="45"/>
      <c r="F119" s="66"/>
      <c r="G119" s="443"/>
      <c r="H119" s="443"/>
      <c r="I119" s="443"/>
      <c r="J119" s="443"/>
      <c r="K119" s="443"/>
      <c r="L119" s="443"/>
      <c r="M119" s="443"/>
      <c r="N119" s="443"/>
      <c r="O119" s="112"/>
    </row>
    <row r="120" spans="1:15" s="6" customFormat="1" ht="15">
      <c r="A120" s="228"/>
      <c r="B120" s="79"/>
      <c r="C120" s="80"/>
      <c r="D120" s="81"/>
      <c r="E120" s="45"/>
      <c r="F120" s="66"/>
      <c r="G120" s="443"/>
      <c r="H120" s="443"/>
      <c r="I120" s="443"/>
      <c r="J120" s="443"/>
      <c r="K120" s="443"/>
      <c r="L120" s="443"/>
      <c r="M120" s="443"/>
      <c r="N120" s="443"/>
      <c r="O120" s="112"/>
    </row>
    <row r="121" spans="1:15" s="6" customFormat="1" ht="15">
      <c r="A121" s="228"/>
      <c r="B121" s="79"/>
      <c r="C121" s="80"/>
      <c r="D121" s="81"/>
      <c r="E121" s="45"/>
      <c r="F121" s="66"/>
      <c r="G121" s="45"/>
      <c r="H121" s="82"/>
      <c r="I121" s="83"/>
      <c r="J121" s="84"/>
      <c r="K121" s="85"/>
      <c r="L121" s="86"/>
      <c r="M121" s="87"/>
      <c r="N121" s="107"/>
      <c r="O121" s="112"/>
    </row>
    <row r="122" spans="1:15" s="6" customFormat="1" ht="15">
      <c r="A122" s="228"/>
      <c r="B122" s="79"/>
      <c r="C122" s="80"/>
      <c r="D122" s="81"/>
      <c r="E122" s="45"/>
      <c r="F122" s="66"/>
      <c r="G122" s="45"/>
      <c r="H122" s="82"/>
      <c r="I122" s="83"/>
      <c r="J122" s="84"/>
      <c r="K122" s="85"/>
      <c r="L122" s="86"/>
      <c r="M122" s="87"/>
      <c r="N122" s="107"/>
      <c r="O122" s="112"/>
    </row>
    <row r="123" spans="1:15" s="6" customFormat="1" ht="18">
      <c r="A123" s="228"/>
      <c r="B123" s="79"/>
      <c r="C123" s="80"/>
      <c r="D123" s="81"/>
      <c r="E123" s="45"/>
      <c r="F123" s="66"/>
      <c r="G123" s="66"/>
      <c r="H123" s="88"/>
      <c r="I123" s="89"/>
      <c r="J123" s="69"/>
      <c r="K123" s="70"/>
      <c r="L123" s="90"/>
      <c r="M123" s="72"/>
      <c r="N123" s="106"/>
      <c r="O123" s="112"/>
    </row>
    <row r="124" spans="1:15" s="6" customFormat="1" ht="18">
      <c r="A124" s="228"/>
      <c r="B124" s="79"/>
      <c r="C124" s="80"/>
      <c r="D124" s="81"/>
      <c r="E124" s="45"/>
      <c r="F124" s="66"/>
      <c r="G124" s="66"/>
      <c r="H124" s="88"/>
      <c r="I124" s="89"/>
      <c r="J124" s="69"/>
      <c r="K124" s="70"/>
      <c r="L124" s="90"/>
      <c r="M124" s="72"/>
      <c r="N124" s="106"/>
      <c r="O124" s="112"/>
    </row>
    <row r="125" spans="1:15" s="6" customFormat="1" ht="15">
      <c r="A125" s="228"/>
      <c r="B125" s="79"/>
      <c r="C125" s="80"/>
      <c r="D125" s="81"/>
      <c r="E125" s="45"/>
      <c r="F125" s="45"/>
      <c r="G125" s="45"/>
      <c r="H125" s="82"/>
      <c r="I125" s="83"/>
      <c r="J125" s="84"/>
      <c r="K125" s="85"/>
      <c r="L125" s="86"/>
      <c r="M125" s="87"/>
      <c r="N125" s="107"/>
      <c r="O125" s="112"/>
    </row>
    <row r="126" spans="1:15" s="6" customFormat="1" ht="15">
      <c r="A126" s="228"/>
      <c r="B126" s="79"/>
      <c r="C126" s="80"/>
      <c r="D126" s="81"/>
      <c r="E126" s="45"/>
      <c r="F126" s="45"/>
      <c r="G126" s="45"/>
      <c r="H126" s="82"/>
      <c r="I126" s="83"/>
      <c r="J126" s="84"/>
      <c r="K126" s="85"/>
      <c r="L126" s="86"/>
      <c r="M126" s="87"/>
      <c r="N126" s="107"/>
      <c r="O126" s="112"/>
    </row>
    <row r="127" spans="2:14" ht="18">
      <c r="B127" s="79"/>
      <c r="C127" s="80"/>
      <c r="D127" s="81"/>
      <c r="E127" s="45"/>
      <c r="F127" s="45"/>
      <c r="G127" s="45"/>
      <c r="H127" s="82"/>
      <c r="I127" s="83"/>
      <c r="J127" s="84"/>
      <c r="K127" s="85"/>
      <c r="L127" s="86"/>
      <c r="M127" s="87"/>
      <c r="N127" s="107"/>
    </row>
    <row r="128" spans="2:14" ht="18">
      <c r="B128" s="79"/>
      <c r="C128" s="80"/>
      <c r="D128" s="81"/>
      <c r="E128" s="45"/>
      <c r="F128" s="45"/>
      <c r="G128" s="45"/>
      <c r="H128" s="82"/>
      <c r="I128" s="83"/>
      <c r="J128" s="84"/>
      <c r="K128" s="85"/>
      <c r="L128" s="86"/>
      <c r="M128" s="87"/>
      <c r="N128" s="107"/>
    </row>
    <row r="129" spans="2:14" ht="18">
      <c r="B129" s="79"/>
      <c r="C129" s="80"/>
      <c r="D129" s="81"/>
      <c r="E129" s="45"/>
      <c r="F129" s="45"/>
      <c r="G129" s="45"/>
      <c r="H129" s="82"/>
      <c r="I129" s="83"/>
      <c r="J129" s="84"/>
      <c r="K129" s="85"/>
      <c r="L129" s="86"/>
      <c r="M129" s="87"/>
      <c r="N129" s="107"/>
    </row>
    <row r="130" spans="2:14" ht="18">
      <c r="B130" s="79"/>
      <c r="C130" s="80"/>
      <c r="D130" s="81"/>
      <c r="E130" s="45"/>
      <c r="F130" s="45"/>
      <c r="G130" s="45"/>
      <c r="H130" s="82"/>
      <c r="I130" s="83"/>
      <c r="J130" s="84"/>
      <c r="K130" s="85"/>
      <c r="L130" s="86"/>
      <c r="M130" s="87"/>
      <c r="N130" s="107"/>
    </row>
    <row r="131" spans="2:14" ht="18">
      <c r="B131" s="79"/>
      <c r="C131" s="80"/>
      <c r="D131" s="81"/>
      <c r="E131" s="45"/>
      <c r="F131" s="45"/>
      <c r="G131" s="45"/>
      <c r="H131" s="82"/>
      <c r="I131" s="83"/>
      <c r="J131" s="84"/>
      <c r="K131" s="85"/>
      <c r="L131" s="86"/>
      <c r="M131" s="87"/>
      <c r="N131" s="107"/>
    </row>
    <row r="132" spans="2:14" ht="18">
      <c r="B132" s="79"/>
      <c r="C132" s="80"/>
      <c r="D132" s="81"/>
      <c r="E132" s="45"/>
      <c r="F132" s="45"/>
      <c r="G132" s="45"/>
      <c r="H132" s="82"/>
      <c r="I132" s="83"/>
      <c r="J132" s="84"/>
      <c r="K132" s="85"/>
      <c r="L132" s="86"/>
      <c r="M132" s="87"/>
      <c r="N132" s="107"/>
    </row>
    <row r="133" spans="6:14" ht="22.5">
      <c r="F133" s="45"/>
      <c r="G133" s="45"/>
      <c r="H133" s="82"/>
      <c r="I133" s="83"/>
      <c r="J133" s="84"/>
      <c r="K133" s="85"/>
      <c r="L133" s="86"/>
      <c r="M133" s="87"/>
      <c r="N133" s="107"/>
    </row>
    <row r="134" spans="6:14" ht="22.5">
      <c r="F134" s="45"/>
      <c r="G134" s="45"/>
      <c r="H134" s="82"/>
      <c r="I134" s="83"/>
      <c r="J134" s="84"/>
      <c r="K134" s="85"/>
      <c r="L134" s="86"/>
      <c r="M134" s="87"/>
      <c r="N134" s="107"/>
    </row>
    <row r="135" spans="6:14" ht="22.5">
      <c r="F135" s="45"/>
      <c r="G135" s="45"/>
      <c r="H135" s="82"/>
      <c r="I135" s="83"/>
      <c r="J135" s="84"/>
      <c r="K135" s="85"/>
      <c r="L135" s="86"/>
      <c r="M135" s="87"/>
      <c r="N135" s="107"/>
    </row>
    <row r="136" spans="6:14" ht="22.5">
      <c r="F136" s="45"/>
      <c r="G136" s="45"/>
      <c r="H136" s="82"/>
      <c r="I136" s="83"/>
      <c r="J136" s="84"/>
      <c r="K136" s="85"/>
      <c r="L136" s="86"/>
      <c r="M136" s="87"/>
      <c r="N136" s="107"/>
    </row>
    <row r="137" spans="6:14" ht="22.5">
      <c r="F137" s="45"/>
      <c r="G137" s="45"/>
      <c r="H137" s="82"/>
      <c r="I137" s="83"/>
      <c r="J137" s="84"/>
      <c r="K137" s="85"/>
      <c r="L137" s="86"/>
      <c r="M137" s="87"/>
      <c r="N137" s="107"/>
    </row>
    <row r="138" spans="6:14" ht="22.5">
      <c r="F138" s="45"/>
      <c r="G138" s="45"/>
      <c r="H138" s="82"/>
      <c r="I138" s="83"/>
      <c r="J138" s="84"/>
      <c r="K138" s="85"/>
      <c r="L138" s="86"/>
      <c r="M138" s="87"/>
      <c r="N138" s="107"/>
    </row>
  </sheetData>
  <sheetProtection insertRows="0" deleteRows="0" sort="0"/>
  <mergeCells count="14">
    <mergeCell ref="G108:N113"/>
    <mergeCell ref="G114:N120"/>
    <mergeCell ref="A102:B102"/>
    <mergeCell ref="J104:N106"/>
    <mergeCell ref="J107:N107"/>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121:N124 G102:K102 P93:P95 P12:P15 P18:P32 P61:P63 P11 P16 P48:P50 P69:P76 P65:P68 P33:P37 P77:P81 P40:P45 P46:P47 P7:P8 P6 P38:P39 N11:N20 P9:P10 J39 L7:M8 J11:J20 K11:K20 K7:K10 N7:N10 K39 P64 J65:K99" formula="1"/>
    <ignoredError sqref="O102:O120 L40:N41 L100:N101" unlockedFormula="1"/>
    <ignoredError sqref="G103:N120 L102:N102 L11:M20 L9:M10 L39:N39 L65:N99 N21:N36 J21:J38 K21:K37 K38 J44:K64 L21:M36 L37:M37 N37 L38:N38 L44:N64 L42:N43" formula="1" unlockedFormula="1"/>
    <ignoredError sqref="N21:N36 J21:J38 K21:K37 K38 J44:K64" numberStoredAsText="1" formula="1"/>
    <ignoredError sqref="L21:M36 L37:M37 N37 L38:N38 L44:N64" numberStoredAsText="1" formula="1" unlockedFormula="1"/>
    <ignoredError sqref="E21:I38 E42:I64 J42:K43" numberStoredAsText="1"/>
    <ignoredError sqref="L42:N43" numberStoredAsText="1" unlockedFormula="1"/>
  </ignoredErrors>
  <drawing r:id="rId1"/>
</worksheet>
</file>

<file path=xl/worksheets/sheet2.xml><?xml version="1.0" encoding="utf-8"?>
<worksheet xmlns="http://schemas.openxmlformats.org/spreadsheetml/2006/main" xmlns:r="http://schemas.openxmlformats.org/officeDocument/2006/relationships">
  <dimension ref="A1:O170"/>
  <sheetViews>
    <sheetView zoomScale="110" zoomScaleNormal="110" zoomScalePageLayoutView="0" workbookViewId="0" topLeftCell="B1">
      <selection activeCell="B3" sqref="B3:B4"/>
    </sheetView>
  </sheetViews>
  <sheetFormatPr defaultColWidth="17.421875" defaultRowHeight="12.75"/>
  <cols>
    <col min="1" max="1" width="5.140625" style="142" customWidth="1"/>
    <col min="2" max="2" width="66.421875" style="130" bestFit="1" customWidth="1"/>
    <col min="3" max="3" width="11.00390625" style="131" customWidth="1"/>
    <col min="4" max="4" width="26.00390625" style="131" bestFit="1" customWidth="1"/>
    <col min="5" max="5" width="6.28125" style="132" bestFit="1" customWidth="1"/>
    <col min="6" max="6" width="8.00390625" style="132" customWidth="1"/>
    <col min="7" max="7" width="14.00390625" style="82" bestFit="1" customWidth="1"/>
    <col min="8" max="8" width="10.57421875" style="133" bestFit="1" customWidth="1"/>
    <col min="9" max="9" width="6.7109375" style="134" customWidth="1"/>
    <col min="10" max="10" width="2.421875" style="338"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54" t="s">
        <v>427</v>
      </c>
      <c r="B1" s="455"/>
      <c r="C1" s="455"/>
      <c r="D1" s="455"/>
      <c r="E1" s="455"/>
      <c r="F1" s="455"/>
      <c r="G1" s="455"/>
      <c r="H1" s="455"/>
      <c r="I1" s="455"/>
      <c r="J1" s="335"/>
      <c r="K1" s="122"/>
      <c r="L1" s="123"/>
      <c r="M1" s="122"/>
    </row>
    <row r="2" spans="1:15" s="121" customFormat="1" ht="3.75" customHeight="1" thickBot="1">
      <c r="A2" s="141"/>
      <c r="B2" s="143"/>
      <c r="C2" s="144"/>
      <c r="D2" s="144"/>
      <c r="E2" s="143"/>
      <c r="F2" s="143"/>
      <c r="G2" s="145"/>
      <c r="H2" s="146"/>
      <c r="I2" s="147"/>
      <c r="J2" s="336"/>
      <c r="K2" s="125"/>
      <c r="L2" s="126"/>
      <c r="M2" s="125"/>
      <c r="N2" s="127"/>
      <c r="O2" s="127"/>
    </row>
    <row r="3" spans="1:13" s="243" customFormat="1" ht="12">
      <c r="A3" s="239"/>
      <c r="B3" s="456" t="s">
        <v>104</v>
      </c>
      <c r="C3" s="458" t="s">
        <v>136</v>
      </c>
      <c r="D3" s="458" t="s">
        <v>140</v>
      </c>
      <c r="E3" s="460" t="s">
        <v>142</v>
      </c>
      <c r="F3" s="460" t="s">
        <v>137</v>
      </c>
      <c r="G3" s="460" t="s">
        <v>144</v>
      </c>
      <c r="H3" s="460"/>
      <c r="I3" s="462" t="s">
        <v>138</v>
      </c>
      <c r="J3" s="245"/>
      <c r="K3" s="240"/>
      <c r="L3" s="241"/>
      <c r="M3" s="242"/>
    </row>
    <row r="4" spans="1:13" s="243" customFormat="1" ht="12.75" thickBot="1">
      <c r="A4" s="244"/>
      <c r="B4" s="457"/>
      <c r="C4" s="459"/>
      <c r="D4" s="459"/>
      <c r="E4" s="461"/>
      <c r="F4" s="461"/>
      <c r="G4" s="327" t="s">
        <v>107</v>
      </c>
      <c r="H4" s="328" t="s">
        <v>103</v>
      </c>
      <c r="I4" s="463"/>
      <c r="J4" s="245"/>
      <c r="K4" s="240"/>
      <c r="L4" s="241"/>
      <c r="M4" s="242"/>
    </row>
    <row r="5" spans="1:11" ht="12.75">
      <c r="A5" s="209">
        <v>1</v>
      </c>
      <c r="B5" s="294" t="s">
        <v>310</v>
      </c>
      <c r="C5" s="295">
        <v>40221</v>
      </c>
      <c r="D5" s="399" t="s">
        <v>259</v>
      </c>
      <c r="E5" s="361">
        <v>378</v>
      </c>
      <c r="F5" s="361">
        <v>19</v>
      </c>
      <c r="G5" s="250">
        <f>15262368+6874188.5+2847763.25-223+1769171+1008022.25+602324.75+244767.5+35902+50854+1772+740+466+1889+1178+72+1176+376+620+1922+3597</f>
        <v>28708946.25</v>
      </c>
      <c r="H5" s="251">
        <f>1752204+788243+333771+209388+119359+72788+39635-10+7563+234+104+69+615+148+12+346+52+124+384+600</f>
        <v>3325629</v>
      </c>
      <c r="I5" s="292">
        <f>+G5/H5</f>
        <v>8.632636487714054</v>
      </c>
      <c r="J5" s="329">
        <v>1</v>
      </c>
      <c r="K5" s="208"/>
    </row>
    <row r="6" spans="1:11" ht="12.75">
      <c r="A6" s="209">
        <v>2</v>
      </c>
      <c r="B6" s="213" t="s">
        <v>412</v>
      </c>
      <c r="C6" s="248">
        <v>40235</v>
      </c>
      <c r="D6" s="352" t="s">
        <v>240</v>
      </c>
      <c r="E6" s="353">
        <v>256</v>
      </c>
      <c r="F6" s="353">
        <v>27</v>
      </c>
      <c r="G6" s="419">
        <v>21693531</v>
      </c>
      <c r="H6" s="420">
        <v>2452700</v>
      </c>
      <c r="I6" s="421">
        <f>+G6/H6</f>
        <v>8.84475516777429</v>
      </c>
      <c r="J6" s="329">
        <v>1</v>
      </c>
      <c r="K6" s="208"/>
    </row>
    <row r="7" spans="1:11" ht="12.75">
      <c r="A7" s="238">
        <v>3</v>
      </c>
      <c r="B7" s="351" t="s">
        <v>393</v>
      </c>
      <c r="C7" s="348">
        <v>40179</v>
      </c>
      <c r="D7" s="413" t="s">
        <v>240</v>
      </c>
      <c r="E7" s="388">
        <v>370</v>
      </c>
      <c r="F7" s="388">
        <v>34</v>
      </c>
      <c r="G7" s="425">
        <v>20856555</v>
      </c>
      <c r="H7" s="426">
        <v>2323061</v>
      </c>
      <c r="I7" s="427">
        <f>+G7/H7</f>
        <v>8.97804878993707</v>
      </c>
      <c r="J7" s="414">
        <v>1</v>
      </c>
      <c r="K7" s="208"/>
    </row>
    <row r="8" spans="1:11" ht="12.75">
      <c r="A8" s="209">
        <v>4</v>
      </c>
      <c r="B8" s="379" t="s">
        <v>411</v>
      </c>
      <c r="C8" s="347">
        <v>40263</v>
      </c>
      <c r="D8" s="412" t="s">
        <v>101</v>
      </c>
      <c r="E8" s="380">
        <v>286</v>
      </c>
      <c r="F8" s="380">
        <v>22</v>
      </c>
      <c r="G8" s="422">
        <v>9496078</v>
      </c>
      <c r="H8" s="423">
        <v>1141104</v>
      </c>
      <c r="I8" s="424">
        <f>+G8/H8</f>
        <v>8.321833943268974</v>
      </c>
      <c r="J8" s="329">
        <v>1</v>
      </c>
      <c r="K8" s="208"/>
    </row>
    <row r="9" spans="1:11" ht="12.75">
      <c r="A9" s="209">
        <v>5</v>
      </c>
      <c r="B9" s="213" t="s">
        <v>284</v>
      </c>
      <c r="C9" s="248">
        <v>40359</v>
      </c>
      <c r="D9" s="352" t="s">
        <v>242</v>
      </c>
      <c r="E9" s="353">
        <v>221</v>
      </c>
      <c r="F9" s="353">
        <v>9</v>
      </c>
      <c r="G9" s="419">
        <f>8339911.75+126742+36059+17874</f>
        <v>8520586.75</v>
      </c>
      <c r="H9" s="420">
        <f>985659+23920+5695+2809</f>
        <v>1018083</v>
      </c>
      <c r="I9" s="421">
        <f>G9/H9</f>
        <v>8.369245680362013</v>
      </c>
      <c r="J9" s="329"/>
      <c r="K9" s="208"/>
    </row>
    <row r="10" spans="1:11" ht="12.75">
      <c r="A10" s="209">
        <v>6</v>
      </c>
      <c r="B10" s="213" t="s">
        <v>362</v>
      </c>
      <c r="C10" s="248">
        <v>40389</v>
      </c>
      <c r="D10" s="352" t="s">
        <v>241</v>
      </c>
      <c r="E10" s="353">
        <v>139</v>
      </c>
      <c r="F10" s="353">
        <v>5</v>
      </c>
      <c r="G10" s="419">
        <v>8353323</v>
      </c>
      <c r="H10" s="420">
        <v>816553</v>
      </c>
      <c r="I10" s="421">
        <f>+G10/H10</f>
        <v>10.229982622071072</v>
      </c>
      <c r="J10" s="329"/>
      <c r="K10" s="208"/>
    </row>
    <row r="11" spans="1:11" ht="12.75">
      <c r="A11" s="209">
        <v>7</v>
      </c>
      <c r="B11" s="213" t="s">
        <v>404</v>
      </c>
      <c r="C11" s="248">
        <v>40235</v>
      </c>
      <c r="D11" s="352" t="s">
        <v>242</v>
      </c>
      <c r="E11" s="353">
        <v>227</v>
      </c>
      <c r="F11" s="353">
        <v>25</v>
      </c>
      <c r="G11" s="419">
        <f>8240207.5+202+255+7892</f>
        <v>8248556.5</v>
      </c>
      <c r="H11" s="420">
        <f>1023896+40+51+1967</f>
        <v>1025954</v>
      </c>
      <c r="I11" s="421">
        <f>G11/H11</f>
        <v>8.03988921530595</v>
      </c>
      <c r="J11" s="329">
        <v>1</v>
      </c>
      <c r="K11" s="208"/>
    </row>
    <row r="12" spans="1:11" ht="12.75">
      <c r="A12" s="209">
        <v>8</v>
      </c>
      <c r="B12" s="213" t="s">
        <v>378</v>
      </c>
      <c r="C12" s="248">
        <v>40200</v>
      </c>
      <c r="D12" s="352" t="s">
        <v>259</v>
      </c>
      <c r="E12" s="353">
        <v>203</v>
      </c>
      <c r="F12" s="353">
        <v>19</v>
      </c>
      <c r="G12" s="419">
        <f>3375939.75+2025612.25+1005793.75+228158+129822-591+58554+4486+0.5+8491+759.5+1035+759+201+415+646+449+105+90+2225+753</f>
        <v>6843703.75</v>
      </c>
      <c r="H12" s="420">
        <f>390291+234725-168+117153-100+30011-18+18391+466+8404+725+1222+127+171+129+36+46+64+73+21+18+297+138</f>
        <v>802222</v>
      </c>
      <c r="I12" s="293">
        <f aca="true" t="shared" si="0" ref="I12:I22">+G12/H12</f>
        <v>8.530935015494464</v>
      </c>
      <c r="J12" s="329">
        <v>1</v>
      </c>
      <c r="K12" s="208"/>
    </row>
    <row r="13" spans="1:11" ht="12.75">
      <c r="A13" s="209">
        <v>9</v>
      </c>
      <c r="B13" s="214" t="s">
        <v>318</v>
      </c>
      <c r="C13" s="237">
        <v>40200</v>
      </c>
      <c r="D13" s="210" t="s">
        <v>240</v>
      </c>
      <c r="E13" s="397">
        <v>227</v>
      </c>
      <c r="F13" s="397">
        <v>22</v>
      </c>
      <c r="G13" s="404">
        <v>6716187</v>
      </c>
      <c r="H13" s="405">
        <v>750913</v>
      </c>
      <c r="I13" s="400">
        <f t="shared" si="0"/>
        <v>8.94402813641527</v>
      </c>
      <c r="J13" s="329">
        <v>1</v>
      </c>
      <c r="K13" s="208"/>
    </row>
    <row r="14" spans="1:11" ht="12.75">
      <c r="A14" s="209">
        <v>10</v>
      </c>
      <c r="B14" s="213" t="s">
        <v>358</v>
      </c>
      <c r="C14" s="248">
        <v>40214</v>
      </c>
      <c r="D14" s="352" t="s">
        <v>263</v>
      </c>
      <c r="E14" s="353">
        <v>144</v>
      </c>
      <c r="F14" s="353">
        <v>29</v>
      </c>
      <c r="G14" s="419">
        <v>6100286</v>
      </c>
      <c r="H14" s="420">
        <v>665744</v>
      </c>
      <c r="I14" s="421">
        <f t="shared" si="0"/>
        <v>9.163110745271455</v>
      </c>
      <c r="J14" s="329">
        <v>1</v>
      </c>
      <c r="K14" s="208"/>
    </row>
    <row r="15" spans="1:11" ht="12.75">
      <c r="A15" s="209">
        <v>11</v>
      </c>
      <c r="B15" s="213" t="s">
        <v>250</v>
      </c>
      <c r="C15" s="248">
        <v>40326</v>
      </c>
      <c r="D15" s="352" t="s">
        <v>240</v>
      </c>
      <c r="E15" s="353">
        <v>212</v>
      </c>
      <c r="F15" s="353">
        <v>14</v>
      </c>
      <c r="G15" s="419">
        <v>6002813</v>
      </c>
      <c r="H15" s="420">
        <v>572152</v>
      </c>
      <c r="I15" s="421">
        <f t="shared" si="0"/>
        <v>10.491640333337994</v>
      </c>
      <c r="J15" s="329"/>
      <c r="K15" s="208"/>
    </row>
    <row r="16" spans="1:11" ht="12.75">
      <c r="A16" s="209">
        <v>12</v>
      </c>
      <c r="B16" s="215" t="s">
        <v>319</v>
      </c>
      <c r="C16" s="237">
        <v>40256</v>
      </c>
      <c r="D16" s="210" t="s">
        <v>243</v>
      </c>
      <c r="E16" s="397">
        <v>260</v>
      </c>
      <c r="F16" s="397">
        <v>13</v>
      </c>
      <c r="G16" s="404">
        <v>5302858.71</v>
      </c>
      <c r="H16" s="405">
        <v>857603</v>
      </c>
      <c r="I16" s="400">
        <f t="shared" si="0"/>
        <v>6.18334906710914</v>
      </c>
      <c r="J16" s="329">
        <v>1</v>
      </c>
      <c r="K16" s="208"/>
    </row>
    <row r="17" spans="1:11" ht="12.75">
      <c r="A17" s="209">
        <v>13</v>
      </c>
      <c r="B17" s="213" t="s">
        <v>424</v>
      </c>
      <c r="C17" s="248">
        <v>40319</v>
      </c>
      <c r="D17" s="352" t="s">
        <v>240</v>
      </c>
      <c r="E17" s="353">
        <v>178</v>
      </c>
      <c r="F17" s="353">
        <v>15</v>
      </c>
      <c r="G17" s="419">
        <v>4933678</v>
      </c>
      <c r="H17" s="420">
        <v>547182</v>
      </c>
      <c r="I17" s="421">
        <f t="shared" si="0"/>
        <v>9.016521011290576</v>
      </c>
      <c r="J17" s="329"/>
      <c r="K17" s="208"/>
    </row>
    <row r="18" spans="1:11" ht="12.75">
      <c r="A18" s="209">
        <v>14</v>
      </c>
      <c r="B18" s="213" t="s">
        <v>267</v>
      </c>
      <c r="C18" s="248">
        <v>40270</v>
      </c>
      <c r="D18" s="352" t="s">
        <v>241</v>
      </c>
      <c r="E18" s="353">
        <v>199</v>
      </c>
      <c r="F18" s="353">
        <v>15</v>
      </c>
      <c r="G18" s="419">
        <v>4809915</v>
      </c>
      <c r="H18" s="420">
        <v>476300</v>
      </c>
      <c r="I18" s="421">
        <f t="shared" si="0"/>
        <v>10.098498845265588</v>
      </c>
      <c r="J18" s="414"/>
      <c r="K18" s="208"/>
    </row>
    <row r="19" spans="1:11" ht="12.75">
      <c r="A19" s="209">
        <v>15</v>
      </c>
      <c r="B19" s="213" t="s">
        <v>373</v>
      </c>
      <c r="C19" s="248">
        <v>40382</v>
      </c>
      <c r="D19" s="352" t="s">
        <v>240</v>
      </c>
      <c r="E19" s="353">
        <v>142</v>
      </c>
      <c r="F19" s="353">
        <v>6</v>
      </c>
      <c r="G19" s="419">
        <v>4756481</v>
      </c>
      <c r="H19" s="420">
        <v>415275</v>
      </c>
      <c r="I19" s="421">
        <f t="shared" si="0"/>
        <v>11.45381012582024</v>
      </c>
      <c r="J19" s="329"/>
      <c r="K19" s="208"/>
    </row>
    <row r="20" spans="1:11" ht="10.5" customHeight="1">
      <c r="A20" s="209">
        <v>16</v>
      </c>
      <c r="B20" s="253" t="s">
        <v>235</v>
      </c>
      <c r="C20" s="248">
        <v>40312</v>
      </c>
      <c r="D20" s="352" t="s">
        <v>240</v>
      </c>
      <c r="E20" s="353">
        <v>168</v>
      </c>
      <c r="F20" s="353">
        <v>13</v>
      </c>
      <c r="G20" s="246">
        <v>4578821</v>
      </c>
      <c r="H20" s="247">
        <v>491609</v>
      </c>
      <c r="I20" s="293">
        <f t="shared" si="0"/>
        <v>9.313948686862934</v>
      </c>
      <c r="J20" s="329"/>
      <c r="K20" s="208"/>
    </row>
    <row r="21" spans="1:11" ht="13.5">
      <c r="A21" s="209">
        <v>17</v>
      </c>
      <c r="B21" s="253" t="s">
        <v>189</v>
      </c>
      <c r="C21" s="248">
        <v>40242</v>
      </c>
      <c r="D21" s="352" t="s">
        <v>240</v>
      </c>
      <c r="E21" s="353">
        <v>75</v>
      </c>
      <c r="F21" s="353">
        <v>22</v>
      </c>
      <c r="G21" s="246">
        <v>3754099</v>
      </c>
      <c r="H21" s="247">
        <v>335819</v>
      </c>
      <c r="I21" s="293">
        <f t="shared" si="0"/>
        <v>11.178935676659153</v>
      </c>
      <c r="J21" s="342"/>
      <c r="K21" s="208"/>
    </row>
    <row r="22" spans="1:11" ht="12.75">
      <c r="A22" s="209">
        <v>18</v>
      </c>
      <c r="B22" s="213" t="s">
        <v>295</v>
      </c>
      <c r="C22" s="248">
        <v>40361</v>
      </c>
      <c r="D22" s="352" t="s">
        <v>240</v>
      </c>
      <c r="E22" s="353">
        <v>161</v>
      </c>
      <c r="F22" s="353">
        <v>9</v>
      </c>
      <c r="G22" s="419">
        <v>3517816</v>
      </c>
      <c r="H22" s="420">
        <v>313759</v>
      </c>
      <c r="I22" s="421">
        <f t="shared" si="0"/>
        <v>11.211840935240104</v>
      </c>
      <c r="J22" s="329"/>
      <c r="K22" s="208"/>
    </row>
    <row r="23" spans="1:11" ht="13.5">
      <c r="A23" s="209">
        <v>19</v>
      </c>
      <c r="B23" s="253" t="s">
        <v>359</v>
      </c>
      <c r="C23" s="248">
        <v>40242</v>
      </c>
      <c r="D23" s="352" t="s">
        <v>101</v>
      </c>
      <c r="E23" s="353">
        <v>125</v>
      </c>
      <c r="F23" s="353">
        <v>16</v>
      </c>
      <c r="G23" s="246">
        <v>2903055</v>
      </c>
      <c r="H23" s="247">
        <v>459401</v>
      </c>
      <c r="I23" s="293">
        <f>IF(G23&lt;&gt;0,G23/H23,"")</f>
        <v>6.319217851071286</v>
      </c>
      <c r="J23" s="342">
        <v>1</v>
      </c>
      <c r="K23" s="208"/>
    </row>
    <row r="24" spans="1:11" ht="12.75">
      <c r="A24" s="209">
        <v>20</v>
      </c>
      <c r="B24" s="213" t="s">
        <v>26</v>
      </c>
      <c r="C24" s="248">
        <v>40193</v>
      </c>
      <c r="D24" s="352" t="s">
        <v>241</v>
      </c>
      <c r="E24" s="353">
        <v>83</v>
      </c>
      <c r="F24" s="353">
        <v>18</v>
      </c>
      <c r="G24" s="419">
        <v>2828949</v>
      </c>
      <c r="H24" s="420">
        <v>269864</v>
      </c>
      <c r="I24" s="293">
        <f>+G24/H24</f>
        <v>10.482869148904634</v>
      </c>
      <c r="J24" s="329"/>
      <c r="K24" s="208"/>
    </row>
    <row r="25" spans="1:11" ht="12.75">
      <c r="A25" s="209">
        <v>21</v>
      </c>
      <c r="B25" s="253" t="s">
        <v>228</v>
      </c>
      <c r="C25" s="248">
        <v>40305</v>
      </c>
      <c r="D25" s="352" t="s">
        <v>240</v>
      </c>
      <c r="E25" s="353">
        <v>126</v>
      </c>
      <c r="F25" s="353">
        <v>14</v>
      </c>
      <c r="G25" s="246">
        <v>2743085</v>
      </c>
      <c r="H25" s="247">
        <v>294602</v>
      </c>
      <c r="I25" s="293">
        <f>+G25/H25</f>
        <v>9.311155389304894</v>
      </c>
      <c r="J25" s="329"/>
      <c r="K25" s="208"/>
    </row>
    <row r="26" spans="1:11" ht="12.75">
      <c r="A26" s="209">
        <v>22</v>
      </c>
      <c r="B26" s="213" t="s">
        <v>328</v>
      </c>
      <c r="C26" s="248">
        <v>40375</v>
      </c>
      <c r="D26" s="352" t="s">
        <v>240</v>
      </c>
      <c r="E26" s="353">
        <v>130</v>
      </c>
      <c r="F26" s="353">
        <v>7</v>
      </c>
      <c r="G26" s="419">
        <v>2707038</v>
      </c>
      <c r="H26" s="420">
        <v>302027</v>
      </c>
      <c r="I26" s="421">
        <f>+G26/H26</f>
        <v>8.962900667821089</v>
      </c>
      <c r="J26" s="329"/>
      <c r="K26" s="208"/>
    </row>
    <row r="27" spans="1:11" ht="12.75">
      <c r="A27" s="209">
        <v>23</v>
      </c>
      <c r="B27" s="214" t="s">
        <v>190</v>
      </c>
      <c r="C27" s="237">
        <v>40249</v>
      </c>
      <c r="D27" s="210" t="s">
        <v>240</v>
      </c>
      <c r="E27" s="397">
        <v>97</v>
      </c>
      <c r="F27" s="397">
        <v>14</v>
      </c>
      <c r="G27" s="404">
        <v>2262684</v>
      </c>
      <c r="H27" s="405">
        <v>227930</v>
      </c>
      <c r="I27" s="400">
        <f>+G27/H27</f>
        <v>9.927100425569254</v>
      </c>
      <c r="J27" s="329"/>
      <c r="K27" s="208"/>
    </row>
    <row r="28" spans="1:11" ht="12.75">
      <c r="A28" s="209">
        <v>24</v>
      </c>
      <c r="B28" s="213" t="s">
        <v>296</v>
      </c>
      <c r="C28" s="248">
        <v>40368</v>
      </c>
      <c r="D28" s="352" t="s">
        <v>242</v>
      </c>
      <c r="E28" s="353">
        <v>126</v>
      </c>
      <c r="F28" s="353">
        <v>8</v>
      </c>
      <c r="G28" s="419">
        <f>2106797.5+50230.5+32558.5+15249.5</f>
        <v>2204836</v>
      </c>
      <c r="H28" s="420">
        <f>220679+7944+5486+2451</f>
        <v>236560</v>
      </c>
      <c r="I28" s="421">
        <f>G28/H28</f>
        <v>9.320409198512005</v>
      </c>
      <c r="J28" s="329"/>
      <c r="K28" s="208"/>
    </row>
    <row r="29" spans="1:11" ht="13.5">
      <c r="A29" s="209">
        <v>25</v>
      </c>
      <c r="B29" s="253" t="s">
        <v>264</v>
      </c>
      <c r="C29" s="248">
        <v>40291</v>
      </c>
      <c r="D29" s="352" t="s">
        <v>240</v>
      </c>
      <c r="E29" s="353">
        <v>134</v>
      </c>
      <c r="F29" s="353">
        <v>14</v>
      </c>
      <c r="G29" s="246">
        <v>2202592</v>
      </c>
      <c r="H29" s="247">
        <v>196835</v>
      </c>
      <c r="I29" s="293">
        <f>+G29/H29</f>
        <v>11.190042421317347</v>
      </c>
      <c r="J29" s="342"/>
      <c r="K29" s="208"/>
    </row>
    <row r="30" spans="1:11" ht="12.75">
      <c r="A30" s="209">
        <v>26</v>
      </c>
      <c r="B30" s="213" t="s">
        <v>344</v>
      </c>
      <c r="C30" s="248">
        <v>40396</v>
      </c>
      <c r="D30" s="352" t="s">
        <v>241</v>
      </c>
      <c r="E30" s="353">
        <v>132</v>
      </c>
      <c r="F30" s="353">
        <v>4</v>
      </c>
      <c r="G30" s="419">
        <f>1840817+260906</f>
        <v>2101723</v>
      </c>
      <c r="H30" s="420">
        <f>186800+27493</f>
        <v>214293</v>
      </c>
      <c r="I30" s="421">
        <f>+G30/H30</f>
        <v>9.807707204621709</v>
      </c>
      <c r="J30" s="329"/>
      <c r="K30" s="208"/>
    </row>
    <row r="31" spans="1:11" ht="12.75">
      <c r="A31" s="209">
        <v>27</v>
      </c>
      <c r="B31" s="214" t="s">
        <v>269</v>
      </c>
      <c r="C31" s="237">
        <v>40200</v>
      </c>
      <c r="D31" s="210" t="s">
        <v>240</v>
      </c>
      <c r="E31" s="397">
        <v>95</v>
      </c>
      <c r="F31" s="397">
        <v>21</v>
      </c>
      <c r="G31" s="404">
        <v>1949562</v>
      </c>
      <c r="H31" s="405">
        <v>218653</v>
      </c>
      <c r="I31" s="400">
        <f>+G31/H31</f>
        <v>8.91623714287021</v>
      </c>
      <c r="J31" s="329"/>
      <c r="K31" s="208"/>
    </row>
    <row r="32" spans="1:11" ht="12.75">
      <c r="A32" s="209">
        <v>28</v>
      </c>
      <c r="B32" s="213" t="s">
        <v>118</v>
      </c>
      <c r="C32" s="248">
        <v>40207</v>
      </c>
      <c r="D32" s="352" t="s">
        <v>101</v>
      </c>
      <c r="E32" s="353">
        <v>47</v>
      </c>
      <c r="F32" s="353">
        <v>26</v>
      </c>
      <c r="G32" s="419">
        <v>1872821.5</v>
      </c>
      <c r="H32" s="420">
        <v>160653</v>
      </c>
      <c r="I32" s="293">
        <f>IF(G32&lt;&gt;0,G32/H32,"")</f>
        <v>11.657556970613683</v>
      </c>
      <c r="J32" s="329"/>
      <c r="K32" s="208"/>
    </row>
    <row r="33" spans="1:11" ht="12.75">
      <c r="A33" s="209">
        <v>29</v>
      </c>
      <c r="B33" s="213" t="s">
        <v>386</v>
      </c>
      <c r="C33" s="248">
        <v>40403</v>
      </c>
      <c r="D33" s="352" t="s">
        <v>240</v>
      </c>
      <c r="E33" s="353">
        <v>114</v>
      </c>
      <c r="F33" s="353">
        <v>3</v>
      </c>
      <c r="G33" s="419">
        <v>1702706</v>
      </c>
      <c r="H33" s="420">
        <v>174719</v>
      </c>
      <c r="I33" s="421">
        <f>+G33/H33</f>
        <v>9.745396894441933</v>
      </c>
      <c r="J33" s="329"/>
      <c r="K33" s="208"/>
    </row>
    <row r="34" spans="1:11" ht="12.75">
      <c r="A34" s="209">
        <v>30</v>
      </c>
      <c r="B34" s="213" t="s">
        <v>27</v>
      </c>
      <c r="C34" s="248">
        <v>40193</v>
      </c>
      <c r="D34" s="352" t="s">
        <v>101</v>
      </c>
      <c r="E34" s="353">
        <v>86</v>
      </c>
      <c r="F34" s="353">
        <v>27</v>
      </c>
      <c r="G34" s="419">
        <v>1688550.5</v>
      </c>
      <c r="H34" s="420">
        <v>185888</v>
      </c>
      <c r="I34" s="293">
        <f>IF(G34&lt;&gt;0,G34/H34,"")</f>
        <v>9.083698248407643</v>
      </c>
      <c r="J34" s="329"/>
      <c r="K34" s="208"/>
    </row>
    <row r="35" spans="1:11" ht="12.75">
      <c r="A35" s="209">
        <v>31</v>
      </c>
      <c r="B35" s="213" t="s">
        <v>418</v>
      </c>
      <c r="C35" s="248">
        <v>40249</v>
      </c>
      <c r="D35" s="352" t="s">
        <v>101</v>
      </c>
      <c r="E35" s="353">
        <v>116</v>
      </c>
      <c r="F35" s="353">
        <v>25</v>
      </c>
      <c r="G35" s="419">
        <v>1547483.25</v>
      </c>
      <c r="H35" s="420">
        <v>209793</v>
      </c>
      <c r="I35" s="421">
        <f aca="true" t="shared" si="1" ref="I35:I41">+G35/H35</f>
        <v>7.37623872102501</v>
      </c>
      <c r="J35" s="329">
        <v>1</v>
      </c>
      <c r="K35" s="208"/>
    </row>
    <row r="36" spans="1:11" ht="12.75">
      <c r="A36" s="209">
        <v>32</v>
      </c>
      <c r="B36" s="213" t="s">
        <v>71</v>
      </c>
      <c r="C36" s="248">
        <v>40214</v>
      </c>
      <c r="D36" s="352" t="s">
        <v>241</v>
      </c>
      <c r="E36" s="353">
        <v>72</v>
      </c>
      <c r="F36" s="353">
        <v>21</v>
      </c>
      <c r="G36" s="419">
        <v>1240570</v>
      </c>
      <c r="H36" s="420">
        <v>127045</v>
      </c>
      <c r="I36" s="421">
        <f t="shared" si="1"/>
        <v>9.764807745287102</v>
      </c>
      <c r="J36" s="329"/>
      <c r="K36" s="208"/>
    </row>
    <row r="37" spans="1:11" ht="12.75">
      <c r="A37" s="209">
        <v>33</v>
      </c>
      <c r="B37" s="213" t="s">
        <v>425</v>
      </c>
      <c r="C37" s="248">
        <v>40403</v>
      </c>
      <c r="D37" s="352" t="s">
        <v>241</v>
      </c>
      <c r="E37" s="353">
        <v>77</v>
      </c>
      <c r="F37" s="353">
        <v>3</v>
      </c>
      <c r="G37" s="419">
        <v>1193934</v>
      </c>
      <c r="H37" s="420">
        <v>102690</v>
      </c>
      <c r="I37" s="421">
        <f t="shared" si="1"/>
        <v>11.626584867075664</v>
      </c>
      <c r="J37" s="329"/>
      <c r="K37" s="208"/>
    </row>
    <row r="38" spans="1:11" ht="12.75">
      <c r="A38" s="209">
        <v>34</v>
      </c>
      <c r="B38" s="213" t="s">
        <v>172</v>
      </c>
      <c r="C38" s="237">
        <v>40228</v>
      </c>
      <c r="D38" s="352" t="s">
        <v>240</v>
      </c>
      <c r="E38" s="397">
        <v>88</v>
      </c>
      <c r="F38" s="397">
        <v>15</v>
      </c>
      <c r="G38" s="404">
        <v>1169584</v>
      </c>
      <c r="H38" s="405">
        <v>115713</v>
      </c>
      <c r="I38" s="400">
        <f t="shared" si="1"/>
        <v>10.107628356364453</v>
      </c>
      <c r="J38" s="329"/>
      <c r="K38" s="208"/>
    </row>
    <row r="39" spans="1:11" ht="12.75">
      <c r="A39" s="209">
        <v>35</v>
      </c>
      <c r="B39" s="213" t="s">
        <v>332</v>
      </c>
      <c r="C39" s="248">
        <v>40340</v>
      </c>
      <c r="D39" s="352" t="s">
        <v>241</v>
      </c>
      <c r="E39" s="353">
        <v>72</v>
      </c>
      <c r="F39" s="353">
        <v>12</v>
      </c>
      <c r="G39" s="419">
        <v>1163960</v>
      </c>
      <c r="H39" s="420">
        <v>101917</v>
      </c>
      <c r="I39" s="421">
        <f t="shared" si="1"/>
        <v>11.420665835925313</v>
      </c>
      <c r="J39" s="329"/>
      <c r="K39" s="208"/>
    </row>
    <row r="40" spans="1:11" ht="12.75">
      <c r="A40" s="209">
        <v>36</v>
      </c>
      <c r="B40" s="213" t="s">
        <v>405</v>
      </c>
      <c r="C40" s="248">
        <v>40249</v>
      </c>
      <c r="D40" s="210" t="s">
        <v>47</v>
      </c>
      <c r="E40" s="353">
        <v>71</v>
      </c>
      <c r="F40" s="353">
        <v>22</v>
      </c>
      <c r="G40" s="419">
        <f>432486.25+301574+151308+7+112893+51222.5+22996.5+15680+18589.5+18584+12838+4788+1663+4208+490+365+2398+36+790+1056+718+2330+3855</f>
        <v>1160875.75</v>
      </c>
      <c r="H40" s="420">
        <f>50407+35095+18523+1+15427+7108+3545+2281+2896+2839+2036+884+288+738+98+73+400+6+143+184+126+381+556</f>
        <v>144035</v>
      </c>
      <c r="I40" s="421">
        <f t="shared" si="1"/>
        <v>8.059678203214496</v>
      </c>
      <c r="J40" s="329"/>
      <c r="K40" s="208"/>
    </row>
    <row r="41" spans="1:11" ht="12.75">
      <c r="A41" s="209">
        <v>37</v>
      </c>
      <c r="B41" s="213" t="s">
        <v>260</v>
      </c>
      <c r="C41" s="248">
        <v>40319</v>
      </c>
      <c r="D41" s="352" t="s">
        <v>241</v>
      </c>
      <c r="E41" s="353">
        <v>83</v>
      </c>
      <c r="F41" s="353">
        <v>15</v>
      </c>
      <c r="G41" s="419">
        <v>1148321</v>
      </c>
      <c r="H41" s="420">
        <v>133120</v>
      </c>
      <c r="I41" s="421">
        <f t="shared" si="1"/>
        <v>8.626209435096154</v>
      </c>
      <c r="J41" s="329"/>
      <c r="K41" s="208"/>
    </row>
    <row r="42" spans="1:11" ht="12.75">
      <c r="A42" s="209">
        <v>38</v>
      </c>
      <c r="B42" s="213" t="s">
        <v>222</v>
      </c>
      <c r="C42" s="248">
        <v>40298</v>
      </c>
      <c r="D42" s="352" t="s">
        <v>242</v>
      </c>
      <c r="E42" s="353">
        <v>50</v>
      </c>
      <c r="F42" s="353">
        <v>17</v>
      </c>
      <c r="G42" s="419">
        <f>1098381+301+1678</f>
        <v>1100360</v>
      </c>
      <c r="H42" s="420">
        <f>132245+33+281</f>
        <v>132559</v>
      </c>
      <c r="I42" s="421">
        <f>G42/H42</f>
        <v>8.300907520424868</v>
      </c>
      <c r="J42" s="414"/>
      <c r="K42" s="208"/>
    </row>
    <row r="43" spans="1:11" ht="12.75">
      <c r="A43" s="209">
        <v>39</v>
      </c>
      <c r="B43" s="213" t="s">
        <v>167</v>
      </c>
      <c r="C43" s="248">
        <v>40221</v>
      </c>
      <c r="D43" s="352" t="s">
        <v>241</v>
      </c>
      <c r="E43" s="353">
        <v>85</v>
      </c>
      <c r="F43" s="353">
        <v>16</v>
      </c>
      <c r="G43" s="419">
        <v>1082639</v>
      </c>
      <c r="H43" s="420">
        <v>102049</v>
      </c>
      <c r="I43" s="421">
        <f>+G43/H43</f>
        <v>10.609011357289145</v>
      </c>
      <c r="J43" s="414"/>
      <c r="K43" s="208"/>
    </row>
    <row r="44" spans="1:11" ht="12.75">
      <c r="A44" s="209">
        <v>40</v>
      </c>
      <c r="B44" s="213" t="s">
        <v>119</v>
      </c>
      <c r="C44" s="248">
        <v>40207</v>
      </c>
      <c r="D44" s="352" t="s">
        <v>263</v>
      </c>
      <c r="E44" s="353">
        <v>87</v>
      </c>
      <c r="F44" s="353">
        <v>19</v>
      </c>
      <c r="G44" s="419">
        <v>1076694</v>
      </c>
      <c r="H44" s="420">
        <v>103809</v>
      </c>
      <c r="I44" s="421">
        <f>+G44/H44</f>
        <v>10.371875270930266</v>
      </c>
      <c r="J44" s="329"/>
      <c r="K44" s="208"/>
    </row>
    <row r="45" spans="1:11" ht="12.75">
      <c r="A45" s="209">
        <v>41</v>
      </c>
      <c r="B45" s="213" t="s">
        <v>210</v>
      </c>
      <c r="C45" s="237">
        <v>40284</v>
      </c>
      <c r="D45" s="352" t="s">
        <v>240</v>
      </c>
      <c r="E45" s="397">
        <v>157</v>
      </c>
      <c r="F45" s="397">
        <v>11</v>
      </c>
      <c r="G45" s="404">
        <v>1056267</v>
      </c>
      <c r="H45" s="405">
        <v>125687</v>
      </c>
      <c r="I45" s="400">
        <f>+G45/H45</f>
        <v>8.4039479023288</v>
      </c>
      <c r="J45" s="329"/>
      <c r="K45" s="208"/>
    </row>
    <row r="46" spans="1:11" ht="12.75">
      <c r="A46" s="209">
        <v>42</v>
      </c>
      <c r="B46" s="213" t="s">
        <v>271</v>
      </c>
      <c r="C46" s="248">
        <v>40291</v>
      </c>
      <c r="D46" s="352" t="s">
        <v>241</v>
      </c>
      <c r="E46" s="353">
        <v>71</v>
      </c>
      <c r="F46" s="353">
        <v>16</v>
      </c>
      <c r="G46" s="419">
        <v>889332</v>
      </c>
      <c r="H46" s="420">
        <v>89718</v>
      </c>
      <c r="I46" s="421">
        <f>+G46/H46</f>
        <v>9.912525914532202</v>
      </c>
      <c r="J46" s="414"/>
      <c r="K46" s="208"/>
    </row>
    <row r="47" spans="1:11" ht="12.75">
      <c r="A47" s="209">
        <v>43</v>
      </c>
      <c r="B47" s="213" t="s">
        <v>346</v>
      </c>
      <c r="C47" s="248">
        <v>40228</v>
      </c>
      <c r="D47" s="352" t="s">
        <v>242</v>
      </c>
      <c r="E47" s="353">
        <v>88</v>
      </c>
      <c r="F47" s="353">
        <v>22</v>
      </c>
      <c r="G47" s="419">
        <f>848677.55+469+99+661</f>
        <v>849906.55</v>
      </c>
      <c r="H47" s="420">
        <f>99747+71+15+97</f>
        <v>99930</v>
      </c>
      <c r="I47" s="421">
        <f>G47/H47</f>
        <v>8.505019013309317</v>
      </c>
      <c r="J47" s="329"/>
      <c r="K47" s="208"/>
    </row>
    <row r="48" spans="1:11" ht="12.75">
      <c r="A48" s="209">
        <v>44</v>
      </c>
      <c r="B48" s="253" t="s">
        <v>120</v>
      </c>
      <c r="C48" s="248">
        <v>40207</v>
      </c>
      <c r="D48" s="352" t="s">
        <v>240</v>
      </c>
      <c r="E48" s="353">
        <v>50</v>
      </c>
      <c r="F48" s="353">
        <v>28</v>
      </c>
      <c r="G48" s="246">
        <v>815675</v>
      </c>
      <c r="H48" s="247">
        <v>72645</v>
      </c>
      <c r="I48" s="293">
        <f>+G48/H48</f>
        <v>11.228233188794825</v>
      </c>
      <c r="J48" s="329"/>
      <c r="K48" s="208"/>
    </row>
    <row r="49" spans="1:11" ht="12.75">
      <c r="A49" s="209">
        <v>45</v>
      </c>
      <c r="B49" s="213" t="s">
        <v>63</v>
      </c>
      <c r="C49" s="248">
        <v>40179</v>
      </c>
      <c r="D49" s="352" t="s">
        <v>242</v>
      </c>
      <c r="E49" s="353">
        <v>42</v>
      </c>
      <c r="F49" s="353">
        <v>26</v>
      </c>
      <c r="G49" s="419">
        <f>310442.5+275157.5+119153+26271.5+19971.5+13231+6468+3094+3122+818+3348+2300+3563+967.5+3712+860+1689+2039.5+386+1501+1918+1782+950.5+1188+40.5+1880.5</f>
        <v>805854.5</v>
      </c>
      <c r="H49" s="420">
        <f>26771+24068+11328+2954+1983+1309+737+492+663+147+552+369+891+351+402+113+203+279+61+213+429+446+238+297+3+319</f>
        <v>75618</v>
      </c>
      <c r="I49" s="421">
        <f>G49/H49</f>
        <v>10.65691369779682</v>
      </c>
      <c r="J49" s="329"/>
      <c r="K49" s="208"/>
    </row>
    <row r="50" spans="1:11" ht="12.75">
      <c r="A50" s="209">
        <v>46</v>
      </c>
      <c r="B50" s="213" t="s">
        <v>246</v>
      </c>
      <c r="C50" s="248">
        <v>40319</v>
      </c>
      <c r="D50" s="352" t="s">
        <v>242</v>
      </c>
      <c r="E50" s="353">
        <v>40</v>
      </c>
      <c r="F50" s="353">
        <v>15</v>
      </c>
      <c r="G50" s="419">
        <f>711534+6511+3796+419.5</f>
        <v>722260.5</v>
      </c>
      <c r="H50" s="420">
        <f>75498+1388+916+61</f>
        <v>77863</v>
      </c>
      <c r="I50" s="421">
        <f>G50/H50</f>
        <v>9.276042536249566</v>
      </c>
      <c r="J50" s="329"/>
      <c r="K50" s="208"/>
    </row>
    <row r="51" spans="1:11" ht="12.75">
      <c r="A51" s="209">
        <v>47</v>
      </c>
      <c r="B51" s="213" t="s">
        <v>388</v>
      </c>
      <c r="C51" s="248">
        <v>40403</v>
      </c>
      <c r="D51" s="352" t="s">
        <v>241</v>
      </c>
      <c r="E51" s="353">
        <v>60</v>
      </c>
      <c r="F51" s="353">
        <v>3</v>
      </c>
      <c r="G51" s="419">
        <v>700909</v>
      </c>
      <c r="H51" s="420">
        <v>66202</v>
      </c>
      <c r="I51" s="421">
        <f>+G51/H51</f>
        <v>10.587429382798103</v>
      </c>
      <c r="J51" s="329"/>
      <c r="K51" s="208"/>
    </row>
    <row r="52" spans="1:11" ht="12.75">
      <c r="A52" s="209">
        <v>48</v>
      </c>
      <c r="B52" s="213" t="s">
        <v>268</v>
      </c>
      <c r="C52" s="237">
        <v>40235</v>
      </c>
      <c r="D52" s="352" t="s">
        <v>101</v>
      </c>
      <c r="E52" s="397">
        <v>29</v>
      </c>
      <c r="F52" s="397">
        <v>18</v>
      </c>
      <c r="G52" s="404">
        <v>666142</v>
      </c>
      <c r="H52" s="405">
        <v>54854</v>
      </c>
      <c r="I52" s="400">
        <f>IF(G52&lt;&gt;0,G52/H52,"")</f>
        <v>12.143909286469537</v>
      </c>
      <c r="J52" s="329"/>
      <c r="K52" s="208"/>
    </row>
    <row r="53" spans="1:11" ht="12.75">
      <c r="A53" s="209">
        <v>49</v>
      </c>
      <c r="B53" s="253" t="s">
        <v>200</v>
      </c>
      <c r="C53" s="248">
        <v>40263</v>
      </c>
      <c r="D53" s="352" t="s">
        <v>259</v>
      </c>
      <c r="E53" s="353">
        <v>26</v>
      </c>
      <c r="F53" s="353">
        <v>16</v>
      </c>
      <c r="G53" s="419">
        <f>221307.25+165337+90601.5+71567+36580+10706+10295.5+5581+2374+1755+4236+0.5+204+3138+141+128+1211</f>
        <v>625162.75</v>
      </c>
      <c r="H53" s="420">
        <f>17930+13640+7523+6342+3464+1258+1309+637+273+215+422+32+492+25+22+134</f>
        <v>53718</v>
      </c>
      <c r="I53" s="421">
        <f aca="true" t="shared" si="2" ref="I53:I60">+G53/H53</f>
        <v>11.637863472206709</v>
      </c>
      <c r="J53" s="414"/>
      <c r="K53" s="208"/>
    </row>
    <row r="54" spans="1:11" ht="12.75">
      <c r="A54" s="209">
        <v>50</v>
      </c>
      <c r="B54" s="252" t="s">
        <v>183</v>
      </c>
      <c r="C54" s="237">
        <v>40193</v>
      </c>
      <c r="D54" s="210" t="s">
        <v>240</v>
      </c>
      <c r="E54" s="397">
        <v>40</v>
      </c>
      <c r="F54" s="397">
        <v>24</v>
      </c>
      <c r="G54" s="406">
        <v>620741</v>
      </c>
      <c r="H54" s="407">
        <v>54728</v>
      </c>
      <c r="I54" s="400">
        <f t="shared" si="2"/>
        <v>11.34229279345125</v>
      </c>
      <c r="J54" s="329"/>
      <c r="K54" s="208"/>
    </row>
    <row r="55" spans="1:11" ht="12.75">
      <c r="A55" s="209">
        <v>51</v>
      </c>
      <c r="B55" s="213" t="s">
        <v>270</v>
      </c>
      <c r="C55" s="248">
        <v>40298</v>
      </c>
      <c r="D55" s="352" t="s">
        <v>241</v>
      </c>
      <c r="E55" s="353">
        <v>73</v>
      </c>
      <c r="F55" s="353">
        <v>12</v>
      </c>
      <c r="G55" s="419">
        <v>605393</v>
      </c>
      <c r="H55" s="420">
        <v>67048</v>
      </c>
      <c r="I55" s="421">
        <f t="shared" si="2"/>
        <v>9.02924770313805</v>
      </c>
      <c r="J55" s="414"/>
      <c r="K55" s="208"/>
    </row>
    <row r="56" spans="1:11" ht="12.75">
      <c r="A56" s="209">
        <v>52</v>
      </c>
      <c r="B56" s="213" t="s">
        <v>290</v>
      </c>
      <c r="C56" s="248">
        <v>40200</v>
      </c>
      <c r="D56" s="352" t="s">
        <v>240</v>
      </c>
      <c r="E56" s="353">
        <v>100</v>
      </c>
      <c r="F56" s="353">
        <v>10</v>
      </c>
      <c r="G56" s="419">
        <v>602901</v>
      </c>
      <c r="H56" s="420">
        <v>63060</v>
      </c>
      <c r="I56" s="421">
        <f t="shared" si="2"/>
        <v>9.560751665080875</v>
      </c>
      <c r="J56" s="329"/>
      <c r="K56" s="208"/>
    </row>
    <row r="57" spans="1:11" ht="12.75">
      <c r="A57" s="209">
        <v>53</v>
      </c>
      <c r="B57" s="214" t="s">
        <v>266</v>
      </c>
      <c r="C57" s="237">
        <v>40270</v>
      </c>
      <c r="D57" s="210" t="s">
        <v>240</v>
      </c>
      <c r="E57" s="397">
        <v>77</v>
      </c>
      <c r="F57" s="397">
        <v>12</v>
      </c>
      <c r="G57" s="404">
        <v>574948</v>
      </c>
      <c r="H57" s="405">
        <v>63339</v>
      </c>
      <c r="I57" s="400">
        <f t="shared" si="2"/>
        <v>9.077314135051074</v>
      </c>
      <c r="J57" s="329">
        <v>1</v>
      </c>
      <c r="K57" s="208"/>
    </row>
    <row r="58" spans="1:11" ht="12.75">
      <c r="A58" s="209">
        <v>54</v>
      </c>
      <c r="B58" s="213" t="s">
        <v>426</v>
      </c>
      <c r="C58" s="248">
        <v>40417</v>
      </c>
      <c r="D58" s="352" t="s">
        <v>398</v>
      </c>
      <c r="E58" s="353">
        <v>81</v>
      </c>
      <c r="F58" s="353">
        <v>1</v>
      </c>
      <c r="G58" s="419">
        <v>572501</v>
      </c>
      <c r="H58" s="420">
        <v>46678</v>
      </c>
      <c r="I58" s="421">
        <f t="shared" si="2"/>
        <v>12.26489995286859</v>
      </c>
      <c r="J58" s="329"/>
      <c r="K58" s="208"/>
    </row>
    <row r="59" spans="1:11" ht="12.75">
      <c r="A59" s="209">
        <v>55</v>
      </c>
      <c r="B59" s="213" t="s">
        <v>206</v>
      </c>
      <c r="C59" s="248">
        <v>40277</v>
      </c>
      <c r="D59" s="352" t="s">
        <v>263</v>
      </c>
      <c r="E59" s="353">
        <v>24</v>
      </c>
      <c r="F59" s="353">
        <v>21</v>
      </c>
      <c r="G59" s="419">
        <v>558681</v>
      </c>
      <c r="H59" s="420">
        <v>56393</v>
      </c>
      <c r="I59" s="421">
        <f t="shared" si="2"/>
        <v>9.906921071764225</v>
      </c>
      <c r="J59" s="329"/>
      <c r="K59" s="208"/>
    </row>
    <row r="60" spans="1:11" ht="12.75">
      <c r="A60" s="209">
        <v>56</v>
      </c>
      <c r="B60" s="253" t="s">
        <v>188</v>
      </c>
      <c r="C60" s="248">
        <v>40242</v>
      </c>
      <c r="D60" s="352" t="s">
        <v>241</v>
      </c>
      <c r="E60" s="353">
        <v>53</v>
      </c>
      <c r="F60" s="353">
        <v>19</v>
      </c>
      <c r="G60" s="246">
        <v>539010</v>
      </c>
      <c r="H60" s="247">
        <v>55456</v>
      </c>
      <c r="I60" s="293">
        <f t="shared" si="2"/>
        <v>9.719597518753606</v>
      </c>
      <c r="J60" s="329"/>
      <c r="K60" s="208"/>
    </row>
    <row r="61" spans="1:11" ht="12.75">
      <c r="A61" s="209">
        <v>57</v>
      </c>
      <c r="B61" s="213" t="s">
        <v>179</v>
      </c>
      <c r="C61" s="248">
        <v>40193</v>
      </c>
      <c r="D61" s="352" t="s">
        <v>242</v>
      </c>
      <c r="E61" s="353">
        <v>55</v>
      </c>
      <c r="F61" s="353">
        <v>25</v>
      </c>
      <c r="G61" s="419">
        <f>197266+158498+94472.5+25746.5+5341+4975+4175+3550+3868+6158+8020+1277+951+3397+4599+198+566+1146+2247.5+174+31.5+2775.5+1188+735+2376</f>
        <v>533731.5</v>
      </c>
      <c r="H61" s="420">
        <f>19567+17056+12441+3194+866+909+697+693+818+1478+1988+298+238+832+1154+55+212+207+411+57+12+610+297+71+594</f>
        <v>64755</v>
      </c>
      <c r="I61" s="421">
        <f>G61/H61</f>
        <v>8.24232105628909</v>
      </c>
      <c r="J61" s="329"/>
      <c r="K61" s="208"/>
    </row>
    <row r="62" spans="1:11" ht="12.75">
      <c r="A62" s="209">
        <v>58</v>
      </c>
      <c r="B62" s="213" t="s">
        <v>330</v>
      </c>
      <c r="C62" s="248">
        <v>40375</v>
      </c>
      <c r="D62" s="352" t="s">
        <v>241</v>
      </c>
      <c r="E62" s="353">
        <v>67</v>
      </c>
      <c r="F62" s="353">
        <v>7</v>
      </c>
      <c r="G62" s="419">
        <v>512946</v>
      </c>
      <c r="H62" s="420">
        <v>53738</v>
      </c>
      <c r="I62" s="421">
        <f>+G62/H62</f>
        <v>9.545312441847482</v>
      </c>
      <c r="J62" s="329"/>
      <c r="K62" s="208"/>
    </row>
    <row r="63" spans="1:11" ht="12.75">
      <c r="A63" s="209">
        <v>59</v>
      </c>
      <c r="B63" s="213" t="s">
        <v>285</v>
      </c>
      <c r="C63" s="248">
        <v>40347</v>
      </c>
      <c r="D63" s="352" t="s">
        <v>242</v>
      </c>
      <c r="E63" s="353">
        <v>66</v>
      </c>
      <c r="F63" s="353">
        <v>11</v>
      </c>
      <c r="G63" s="419">
        <f>478213+7083+3309.5+6055</f>
        <v>494660.5</v>
      </c>
      <c r="H63" s="420">
        <f>55327+1259+553+1133</f>
        <v>58272</v>
      </c>
      <c r="I63" s="421">
        <f>G63/H63</f>
        <v>8.488819673256453</v>
      </c>
      <c r="J63" s="329"/>
      <c r="K63" s="208"/>
    </row>
    <row r="64" spans="1:11" ht="12.75">
      <c r="A64" s="209">
        <v>60</v>
      </c>
      <c r="B64" s="214" t="s">
        <v>224</v>
      </c>
      <c r="C64" s="237">
        <v>40298</v>
      </c>
      <c r="D64" s="210" t="s">
        <v>240</v>
      </c>
      <c r="E64" s="397">
        <v>55</v>
      </c>
      <c r="F64" s="397">
        <v>7</v>
      </c>
      <c r="G64" s="404">
        <v>491070</v>
      </c>
      <c r="H64" s="405">
        <v>50430</v>
      </c>
      <c r="I64" s="400">
        <f>+G64/H64</f>
        <v>9.737656157049376</v>
      </c>
      <c r="J64" s="329"/>
      <c r="K64" s="208"/>
    </row>
    <row r="65" spans="1:11" ht="12.75">
      <c r="A65" s="209">
        <v>61</v>
      </c>
      <c r="B65" s="213" t="s">
        <v>64</v>
      </c>
      <c r="C65" s="248">
        <v>40179</v>
      </c>
      <c r="D65" s="352" t="s">
        <v>241</v>
      </c>
      <c r="E65" s="353">
        <v>60</v>
      </c>
      <c r="F65" s="353">
        <v>12</v>
      </c>
      <c r="G65" s="419">
        <v>477649</v>
      </c>
      <c r="H65" s="420">
        <v>47587</v>
      </c>
      <c r="I65" s="293">
        <f>+G65/H65</f>
        <v>10.03738415953937</v>
      </c>
      <c r="J65" s="329"/>
      <c r="K65" s="208"/>
    </row>
    <row r="66" spans="1:11" ht="12.75">
      <c r="A66" s="209">
        <v>62</v>
      </c>
      <c r="B66" s="213" t="s">
        <v>184</v>
      </c>
      <c r="C66" s="248">
        <v>40200</v>
      </c>
      <c r="D66" s="352" t="s">
        <v>241</v>
      </c>
      <c r="E66" s="353">
        <v>50</v>
      </c>
      <c r="F66" s="353">
        <v>12</v>
      </c>
      <c r="G66" s="419">
        <v>477340</v>
      </c>
      <c r="H66" s="420">
        <v>43072</v>
      </c>
      <c r="I66" s="421">
        <f>+G66/H66</f>
        <v>11.082373699851411</v>
      </c>
      <c r="J66" s="414"/>
      <c r="K66" s="208"/>
    </row>
    <row r="67" spans="1:11" ht="12.75">
      <c r="A67" s="209">
        <v>63</v>
      </c>
      <c r="B67" s="213" t="s">
        <v>419</v>
      </c>
      <c r="C67" s="248">
        <v>40193</v>
      </c>
      <c r="D67" s="352" t="s">
        <v>101</v>
      </c>
      <c r="E67" s="353">
        <v>124</v>
      </c>
      <c r="F67" s="353">
        <v>26</v>
      </c>
      <c r="G67" s="419">
        <v>463956.75</v>
      </c>
      <c r="H67" s="420">
        <v>58586</v>
      </c>
      <c r="I67" s="421">
        <f>+G67/H67</f>
        <v>7.919242651828082</v>
      </c>
      <c r="J67" s="329">
        <v>1</v>
      </c>
      <c r="K67" s="208"/>
    </row>
    <row r="68" spans="1:11" ht="12.75">
      <c r="A68" s="209">
        <v>64</v>
      </c>
      <c r="B68" s="214" t="s">
        <v>209</v>
      </c>
      <c r="C68" s="237">
        <v>40277</v>
      </c>
      <c r="D68" s="210" t="s">
        <v>240</v>
      </c>
      <c r="E68" s="397">
        <v>46</v>
      </c>
      <c r="F68" s="397">
        <v>11</v>
      </c>
      <c r="G68" s="404">
        <v>444402</v>
      </c>
      <c r="H68" s="405">
        <v>43201</v>
      </c>
      <c r="I68" s="400">
        <f>+G68/H68</f>
        <v>10.286845211916392</v>
      </c>
      <c r="J68" s="329"/>
      <c r="K68" s="208"/>
    </row>
    <row r="69" spans="1:11" ht="12.75">
      <c r="A69" s="209">
        <v>65</v>
      </c>
      <c r="B69" s="213" t="s">
        <v>380</v>
      </c>
      <c r="C69" s="248">
        <v>40242</v>
      </c>
      <c r="D69" s="352" t="s">
        <v>242</v>
      </c>
      <c r="E69" s="353">
        <v>74</v>
      </c>
      <c r="F69" s="353">
        <v>24</v>
      </c>
      <c r="G69" s="419">
        <f>421210.25+356+162+4324</f>
        <v>426052.25</v>
      </c>
      <c r="H69" s="420">
        <f>55245+64+29+994</f>
        <v>56332</v>
      </c>
      <c r="I69" s="421">
        <f>G69/H69</f>
        <v>7.563236703827309</v>
      </c>
      <c r="J69" s="329">
        <v>1</v>
      </c>
      <c r="K69" s="208"/>
    </row>
    <row r="70" spans="1:11" ht="12.75">
      <c r="A70" s="209">
        <v>66</v>
      </c>
      <c r="B70" s="213" t="s">
        <v>400</v>
      </c>
      <c r="C70" s="248">
        <v>40410</v>
      </c>
      <c r="D70" s="352" t="s">
        <v>242</v>
      </c>
      <c r="E70" s="353">
        <v>100</v>
      </c>
      <c r="F70" s="353">
        <v>2</v>
      </c>
      <c r="G70" s="419">
        <f>4793.5+233907+173006</f>
        <v>411706.5</v>
      </c>
      <c r="H70" s="420">
        <f>312+25267+17706</f>
        <v>43285</v>
      </c>
      <c r="I70" s="421">
        <f>G70/H70</f>
        <v>9.511528243040313</v>
      </c>
      <c r="J70" s="329"/>
      <c r="K70" s="208"/>
    </row>
    <row r="71" spans="1:11" ht="12.75">
      <c r="A71" s="209">
        <v>67</v>
      </c>
      <c r="B71" s="213" t="s">
        <v>399</v>
      </c>
      <c r="C71" s="248">
        <v>40417</v>
      </c>
      <c r="D71" s="352" t="s">
        <v>241</v>
      </c>
      <c r="E71" s="353">
        <v>119</v>
      </c>
      <c r="F71" s="353">
        <v>1</v>
      </c>
      <c r="G71" s="419">
        <v>410191</v>
      </c>
      <c r="H71" s="420">
        <v>43030</v>
      </c>
      <c r="I71" s="421">
        <f>+G71/H71</f>
        <v>9.532674877992099</v>
      </c>
      <c r="J71" s="329"/>
      <c r="K71" s="208"/>
    </row>
    <row r="72" spans="1:11" ht="12.75">
      <c r="A72" s="209">
        <v>68</v>
      </c>
      <c r="B72" s="213" t="s">
        <v>355</v>
      </c>
      <c r="C72" s="248">
        <v>40312</v>
      </c>
      <c r="D72" s="352" t="s">
        <v>101</v>
      </c>
      <c r="E72" s="353">
        <v>64</v>
      </c>
      <c r="F72" s="353">
        <v>16</v>
      </c>
      <c r="G72" s="419">
        <v>381306</v>
      </c>
      <c r="H72" s="420">
        <v>43279</v>
      </c>
      <c r="I72" s="421">
        <f>+G72/H72</f>
        <v>8.810416137156588</v>
      </c>
      <c r="J72" s="329"/>
      <c r="K72" s="208"/>
    </row>
    <row r="73" spans="1:11" ht="12.75">
      <c r="A73" s="209">
        <v>69</v>
      </c>
      <c r="B73" s="213" t="s">
        <v>216</v>
      </c>
      <c r="C73" s="237">
        <v>40214</v>
      </c>
      <c r="D73" s="210" t="s">
        <v>240</v>
      </c>
      <c r="E73" s="397">
        <v>33</v>
      </c>
      <c r="F73" s="397">
        <v>14</v>
      </c>
      <c r="G73" s="404">
        <v>378715</v>
      </c>
      <c r="H73" s="405">
        <v>31429</v>
      </c>
      <c r="I73" s="400">
        <f>+G73/H73</f>
        <v>12.049858411021669</v>
      </c>
      <c r="J73" s="329"/>
      <c r="K73" s="208"/>
    </row>
    <row r="74" spans="1:11" ht="12.75">
      <c r="A74" s="209">
        <v>70</v>
      </c>
      <c r="B74" s="213" t="s">
        <v>394</v>
      </c>
      <c r="C74" s="248">
        <v>40291</v>
      </c>
      <c r="D74" s="352" t="s">
        <v>242</v>
      </c>
      <c r="E74" s="353">
        <v>54</v>
      </c>
      <c r="F74" s="353">
        <v>13</v>
      </c>
      <c r="G74" s="419">
        <f>176958+95672+38981+18151.5+6163+2998+21275.5+2116.5+2388+999.5+1168+372+497.5+323</f>
        <v>368063.5</v>
      </c>
      <c r="H74" s="420">
        <f>18263+9908+5625+2922+979+506+4267+339+381+216+144+54+175+45</f>
        <v>43824</v>
      </c>
      <c r="I74" s="421">
        <f>G74/H74</f>
        <v>8.398674242424242</v>
      </c>
      <c r="J74" s="414">
        <v>1</v>
      </c>
      <c r="K74" s="208"/>
    </row>
    <row r="75" spans="1:11" ht="12.75">
      <c r="A75" s="209">
        <v>71</v>
      </c>
      <c r="B75" s="253" t="s">
        <v>293</v>
      </c>
      <c r="C75" s="248">
        <v>40277</v>
      </c>
      <c r="D75" s="352" t="s">
        <v>242</v>
      </c>
      <c r="E75" s="353">
        <v>32</v>
      </c>
      <c r="F75" s="353">
        <v>17</v>
      </c>
      <c r="G75" s="419">
        <f>123623+70914+52321.5+36022.5+20471+19766.5+8607.5+6454.5+5997+5816+5957.5+4106+4057+1721+797+784+203</f>
        <v>367619</v>
      </c>
      <c r="H75" s="420">
        <f>12717+7769+7500+5431+3494+3439+1495+1058+966+862+757+518+635+261+113+120+29</f>
        <v>47164</v>
      </c>
      <c r="I75" s="421">
        <f>G75/H75</f>
        <v>7.794483080315495</v>
      </c>
      <c r="J75" s="329"/>
      <c r="K75" s="208"/>
    </row>
    <row r="76" spans="1:11" ht="12.75">
      <c r="A76" s="209">
        <v>72</v>
      </c>
      <c r="B76" s="213" t="s">
        <v>306</v>
      </c>
      <c r="C76" s="248">
        <v>40312</v>
      </c>
      <c r="D76" s="352" t="s">
        <v>101</v>
      </c>
      <c r="E76" s="353">
        <v>76</v>
      </c>
      <c r="F76" s="353">
        <v>16</v>
      </c>
      <c r="G76" s="419">
        <v>366921.5</v>
      </c>
      <c r="H76" s="420">
        <v>32769</v>
      </c>
      <c r="I76" s="421">
        <f aca="true" t="shared" si="3" ref="I76:I83">+G76/H76</f>
        <v>11.197213830144344</v>
      </c>
      <c r="J76" s="329"/>
      <c r="K76" s="208"/>
    </row>
    <row r="77" spans="1:10" ht="12.75">
      <c r="A77" s="209">
        <v>73</v>
      </c>
      <c r="B77" s="252" t="s">
        <v>225</v>
      </c>
      <c r="C77" s="237">
        <v>40298</v>
      </c>
      <c r="D77" s="210" t="s">
        <v>240</v>
      </c>
      <c r="E77" s="397">
        <v>35</v>
      </c>
      <c r="F77" s="397">
        <v>9</v>
      </c>
      <c r="G77" s="406">
        <v>365157</v>
      </c>
      <c r="H77" s="407">
        <v>36975</v>
      </c>
      <c r="I77" s="400">
        <f t="shared" si="3"/>
        <v>9.875780933062881</v>
      </c>
      <c r="J77" s="329"/>
    </row>
    <row r="78" spans="1:10" ht="12.75">
      <c r="A78" s="209">
        <v>74</v>
      </c>
      <c r="B78" s="213" t="s">
        <v>205</v>
      </c>
      <c r="C78" s="237">
        <v>40270</v>
      </c>
      <c r="D78" s="352" t="s">
        <v>240</v>
      </c>
      <c r="E78" s="397">
        <v>51</v>
      </c>
      <c r="F78" s="397">
        <v>10</v>
      </c>
      <c r="G78" s="404">
        <v>357238</v>
      </c>
      <c r="H78" s="405">
        <v>33792</v>
      </c>
      <c r="I78" s="400">
        <f t="shared" si="3"/>
        <v>10.571673768939394</v>
      </c>
      <c r="J78" s="329"/>
    </row>
    <row r="79" spans="1:10" ht="12.75">
      <c r="A79" s="209">
        <v>75</v>
      </c>
      <c r="B79" s="213" t="s">
        <v>297</v>
      </c>
      <c r="C79" s="248">
        <v>40368</v>
      </c>
      <c r="D79" s="352" t="s">
        <v>240</v>
      </c>
      <c r="E79" s="353">
        <v>62</v>
      </c>
      <c r="F79" s="353">
        <v>8</v>
      </c>
      <c r="G79" s="419">
        <v>356091</v>
      </c>
      <c r="H79" s="420">
        <v>33146</v>
      </c>
      <c r="I79" s="421">
        <f t="shared" si="3"/>
        <v>10.74310625716527</v>
      </c>
      <c r="J79" s="329"/>
    </row>
    <row r="80" spans="1:10" ht="12.75">
      <c r="A80" s="209">
        <v>76</v>
      </c>
      <c r="B80" s="213" t="s">
        <v>351</v>
      </c>
      <c r="C80" s="248">
        <v>40284</v>
      </c>
      <c r="D80" s="352" t="s">
        <v>241</v>
      </c>
      <c r="E80" s="353">
        <v>50</v>
      </c>
      <c r="F80" s="353">
        <v>18</v>
      </c>
      <c r="G80" s="419">
        <v>352383</v>
      </c>
      <c r="H80" s="420">
        <v>45998</v>
      </c>
      <c r="I80" s="421">
        <f t="shared" si="3"/>
        <v>7.660833079699118</v>
      </c>
      <c r="J80" s="329"/>
    </row>
    <row r="81" spans="1:10" ht="12.75">
      <c r="A81" s="209">
        <v>77</v>
      </c>
      <c r="B81" s="213" t="s">
        <v>286</v>
      </c>
      <c r="C81" s="248">
        <v>40347</v>
      </c>
      <c r="D81" s="210" t="s">
        <v>47</v>
      </c>
      <c r="E81" s="353">
        <v>45</v>
      </c>
      <c r="F81" s="353">
        <v>11</v>
      </c>
      <c r="G81" s="419">
        <f>163509.5+101167+33186.5+24021.5+13754+6432+0.5+3592+1727+471+4315+96</f>
        <v>352272</v>
      </c>
      <c r="H81" s="420">
        <f>25673+3885+3462+2080+937+579+241+56+689+16</f>
        <v>37618</v>
      </c>
      <c r="I81" s="421">
        <f t="shared" si="3"/>
        <v>9.36445318730395</v>
      </c>
      <c r="J81" s="329"/>
    </row>
    <row r="82" spans="1:10" ht="12.75">
      <c r="A82" s="209">
        <v>78</v>
      </c>
      <c r="B82" s="213" t="s">
        <v>343</v>
      </c>
      <c r="C82" s="248">
        <v>40382</v>
      </c>
      <c r="D82" s="352" t="s">
        <v>289</v>
      </c>
      <c r="E82" s="353" t="s">
        <v>329</v>
      </c>
      <c r="F82" s="353" t="s">
        <v>4</v>
      </c>
      <c r="G82" s="419">
        <v>347801</v>
      </c>
      <c r="H82" s="420">
        <v>37809</v>
      </c>
      <c r="I82" s="421">
        <f t="shared" si="3"/>
        <v>9.198894443122008</v>
      </c>
      <c r="J82" s="329"/>
    </row>
    <row r="83" spans="1:10" ht="12.75">
      <c r="A83" s="209">
        <v>79</v>
      </c>
      <c r="B83" s="214" t="s">
        <v>201</v>
      </c>
      <c r="C83" s="237">
        <v>40263</v>
      </c>
      <c r="D83" s="210" t="s">
        <v>240</v>
      </c>
      <c r="E83" s="397">
        <v>28</v>
      </c>
      <c r="F83" s="397">
        <v>12</v>
      </c>
      <c r="G83" s="404">
        <v>347466</v>
      </c>
      <c r="H83" s="405">
        <v>34936</v>
      </c>
      <c r="I83" s="400">
        <f t="shared" si="3"/>
        <v>9.945786581177009</v>
      </c>
      <c r="J83" s="329"/>
    </row>
    <row r="84" spans="1:10" ht="12.75">
      <c r="A84" s="209">
        <v>80</v>
      </c>
      <c r="B84" s="213" t="s">
        <v>262</v>
      </c>
      <c r="C84" s="248">
        <v>40333</v>
      </c>
      <c r="D84" s="352" t="s">
        <v>242</v>
      </c>
      <c r="E84" s="353">
        <v>20</v>
      </c>
      <c r="F84" s="353">
        <v>13</v>
      </c>
      <c r="G84" s="419">
        <f>323225+11633.5+4727+7021</f>
        <v>346606.5</v>
      </c>
      <c r="H84" s="420">
        <f>37441+1670+699+1273</f>
        <v>41083</v>
      </c>
      <c r="I84" s="421">
        <f>G84/H84</f>
        <v>8.436737823430617</v>
      </c>
      <c r="J84" s="329"/>
    </row>
    <row r="85" spans="1:10" ht="12.75">
      <c r="A85" s="209">
        <v>81</v>
      </c>
      <c r="B85" s="213" t="s">
        <v>422</v>
      </c>
      <c r="C85" s="248">
        <v>40410</v>
      </c>
      <c r="D85" s="352" t="s">
        <v>240</v>
      </c>
      <c r="E85" s="353">
        <v>63</v>
      </c>
      <c r="F85" s="353">
        <v>2</v>
      </c>
      <c r="G85" s="419">
        <v>333817</v>
      </c>
      <c r="H85" s="420">
        <v>30898</v>
      </c>
      <c r="I85" s="421">
        <f>+G85/H85</f>
        <v>10.803838436144733</v>
      </c>
      <c r="J85" s="329"/>
    </row>
    <row r="86" spans="1:10" ht="12.75">
      <c r="A86" s="209">
        <v>82</v>
      </c>
      <c r="B86" s="253" t="s">
        <v>277</v>
      </c>
      <c r="C86" s="248">
        <v>40309</v>
      </c>
      <c r="D86" s="352" t="s">
        <v>240</v>
      </c>
      <c r="E86" s="353">
        <v>71</v>
      </c>
      <c r="F86" s="353">
        <v>9</v>
      </c>
      <c r="G86" s="246">
        <v>330823</v>
      </c>
      <c r="H86" s="247">
        <v>34646</v>
      </c>
      <c r="I86" s="293">
        <f>+G86/H86</f>
        <v>9.548663626392656</v>
      </c>
      <c r="J86" s="329"/>
    </row>
    <row r="87" spans="1:10" ht="12.75">
      <c r="A87" s="209">
        <v>83</v>
      </c>
      <c r="B87" s="213" t="s">
        <v>197</v>
      </c>
      <c r="C87" s="248">
        <v>40256</v>
      </c>
      <c r="D87" s="352" t="s">
        <v>263</v>
      </c>
      <c r="E87" s="353">
        <v>25</v>
      </c>
      <c r="F87" s="353">
        <v>20</v>
      </c>
      <c r="G87" s="419">
        <v>321144</v>
      </c>
      <c r="H87" s="420">
        <v>33567</v>
      </c>
      <c r="I87" s="421">
        <f>+G87/H87</f>
        <v>9.5672535525963</v>
      </c>
      <c r="J87" s="329"/>
    </row>
    <row r="88" spans="1:10" ht="12.75">
      <c r="A88" s="209">
        <v>84</v>
      </c>
      <c r="B88" s="213" t="s">
        <v>276</v>
      </c>
      <c r="C88" s="248">
        <v>40340</v>
      </c>
      <c r="D88" s="352" t="s">
        <v>259</v>
      </c>
      <c r="E88" s="353">
        <v>52</v>
      </c>
      <c r="F88" s="353">
        <v>10</v>
      </c>
      <c r="G88" s="419">
        <f>144139+109152+40981+11023.5+7232+3244+3575+474+519+592</f>
        <v>320931.5</v>
      </c>
      <c r="H88" s="420">
        <f>14650+11055+5395+1581+974+426+476+53+94+99</f>
        <v>34803</v>
      </c>
      <c r="I88" s="421">
        <f>+G88/H88</f>
        <v>9.221374594144184</v>
      </c>
      <c r="J88" s="414"/>
    </row>
    <row r="89" spans="1:10" ht="12.75">
      <c r="A89" s="209">
        <v>85</v>
      </c>
      <c r="B89" s="213" t="s">
        <v>320</v>
      </c>
      <c r="C89" s="237">
        <v>40277</v>
      </c>
      <c r="D89" s="210" t="s">
        <v>241</v>
      </c>
      <c r="E89" s="397">
        <v>65</v>
      </c>
      <c r="F89" s="397">
        <v>9</v>
      </c>
      <c r="G89" s="404">
        <f>309621+745</f>
        <v>310366</v>
      </c>
      <c r="H89" s="405">
        <f>37154+142</f>
        <v>37296</v>
      </c>
      <c r="I89" s="400">
        <f>+G89/H89</f>
        <v>8.321696696696696</v>
      </c>
      <c r="J89" s="329">
        <v>1</v>
      </c>
    </row>
    <row r="90" spans="1:10" ht="12.75">
      <c r="A90" s="209">
        <v>86</v>
      </c>
      <c r="B90" s="213" t="s">
        <v>198</v>
      </c>
      <c r="C90" s="248">
        <v>40256</v>
      </c>
      <c r="D90" s="352" t="s">
        <v>242</v>
      </c>
      <c r="E90" s="353">
        <v>64</v>
      </c>
      <c r="F90" s="353">
        <v>11</v>
      </c>
      <c r="G90" s="419">
        <f>200154.75+75068.75+5354.5+7056.5+4518+1434+3806.5+2237+701+90+161</f>
        <v>300582</v>
      </c>
      <c r="H90" s="420">
        <f>18560+6806+580+1084+703+200+609+357+115+15+25</f>
        <v>29054</v>
      </c>
      <c r="I90" s="421">
        <f>G90/H90</f>
        <v>10.34563227094376</v>
      </c>
      <c r="J90" s="329"/>
    </row>
    <row r="91" spans="1:10" ht="12.75">
      <c r="A91" s="209">
        <v>87</v>
      </c>
      <c r="B91" s="213" t="s">
        <v>229</v>
      </c>
      <c r="C91" s="248">
        <v>40305</v>
      </c>
      <c r="D91" s="352" t="s">
        <v>242</v>
      </c>
      <c r="E91" s="353">
        <v>22</v>
      </c>
      <c r="F91" s="353">
        <v>16</v>
      </c>
      <c r="G91" s="419">
        <f>296367.5+1334+979</f>
        <v>298680.5</v>
      </c>
      <c r="H91" s="420">
        <f>30471+150+155</f>
        <v>30776</v>
      </c>
      <c r="I91" s="421">
        <f>G91/H91</f>
        <v>9.704981154146088</v>
      </c>
      <c r="J91" s="329"/>
    </row>
    <row r="92" spans="1:10" ht="12.75">
      <c r="A92" s="209">
        <v>88</v>
      </c>
      <c r="B92" s="215" t="s">
        <v>321</v>
      </c>
      <c r="C92" s="237">
        <v>40277</v>
      </c>
      <c r="D92" s="210" t="s">
        <v>243</v>
      </c>
      <c r="E92" s="397">
        <v>32</v>
      </c>
      <c r="F92" s="397">
        <v>10</v>
      </c>
      <c r="G92" s="404">
        <v>293343.25</v>
      </c>
      <c r="H92" s="405">
        <v>31910</v>
      </c>
      <c r="I92" s="400">
        <f>+G92/H92</f>
        <v>9.192831400814791</v>
      </c>
      <c r="J92" s="329">
        <v>1</v>
      </c>
    </row>
    <row r="93" spans="1:10" ht="12.75">
      <c r="A93" s="209">
        <v>89</v>
      </c>
      <c r="B93" s="213" t="s">
        <v>70</v>
      </c>
      <c r="C93" s="248">
        <v>40228</v>
      </c>
      <c r="D93" s="352" t="s">
        <v>242</v>
      </c>
      <c r="E93" s="353">
        <v>17</v>
      </c>
      <c r="F93" s="353">
        <v>26</v>
      </c>
      <c r="G93" s="419">
        <f>289107+1009.5+669+336</f>
        <v>291121.5</v>
      </c>
      <c r="H93" s="420">
        <f>30560+127+85+56</f>
        <v>30828</v>
      </c>
      <c r="I93" s="421">
        <f>G93/H93</f>
        <v>9.44341183339821</v>
      </c>
      <c r="J93" s="329"/>
    </row>
    <row r="94" spans="1:10" ht="12.75">
      <c r="A94" s="209">
        <v>90</v>
      </c>
      <c r="B94" s="253" t="s">
        <v>249</v>
      </c>
      <c r="C94" s="248">
        <v>40291</v>
      </c>
      <c r="D94" s="352" t="s">
        <v>242</v>
      </c>
      <c r="E94" s="353">
        <v>40</v>
      </c>
      <c r="F94" s="353">
        <v>16</v>
      </c>
      <c r="G94" s="246">
        <v>272412</v>
      </c>
      <c r="H94" s="247">
        <v>35341</v>
      </c>
      <c r="I94" s="293">
        <v>7.708101072408817</v>
      </c>
      <c r="J94" s="329"/>
    </row>
    <row r="95" spans="1:10" ht="12.75">
      <c r="A95" s="209">
        <v>91</v>
      </c>
      <c r="B95" s="253" t="s">
        <v>313</v>
      </c>
      <c r="C95" s="248">
        <v>40235</v>
      </c>
      <c r="D95" s="352" t="s">
        <v>241</v>
      </c>
      <c r="E95" s="353">
        <v>91</v>
      </c>
      <c r="F95" s="353">
        <v>12</v>
      </c>
      <c r="G95" s="246">
        <v>272173</v>
      </c>
      <c r="H95" s="247">
        <v>34380</v>
      </c>
      <c r="I95" s="293">
        <f aca="true" t="shared" si="4" ref="I95:I105">+G95/H95</f>
        <v>7.916608493310064</v>
      </c>
      <c r="J95" s="329">
        <v>1</v>
      </c>
    </row>
    <row r="96" spans="1:10" ht="12.75">
      <c r="A96" s="209">
        <v>92</v>
      </c>
      <c r="B96" s="213" t="s">
        <v>217</v>
      </c>
      <c r="C96" s="248">
        <v>40284</v>
      </c>
      <c r="D96" s="352" t="s">
        <v>263</v>
      </c>
      <c r="E96" s="353">
        <v>30</v>
      </c>
      <c r="F96" s="353">
        <v>20</v>
      </c>
      <c r="G96" s="419">
        <v>268851</v>
      </c>
      <c r="H96" s="420">
        <v>30621</v>
      </c>
      <c r="I96" s="421">
        <f t="shared" si="4"/>
        <v>8.779954932889193</v>
      </c>
      <c r="J96" s="329"/>
    </row>
    <row r="97" spans="1:10" ht="12.75">
      <c r="A97" s="209">
        <v>93</v>
      </c>
      <c r="B97" s="214" t="s">
        <v>69</v>
      </c>
      <c r="C97" s="237">
        <v>40228</v>
      </c>
      <c r="D97" s="210" t="s">
        <v>240</v>
      </c>
      <c r="E97" s="397">
        <v>70</v>
      </c>
      <c r="F97" s="397">
        <v>17</v>
      </c>
      <c r="G97" s="404">
        <v>266528</v>
      </c>
      <c r="H97" s="405">
        <v>29571</v>
      </c>
      <c r="I97" s="400">
        <f t="shared" si="4"/>
        <v>9.013154780020967</v>
      </c>
      <c r="J97" s="329"/>
    </row>
    <row r="98" spans="1:10" ht="12.75">
      <c r="A98" s="209">
        <v>94</v>
      </c>
      <c r="B98" s="213" t="s">
        <v>420</v>
      </c>
      <c r="C98" s="248">
        <v>40333</v>
      </c>
      <c r="D98" s="352" t="s">
        <v>263</v>
      </c>
      <c r="E98" s="353">
        <v>90</v>
      </c>
      <c r="F98" s="353">
        <v>13</v>
      </c>
      <c r="G98" s="419">
        <v>263184</v>
      </c>
      <c r="H98" s="420">
        <v>32234</v>
      </c>
      <c r="I98" s="421">
        <f t="shared" si="4"/>
        <v>8.16479493702302</v>
      </c>
      <c r="J98" s="329">
        <v>1</v>
      </c>
    </row>
    <row r="99" spans="1:10" ht="12.75">
      <c r="A99" s="209">
        <v>95</v>
      </c>
      <c r="B99" s="214" t="s">
        <v>185</v>
      </c>
      <c r="C99" s="237">
        <v>40186</v>
      </c>
      <c r="D99" s="210" t="s">
        <v>241</v>
      </c>
      <c r="E99" s="397">
        <v>59</v>
      </c>
      <c r="F99" s="397">
        <v>6</v>
      </c>
      <c r="G99" s="404">
        <v>261553</v>
      </c>
      <c r="H99" s="405">
        <v>25914</v>
      </c>
      <c r="I99" s="400">
        <f t="shared" si="4"/>
        <v>10.093115690360422</v>
      </c>
      <c r="J99" s="329"/>
    </row>
    <row r="100" spans="1:10" ht="12.75">
      <c r="A100" s="209">
        <v>96</v>
      </c>
      <c r="B100" s="253" t="s">
        <v>370</v>
      </c>
      <c r="C100" s="248">
        <v>40235</v>
      </c>
      <c r="D100" s="352" t="s">
        <v>240</v>
      </c>
      <c r="E100" s="353">
        <v>46</v>
      </c>
      <c r="F100" s="353">
        <v>24</v>
      </c>
      <c r="G100" s="246">
        <v>259737</v>
      </c>
      <c r="H100" s="247">
        <v>25502</v>
      </c>
      <c r="I100" s="293">
        <f t="shared" si="4"/>
        <v>10.184965885028625</v>
      </c>
      <c r="J100" s="329"/>
    </row>
    <row r="101" spans="1:10" ht="12.75">
      <c r="A101" s="209">
        <v>97</v>
      </c>
      <c r="B101" s="213" t="s">
        <v>417</v>
      </c>
      <c r="C101" s="248">
        <v>40277</v>
      </c>
      <c r="D101" s="210" t="s">
        <v>47</v>
      </c>
      <c r="E101" s="353">
        <v>101</v>
      </c>
      <c r="F101" s="353">
        <v>11</v>
      </c>
      <c r="G101" s="419">
        <f>139056.25+65096+32553+8586+0.5+3919+0.5+4271+1102+240+828+70+409</f>
        <v>256131.25</v>
      </c>
      <c r="H101" s="420">
        <f>17232+8920+4923+1282+584+699+215+38+132+12+63</f>
        <v>34100</v>
      </c>
      <c r="I101" s="421">
        <f t="shared" si="4"/>
        <v>7.511180351906158</v>
      </c>
      <c r="J101" s="329">
        <v>1</v>
      </c>
    </row>
    <row r="102" spans="1:10" ht="12.75">
      <c r="A102" s="209">
        <v>98</v>
      </c>
      <c r="B102" s="213" t="s">
        <v>322</v>
      </c>
      <c r="C102" s="237">
        <v>40256</v>
      </c>
      <c r="D102" s="210" t="s">
        <v>240</v>
      </c>
      <c r="E102" s="397">
        <v>77</v>
      </c>
      <c r="F102" s="397">
        <v>10</v>
      </c>
      <c r="G102" s="404">
        <v>254220</v>
      </c>
      <c r="H102" s="405">
        <v>30104</v>
      </c>
      <c r="I102" s="400">
        <f t="shared" si="4"/>
        <v>8.444724953494552</v>
      </c>
      <c r="J102" s="329">
        <v>1</v>
      </c>
    </row>
    <row r="103" spans="1:10" ht="12.75">
      <c r="A103" s="209">
        <v>99</v>
      </c>
      <c r="B103" s="213" t="s">
        <v>252</v>
      </c>
      <c r="C103" s="248">
        <v>40326</v>
      </c>
      <c r="D103" s="352" t="s">
        <v>101</v>
      </c>
      <c r="E103" s="353">
        <v>45</v>
      </c>
      <c r="F103" s="353">
        <v>14</v>
      </c>
      <c r="G103" s="419">
        <v>250170.5</v>
      </c>
      <c r="H103" s="420">
        <v>30464</v>
      </c>
      <c r="I103" s="421">
        <f t="shared" si="4"/>
        <v>8.212004332983193</v>
      </c>
      <c r="J103" s="329"/>
    </row>
    <row r="104" spans="1:10" ht="12.75">
      <c r="A104" s="209">
        <v>100</v>
      </c>
      <c r="B104" s="214" t="s">
        <v>74</v>
      </c>
      <c r="C104" s="237">
        <v>40186</v>
      </c>
      <c r="D104" s="210" t="s">
        <v>244</v>
      </c>
      <c r="E104" s="397">
        <v>19</v>
      </c>
      <c r="F104" s="397">
        <v>11</v>
      </c>
      <c r="G104" s="404">
        <v>223915</v>
      </c>
      <c r="H104" s="405">
        <v>19044</v>
      </c>
      <c r="I104" s="400">
        <f t="shared" si="4"/>
        <v>11.757771476580551</v>
      </c>
      <c r="J104" s="329"/>
    </row>
    <row r="105" spans="1:10" ht="12.75">
      <c r="A105" s="209">
        <v>101</v>
      </c>
      <c r="B105" s="215" t="s">
        <v>327</v>
      </c>
      <c r="C105" s="237">
        <v>40277</v>
      </c>
      <c r="D105" s="210" t="s">
        <v>263</v>
      </c>
      <c r="E105" s="397">
        <v>107</v>
      </c>
      <c r="F105" s="397">
        <v>10</v>
      </c>
      <c r="G105" s="404">
        <v>216076</v>
      </c>
      <c r="H105" s="405">
        <v>28261</v>
      </c>
      <c r="I105" s="400">
        <f t="shared" si="4"/>
        <v>7.6457308658575425</v>
      </c>
      <c r="J105" s="329">
        <v>1</v>
      </c>
    </row>
    <row r="106" spans="1:10" ht="12.75">
      <c r="A106" s="209">
        <v>102</v>
      </c>
      <c r="B106" s="213" t="s">
        <v>409</v>
      </c>
      <c r="C106" s="248">
        <v>40207</v>
      </c>
      <c r="D106" s="352" t="s">
        <v>242</v>
      </c>
      <c r="E106" s="353">
        <v>43</v>
      </c>
      <c r="F106" s="353">
        <v>19</v>
      </c>
      <c r="G106" s="419">
        <f>197921.25+1391+1783+2124</f>
        <v>203219.25</v>
      </c>
      <c r="H106" s="420">
        <f>28461+236+288+312</f>
        <v>29297</v>
      </c>
      <c r="I106" s="421">
        <f>G106/H106</f>
        <v>6.936520804177902</v>
      </c>
      <c r="J106" s="329">
        <v>1</v>
      </c>
    </row>
    <row r="107" spans="1:10" ht="12.75">
      <c r="A107" s="209">
        <v>103</v>
      </c>
      <c r="B107" s="213" t="s">
        <v>348</v>
      </c>
      <c r="C107" s="248">
        <v>40309</v>
      </c>
      <c r="D107" s="352" t="s">
        <v>240</v>
      </c>
      <c r="E107" s="353">
        <v>13</v>
      </c>
      <c r="F107" s="353">
        <v>12</v>
      </c>
      <c r="G107" s="419">
        <v>198720</v>
      </c>
      <c r="H107" s="420">
        <v>18926</v>
      </c>
      <c r="I107" s="421">
        <f>+G107/H107</f>
        <v>10.499841487900243</v>
      </c>
      <c r="J107" s="329"/>
    </row>
    <row r="108" spans="1:10" ht="12.75">
      <c r="A108" s="209">
        <v>104</v>
      </c>
      <c r="B108" s="253" t="s">
        <v>231</v>
      </c>
      <c r="C108" s="248">
        <v>40263</v>
      </c>
      <c r="D108" s="352" t="s">
        <v>242</v>
      </c>
      <c r="E108" s="353">
        <v>30</v>
      </c>
      <c r="F108" s="353">
        <v>14</v>
      </c>
      <c r="G108" s="246">
        <v>196431.5</v>
      </c>
      <c r="H108" s="247">
        <v>22673</v>
      </c>
      <c r="I108" s="293">
        <v>8.663674855555065</v>
      </c>
      <c r="J108" s="329"/>
    </row>
    <row r="109" spans="1:10" ht="12.75">
      <c r="A109" s="209">
        <v>105</v>
      </c>
      <c r="B109" s="213" t="s">
        <v>291</v>
      </c>
      <c r="C109" s="248">
        <v>40354</v>
      </c>
      <c r="D109" s="352" t="s">
        <v>263</v>
      </c>
      <c r="E109" s="353">
        <v>19</v>
      </c>
      <c r="F109" s="353">
        <v>10</v>
      </c>
      <c r="G109" s="419">
        <v>188957</v>
      </c>
      <c r="H109" s="420">
        <v>17323</v>
      </c>
      <c r="I109" s="421">
        <f>+G109/H109</f>
        <v>10.907868152167639</v>
      </c>
      <c r="J109" s="329"/>
    </row>
    <row r="110" spans="1:10" ht="12.75">
      <c r="A110" s="209">
        <v>106</v>
      </c>
      <c r="B110" s="253" t="s">
        <v>173</v>
      </c>
      <c r="C110" s="248">
        <v>40291</v>
      </c>
      <c r="D110" s="352" t="s">
        <v>242</v>
      </c>
      <c r="E110" s="353">
        <v>12</v>
      </c>
      <c r="F110" s="353">
        <v>18</v>
      </c>
      <c r="G110" s="419">
        <f>177949.5+5454.5+2200.5+1155</f>
        <v>186759.5</v>
      </c>
      <c r="H110" s="420">
        <f>19461+622+289+165</f>
        <v>20537</v>
      </c>
      <c r="I110" s="421">
        <f>G110/H110</f>
        <v>9.093806300822905</v>
      </c>
      <c r="J110" s="329"/>
    </row>
    <row r="111" spans="1:10" ht="12.75">
      <c r="A111" s="209">
        <v>107</v>
      </c>
      <c r="B111" s="213" t="s">
        <v>75</v>
      </c>
      <c r="C111" s="248">
        <v>40235</v>
      </c>
      <c r="D111" s="352" t="s">
        <v>241</v>
      </c>
      <c r="E111" s="353">
        <v>27</v>
      </c>
      <c r="F111" s="353">
        <v>14</v>
      </c>
      <c r="G111" s="419">
        <v>179663</v>
      </c>
      <c r="H111" s="420">
        <v>15565</v>
      </c>
      <c r="I111" s="421">
        <f>+G111/H111</f>
        <v>11.542756183745583</v>
      </c>
      <c r="J111" s="329"/>
    </row>
    <row r="112" spans="1:10" ht="12.75">
      <c r="A112" s="209">
        <v>108</v>
      </c>
      <c r="B112" s="252" t="s">
        <v>311</v>
      </c>
      <c r="C112" s="237">
        <v>40284</v>
      </c>
      <c r="D112" s="211" t="s">
        <v>242</v>
      </c>
      <c r="E112" s="397">
        <v>61</v>
      </c>
      <c r="F112" s="397">
        <v>8</v>
      </c>
      <c r="G112" s="246">
        <f>79187.5+46608+16142.5+7651.5+6684+2420+3260.5+1046</f>
        <v>163000</v>
      </c>
      <c r="H112" s="247">
        <f>8877+5736+2665+1508+1216+433+578+184</f>
        <v>21197</v>
      </c>
      <c r="I112" s="293">
        <f>G112/H112</f>
        <v>7.689767419917913</v>
      </c>
      <c r="J112" s="329"/>
    </row>
    <row r="113" spans="1:10" ht="12.75">
      <c r="A113" s="209">
        <v>109</v>
      </c>
      <c r="B113" s="213" t="s">
        <v>230</v>
      </c>
      <c r="C113" s="237">
        <v>40277</v>
      </c>
      <c r="D113" s="210" t="s">
        <v>203</v>
      </c>
      <c r="E113" s="397">
        <v>9</v>
      </c>
      <c r="F113" s="397">
        <v>11</v>
      </c>
      <c r="G113" s="404">
        <v>158450</v>
      </c>
      <c r="H113" s="405">
        <v>23720</v>
      </c>
      <c r="I113" s="400">
        <f>+G113/H113</f>
        <v>6.680016863406408</v>
      </c>
      <c r="J113" s="329"/>
    </row>
    <row r="114" spans="1:10" ht="12.75">
      <c r="A114" s="209">
        <v>110</v>
      </c>
      <c r="B114" s="213" t="s">
        <v>309</v>
      </c>
      <c r="C114" s="248">
        <v>40319</v>
      </c>
      <c r="D114" s="352" t="s">
        <v>259</v>
      </c>
      <c r="E114" s="353">
        <v>55</v>
      </c>
      <c r="F114" s="353">
        <v>13</v>
      </c>
      <c r="G114" s="419">
        <f>65145+41204+28599.5+10743+2405+0.5+2368+274+127+891+124+545+573+114</f>
        <v>153113</v>
      </c>
      <c r="H114" s="420">
        <f>6350+4165+3879+1659+455+341+36+22+135+21+109+98+19</f>
        <v>17289</v>
      </c>
      <c r="I114" s="293">
        <f>+G114/H114</f>
        <v>8.856093469836312</v>
      </c>
      <c r="J114" s="329"/>
    </row>
    <row r="115" spans="1:10" ht="12.75">
      <c r="A115" s="209">
        <v>111</v>
      </c>
      <c r="B115" s="253" t="s">
        <v>236</v>
      </c>
      <c r="C115" s="248">
        <v>40193</v>
      </c>
      <c r="D115" s="352" t="s">
        <v>242</v>
      </c>
      <c r="E115" s="353">
        <v>17</v>
      </c>
      <c r="F115" s="353">
        <v>14</v>
      </c>
      <c r="G115" s="246">
        <f>1080+95415+33267.75+2666+272+903+421+2653+1780+747+58+1376+1549+190+3317</f>
        <v>145694.75</v>
      </c>
      <c r="H115" s="247">
        <f>108+7515+2837+363+32+176+93+719+445+99+9+205+217+27+387</f>
        <v>13232</v>
      </c>
      <c r="I115" s="293">
        <f>G115/H115</f>
        <v>11.010788240628779</v>
      </c>
      <c r="J115" s="329"/>
    </row>
    <row r="116" spans="1:10" ht="12.75">
      <c r="A116" s="209">
        <v>112</v>
      </c>
      <c r="B116" s="213" t="s">
        <v>218</v>
      </c>
      <c r="C116" s="248">
        <v>40284</v>
      </c>
      <c r="D116" s="352" t="s">
        <v>242</v>
      </c>
      <c r="E116" s="353">
        <v>14</v>
      </c>
      <c r="F116" s="353">
        <v>13</v>
      </c>
      <c r="G116" s="419">
        <f>76493+31029+16263+2973.5+5950+1072+478+1719+278+273+129+687+448</f>
        <v>137792.5</v>
      </c>
      <c r="H116" s="420">
        <f>5580+2331+1364+295+742+216+64+225+39+39+18+75+68</f>
        <v>11056</v>
      </c>
      <c r="I116" s="421">
        <f>G116/H116</f>
        <v>12.463142185238784</v>
      </c>
      <c r="J116" s="329"/>
    </row>
    <row r="117" spans="1:10" ht="12.75">
      <c r="A117" s="209">
        <v>113</v>
      </c>
      <c r="B117" s="213" t="s">
        <v>292</v>
      </c>
      <c r="C117" s="248">
        <v>40354</v>
      </c>
      <c r="D117" s="352" t="s">
        <v>242</v>
      </c>
      <c r="E117" s="353">
        <v>20</v>
      </c>
      <c r="F117" s="353">
        <v>10</v>
      </c>
      <c r="G117" s="419">
        <f>105752.5+7763.5+8950+6906</f>
        <v>129372</v>
      </c>
      <c r="H117" s="420">
        <f>12388+1198+1376+1184</f>
        <v>16146</v>
      </c>
      <c r="I117" s="421">
        <f>G117/H117</f>
        <v>8.012634708286882</v>
      </c>
      <c r="J117" s="329"/>
    </row>
    <row r="118" spans="1:10" ht="12.75">
      <c r="A118" s="209">
        <v>114</v>
      </c>
      <c r="B118" s="213" t="s">
        <v>413</v>
      </c>
      <c r="C118" s="248">
        <v>40284</v>
      </c>
      <c r="D118" s="352" t="s">
        <v>242</v>
      </c>
      <c r="E118" s="353">
        <v>14</v>
      </c>
      <c r="F118" s="353">
        <v>15</v>
      </c>
      <c r="G118" s="419">
        <f>45403.5+26416+19522+5885+5520+2576+2604+1325+840+957.5+196+2970+1095+960+1330</f>
        <v>117600</v>
      </c>
      <c r="H118" s="420">
        <f>4053+2594+2599+732+962+495+470+215+146+347+28+743+229+194+270</f>
        <v>14077</v>
      </c>
      <c r="I118" s="421">
        <f>G118/H118</f>
        <v>8.35405271009448</v>
      </c>
      <c r="J118" s="329">
        <v>1</v>
      </c>
    </row>
    <row r="119" spans="1:10" ht="12.75">
      <c r="A119" s="209">
        <v>115</v>
      </c>
      <c r="B119" s="213" t="s">
        <v>186</v>
      </c>
      <c r="C119" s="248">
        <v>40179</v>
      </c>
      <c r="D119" s="352" t="s">
        <v>242</v>
      </c>
      <c r="E119" s="353">
        <v>8</v>
      </c>
      <c r="F119" s="353">
        <v>19</v>
      </c>
      <c r="G119" s="419">
        <f>61026+19560+4475+1071+144+9277.5+1552+556+2995+1900+2085+1949.5+2324+773+1997+890+271+143+460</f>
        <v>113449</v>
      </c>
      <c r="H119" s="420">
        <f>4540+1674+518+171+26+988+221+91+392+265+285+283+369+141+477+103+49+20+46</f>
        <v>10659</v>
      </c>
      <c r="I119" s="421">
        <f>G119/H119</f>
        <v>10.64349376114082</v>
      </c>
      <c r="J119" s="414"/>
    </row>
    <row r="120" spans="1:10" ht="12.75">
      <c r="A120" s="209">
        <v>116</v>
      </c>
      <c r="B120" s="213" t="s">
        <v>338</v>
      </c>
      <c r="C120" s="248">
        <v>40291</v>
      </c>
      <c r="D120" s="352" t="s">
        <v>263</v>
      </c>
      <c r="E120" s="353">
        <v>30</v>
      </c>
      <c r="F120" s="353">
        <v>16</v>
      </c>
      <c r="G120" s="419">
        <v>108311</v>
      </c>
      <c r="H120" s="420">
        <v>11842</v>
      </c>
      <c r="I120" s="421">
        <f>+G120/H120</f>
        <v>9.146343523053538</v>
      </c>
      <c r="J120" s="329"/>
    </row>
    <row r="121" spans="1:10" ht="12.75">
      <c r="A121" s="209">
        <v>117</v>
      </c>
      <c r="B121" s="213" t="s">
        <v>365</v>
      </c>
      <c r="C121" s="248">
        <v>40389</v>
      </c>
      <c r="D121" s="352" t="s">
        <v>242</v>
      </c>
      <c r="E121" s="353">
        <v>19</v>
      </c>
      <c r="F121" s="353">
        <v>5</v>
      </c>
      <c r="G121" s="419">
        <f>69032+15425.5+9802+4755.5</f>
        <v>99015</v>
      </c>
      <c r="H121" s="420">
        <f>5509+1589+1417+704</f>
        <v>9219</v>
      </c>
      <c r="I121" s="421">
        <f>G121/H121</f>
        <v>10.740318906605923</v>
      </c>
      <c r="J121" s="329"/>
    </row>
    <row r="122" spans="1:10" ht="12.75">
      <c r="A122" s="209">
        <v>118</v>
      </c>
      <c r="B122" s="213" t="s">
        <v>363</v>
      </c>
      <c r="C122" s="248">
        <v>40396</v>
      </c>
      <c r="D122" s="352" t="s">
        <v>240</v>
      </c>
      <c r="E122" s="353">
        <v>20</v>
      </c>
      <c r="F122" s="353">
        <v>4</v>
      </c>
      <c r="G122" s="419">
        <v>97619</v>
      </c>
      <c r="H122" s="420">
        <v>8595</v>
      </c>
      <c r="I122" s="421">
        <f>+G122/H122</f>
        <v>11.357649796393252</v>
      </c>
      <c r="J122" s="329"/>
    </row>
    <row r="123" spans="1:10" ht="12.75">
      <c r="A123" s="209">
        <v>119</v>
      </c>
      <c r="B123" s="253" t="s">
        <v>323</v>
      </c>
      <c r="C123" s="248">
        <v>40249</v>
      </c>
      <c r="D123" s="249" t="s">
        <v>241</v>
      </c>
      <c r="E123" s="353">
        <v>26</v>
      </c>
      <c r="F123" s="353">
        <v>14</v>
      </c>
      <c r="G123" s="246">
        <v>97094</v>
      </c>
      <c r="H123" s="247">
        <v>11937</v>
      </c>
      <c r="I123" s="293">
        <f>+G123/H123</f>
        <v>8.133869481444249</v>
      </c>
      <c r="J123" s="329">
        <v>1</v>
      </c>
    </row>
    <row r="124" spans="1:10" ht="12.75">
      <c r="A124" s="209">
        <v>120</v>
      </c>
      <c r="B124" s="213" t="s">
        <v>402</v>
      </c>
      <c r="C124" s="248">
        <v>40410</v>
      </c>
      <c r="D124" s="210" t="s">
        <v>47</v>
      </c>
      <c r="E124" s="353">
        <v>40</v>
      </c>
      <c r="F124" s="353">
        <v>2</v>
      </c>
      <c r="G124" s="419">
        <f>61140.5+34139</f>
        <v>95279.5</v>
      </c>
      <c r="H124" s="420">
        <f>6231+3812</f>
        <v>10043</v>
      </c>
      <c r="I124" s="421">
        <f>+G124/H124</f>
        <v>9.48715523250025</v>
      </c>
      <c r="J124" s="329"/>
    </row>
    <row r="125" spans="1:10" ht="12.75">
      <c r="A125" s="209">
        <v>121</v>
      </c>
      <c r="B125" s="213" t="s">
        <v>191</v>
      </c>
      <c r="C125" s="237">
        <v>40249</v>
      </c>
      <c r="D125" s="210" t="s">
        <v>78</v>
      </c>
      <c r="E125" s="397" t="s">
        <v>207</v>
      </c>
      <c r="F125" s="397" t="s">
        <v>122</v>
      </c>
      <c r="G125" s="404">
        <v>88294</v>
      </c>
      <c r="H125" s="405">
        <v>7677</v>
      </c>
      <c r="I125" s="400">
        <f>+G125/H125</f>
        <v>11.501107203334636</v>
      </c>
      <c r="J125" s="329"/>
    </row>
    <row r="126" spans="1:10" ht="12.75">
      <c r="A126" s="209">
        <v>122</v>
      </c>
      <c r="B126" s="213" t="s">
        <v>401</v>
      </c>
      <c r="C126" s="248">
        <v>40417</v>
      </c>
      <c r="D126" s="352" t="s">
        <v>242</v>
      </c>
      <c r="E126" s="353">
        <v>25</v>
      </c>
      <c r="F126" s="353">
        <v>1</v>
      </c>
      <c r="G126" s="419">
        <v>87475.5</v>
      </c>
      <c r="H126" s="420">
        <v>7817</v>
      </c>
      <c r="I126" s="421">
        <f>G126/H126</f>
        <v>11.190418319048229</v>
      </c>
      <c r="J126" s="329"/>
    </row>
    <row r="127" spans="1:10" ht="12.75">
      <c r="A127" s="209">
        <v>123</v>
      </c>
      <c r="B127" s="213" t="s">
        <v>227</v>
      </c>
      <c r="C127" s="248">
        <v>40298</v>
      </c>
      <c r="D127" s="352" t="s">
        <v>242</v>
      </c>
      <c r="E127" s="353">
        <v>10</v>
      </c>
      <c r="F127" s="353">
        <v>17</v>
      </c>
      <c r="G127" s="419">
        <f>83892.5+865+192+477</f>
        <v>85426.5</v>
      </c>
      <c r="H127" s="420">
        <f>10300+144+24+59</f>
        <v>10527</v>
      </c>
      <c r="I127" s="421">
        <f>G127/H127</f>
        <v>8.114990025648332</v>
      </c>
      <c r="J127" s="329"/>
    </row>
    <row r="128" spans="1:10" ht="12.75">
      <c r="A128" s="209">
        <v>124</v>
      </c>
      <c r="B128" s="213" t="s">
        <v>181</v>
      </c>
      <c r="C128" s="248">
        <v>40186</v>
      </c>
      <c r="D128" s="352" t="s">
        <v>242</v>
      </c>
      <c r="E128" s="353">
        <v>4</v>
      </c>
      <c r="F128" s="353">
        <v>32</v>
      </c>
      <c r="G128" s="419">
        <f>83443.75+1230+270+181</f>
        <v>85124.75</v>
      </c>
      <c r="H128" s="420">
        <f>11555+209+47+34</f>
        <v>11845</v>
      </c>
      <c r="I128" s="421">
        <f>G128/H128</f>
        <v>7.1865555086534405</v>
      </c>
      <c r="J128" s="329"/>
    </row>
    <row r="129" spans="1:10" ht="12.75">
      <c r="A129" s="209">
        <v>125</v>
      </c>
      <c r="B129" s="213" t="s">
        <v>396</v>
      </c>
      <c r="C129" s="248">
        <v>40312</v>
      </c>
      <c r="D129" s="352" t="s">
        <v>263</v>
      </c>
      <c r="E129" s="353">
        <v>10</v>
      </c>
      <c r="F129" s="353">
        <v>15</v>
      </c>
      <c r="G129" s="419">
        <v>68043</v>
      </c>
      <c r="H129" s="420">
        <v>7658</v>
      </c>
      <c r="I129" s="421">
        <f>+G129/H129</f>
        <v>8.885218072603813</v>
      </c>
      <c r="J129" s="414">
        <v>1</v>
      </c>
    </row>
    <row r="130" spans="1:10" ht="12.75">
      <c r="A130" s="209">
        <v>126</v>
      </c>
      <c r="B130" s="213" t="s">
        <v>364</v>
      </c>
      <c r="C130" s="248">
        <v>40396</v>
      </c>
      <c r="D130" s="352" t="s">
        <v>242</v>
      </c>
      <c r="E130" s="353">
        <v>9</v>
      </c>
      <c r="F130" s="353">
        <v>4</v>
      </c>
      <c r="G130" s="419">
        <f>35838.5+19069+5228+4095</f>
        <v>64230.5</v>
      </c>
      <c r="H130" s="420">
        <f>2652+1665+667+612</f>
        <v>5596</v>
      </c>
      <c r="I130" s="421">
        <f>G130/H130</f>
        <v>11.477930664760544</v>
      </c>
      <c r="J130" s="329"/>
    </row>
    <row r="131" spans="1:10" ht="12.75">
      <c r="A131" s="209">
        <v>127</v>
      </c>
      <c r="B131" s="213" t="s">
        <v>382</v>
      </c>
      <c r="C131" s="248">
        <v>40284</v>
      </c>
      <c r="D131" s="352" t="s">
        <v>259</v>
      </c>
      <c r="E131" s="353">
        <v>32</v>
      </c>
      <c r="F131" s="353">
        <v>14</v>
      </c>
      <c r="G131" s="419">
        <f>25031+15339.5+12428.5+2261+270+108+687+1676+451+1016+1919+460+410+98</f>
        <v>62155</v>
      </c>
      <c r="H131" s="420">
        <f>2922+2015+1892+316+45+18+122+301+88+170+320+79+71+17</f>
        <v>8376</v>
      </c>
      <c r="I131" s="293">
        <f>+G131/H131</f>
        <v>7.420606494746896</v>
      </c>
      <c r="J131" s="329">
        <v>1</v>
      </c>
    </row>
    <row r="132" spans="1:10" ht="12.75">
      <c r="A132" s="209">
        <v>128</v>
      </c>
      <c r="B132" s="213" t="s">
        <v>298</v>
      </c>
      <c r="C132" s="248">
        <v>40361</v>
      </c>
      <c r="D132" s="352" t="s">
        <v>299</v>
      </c>
      <c r="E132" s="353">
        <v>15</v>
      </c>
      <c r="F132" s="353">
        <v>8</v>
      </c>
      <c r="G132" s="419">
        <v>61163</v>
      </c>
      <c r="H132" s="420">
        <v>5926</v>
      </c>
      <c r="I132" s="421">
        <f>+G132/H132</f>
        <v>10.32112723590955</v>
      </c>
      <c r="J132" s="414"/>
    </row>
    <row r="133" spans="1:10" ht="12.75">
      <c r="A133" s="209">
        <v>129</v>
      </c>
      <c r="B133" s="213" t="s">
        <v>192</v>
      </c>
      <c r="C133" s="248">
        <v>40249</v>
      </c>
      <c r="D133" s="352" t="s">
        <v>242</v>
      </c>
      <c r="E133" s="353">
        <v>1</v>
      </c>
      <c r="F133" s="353">
        <v>17</v>
      </c>
      <c r="G133" s="419">
        <f>13599.5+20829+12139+2892+1300+2783.5+2376+910+865.5+135.5+307+704+665+619+402+128+13.5+224</f>
        <v>60892.5</v>
      </c>
      <c r="H133" s="420">
        <f>894+1348+783+335+154+243+594+81+119+17+54+80+88+69+48+18+2+32</f>
        <v>4959</v>
      </c>
      <c r="I133" s="421">
        <f>G133/H133</f>
        <v>12.279189352692075</v>
      </c>
      <c r="J133" s="329"/>
    </row>
    <row r="134" spans="1:10" ht="12.75">
      <c r="A134" s="209">
        <v>130</v>
      </c>
      <c r="B134" s="213" t="s">
        <v>423</v>
      </c>
      <c r="C134" s="248">
        <v>40361</v>
      </c>
      <c r="D134" s="352" t="s">
        <v>289</v>
      </c>
      <c r="E134" s="353" t="s">
        <v>79</v>
      </c>
      <c r="F134" s="353" t="s">
        <v>156</v>
      </c>
      <c r="G134" s="419">
        <v>56991</v>
      </c>
      <c r="H134" s="420">
        <v>7439</v>
      </c>
      <c r="I134" s="421">
        <f>+G134/H134</f>
        <v>7.661110364296277</v>
      </c>
      <c r="J134" s="329"/>
    </row>
    <row r="135" spans="1:10" ht="12.75">
      <c r="A135" s="209">
        <v>131</v>
      </c>
      <c r="B135" s="213" t="s">
        <v>202</v>
      </c>
      <c r="C135" s="248">
        <v>40263</v>
      </c>
      <c r="D135" s="352" t="s">
        <v>244</v>
      </c>
      <c r="E135" s="353">
        <v>10</v>
      </c>
      <c r="F135" s="353">
        <v>9</v>
      </c>
      <c r="G135" s="419">
        <v>56599</v>
      </c>
      <c r="H135" s="420">
        <v>5098</v>
      </c>
      <c r="I135" s="293">
        <f>G135/H135</f>
        <v>11.102196939976462</v>
      </c>
      <c r="J135" s="329"/>
    </row>
    <row r="136" spans="1:10" ht="12.75">
      <c r="A136" s="209">
        <v>132</v>
      </c>
      <c r="B136" s="213" t="s">
        <v>72</v>
      </c>
      <c r="C136" s="237">
        <v>40228</v>
      </c>
      <c r="D136" s="210" t="s">
        <v>245</v>
      </c>
      <c r="E136" s="397">
        <v>15</v>
      </c>
      <c r="F136" s="397">
        <v>13</v>
      </c>
      <c r="G136" s="404">
        <v>52635</v>
      </c>
      <c r="H136" s="405">
        <v>5884</v>
      </c>
      <c r="I136" s="400">
        <f>G136/H136</f>
        <v>8.945445275322909</v>
      </c>
      <c r="J136" s="329"/>
    </row>
    <row r="137" spans="1:10" ht="12.75">
      <c r="A137" s="209">
        <v>133</v>
      </c>
      <c r="B137" s="253" t="s">
        <v>180</v>
      </c>
      <c r="C137" s="248">
        <v>40186</v>
      </c>
      <c r="D137" s="352" t="s">
        <v>242</v>
      </c>
      <c r="E137" s="353">
        <v>4</v>
      </c>
      <c r="F137" s="353">
        <v>27</v>
      </c>
      <c r="G137" s="419">
        <f>47709+373</f>
        <v>48082</v>
      </c>
      <c r="H137" s="420">
        <f>6734+51</f>
        <v>6785</v>
      </c>
      <c r="I137" s="421">
        <v>7.084793584793585</v>
      </c>
      <c r="J137" s="329"/>
    </row>
    <row r="138" spans="1:10" ht="12.75">
      <c r="A138" s="209">
        <v>134</v>
      </c>
      <c r="B138" s="213" t="s">
        <v>278</v>
      </c>
      <c r="C138" s="248">
        <v>40340</v>
      </c>
      <c r="D138" s="352" t="s">
        <v>242</v>
      </c>
      <c r="E138" s="353">
        <v>4</v>
      </c>
      <c r="F138" s="353">
        <v>12</v>
      </c>
      <c r="G138" s="419">
        <f>44210.5+417.5+781.5+1518</f>
        <v>46927.5</v>
      </c>
      <c r="H138" s="420">
        <f>5336+57+129+237</f>
        <v>5759</v>
      </c>
      <c r="I138" s="421">
        <f>G138/H138</f>
        <v>8.148550095502692</v>
      </c>
      <c r="J138" s="329"/>
    </row>
    <row r="139" spans="1:10" ht="12.75">
      <c r="A139" s="209">
        <v>135</v>
      </c>
      <c r="B139" s="213" t="s">
        <v>282</v>
      </c>
      <c r="C139" s="248">
        <v>40284</v>
      </c>
      <c r="D139" s="352" t="s">
        <v>263</v>
      </c>
      <c r="E139" s="353">
        <v>1</v>
      </c>
      <c r="F139" s="353">
        <v>17</v>
      </c>
      <c r="G139" s="419">
        <v>43744</v>
      </c>
      <c r="H139" s="420">
        <v>3526</v>
      </c>
      <c r="I139" s="421">
        <f>+G139/H139</f>
        <v>12.406125921724334</v>
      </c>
      <c r="J139" s="329"/>
    </row>
    <row r="140" spans="1:10" ht="12.75">
      <c r="A140" s="209">
        <v>136</v>
      </c>
      <c r="B140" s="213" t="s">
        <v>238</v>
      </c>
      <c r="C140" s="248">
        <v>40312</v>
      </c>
      <c r="D140" s="352" t="s">
        <v>242</v>
      </c>
      <c r="E140" s="353">
        <v>8</v>
      </c>
      <c r="F140" s="353">
        <v>15</v>
      </c>
      <c r="G140" s="419">
        <f>41764.5+663+13.5</f>
        <v>42441</v>
      </c>
      <c r="H140" s="420">
        <f>4847+89+1</f>
        <v>4937</v>
      </c>
      <c r="I140" s="421">
        <f>G140/H140</f>
        <v>8.596516102896496</v>
      </c>
      <c r="J140" s="414"/>
    </row>
    <row r="141" spans="1:10" ht="12.75">
      <c r="A141" s="209">
        <v>137</v>
      </c>
      <c r="B141" s="213" t="s">
        <v>265</v>
      </c>
      <c r="C141" s="248">
        <v>40333</v>
      </c>
      <c r="D141" s="352" t="s">
        <v>242</v>
      </c>
      <c r="E141" s="353">
        <v>5</v>
      </c>
      <c r="F141" s="353">
        <v>13</v>
      </c>
      <c r="G141" s="419">
        <f>36730.5+564+1413+1445</f>
        <v>40152.5</v>
      </c>
      <c r="H141" s="420">
        <f>3877+97+237+234</f>
        <v>4445</v>
      </c>
      <c r="I141" s="421">
        <f>G141/H141</f>
        <v>9.03318335208099</v>
      </c>
      <c r="J141" s="329"/>
    </row>
    <row r="142" spans="1:10" ht="12.75">
      <c r="A142" s="209">
        <v>138</v>
      </c>
      <c r="B142" s="213" t="s">
        <v>300</v>
      </c>
      <c r="C142" s="248">
        <v>40361</v>
      </c>
      <c r="D142" s="352" t="s">
        <v>242</v>
      </c>
      <c r="E142" s="353">
        <v>6</v>
      </c>
      <c r="F142" s="353">
        <v>9</v>
      </c>
      <c r="G142" s="419">
        <f>31734.5+2495+3417.5+2187</f>
        <v>39834</v>
      </c>
      <c r="H142" s="420">
        <f>4397+343+476+338</f>
        <v>5554</v>
      </c>
      <c r="I142" s="421">
        <f>G142/H142</f>
        <v>7.17212819589485</v>
      </c>
      <c r="J142" s="329"/>
    </row>
    <row r="143" spans="1:11" ht="12.75">
      <c r="A143" s="209">
        <v>139</v>
      </c>
      <c r="B143" s="213" t="s">
        <v>375</v>
      </c>
      <c r="C143" s="248">
        <v>40312</v>
      </c>
      <c r="D143" s="352" t="s">
        <v>242</v>
      </c>
      <c r="E143" s="353">
        <v>8</v>
      </c>
      <c r="F143" s="353">
        <v>12</v>
      </c>
      <c r="G143" s="419">
        <f>11419+8785+5156+2785+1106+3896+1423+288+1100+1758+52+1782</f>
        <v>39550</v>
      </c>
      <c r="H143" s="420">
        <f>1790+1231+837+402+194+550+230+52+227+418+8+445</f>
        <v>6384</v>
      </c>
      <c r="I143" s="293">
        <f>G143/H143</f>
        <v>6.1951754385964914</v>
      </c>
      <c r="J143" s="329">
        <v>1</v>
      </c>
      <c r="K143" s="208"/>
    </row>
    <row r="144" spans="1:11" ht="12.75">
      <c r="A144" s="209">
        <v>140</v>
      </c>
      <c r="B144" s="253" t="s">
        <v>226</v>
      </c>
      <c r="C144" s="237">
        <v>40298</v>
      </c>
      <c r="D144" s="210" t="s">
        <v>219</v>
      </c>
      <c r="E144" s="397">
        <v>6</v>
      </c>
      <c r="F144" s="353">
        <v>7</v>
      </c>
      <c r="G144" s="408">
        <v>38823</v>
      </c>
      <c r="H144" s="409">
        <v>3279</v>
      </c>
      <c r="I144" s="401">
        <f>+G144/H144</f>
        <v>11.83989021043001</v>
      </c>
      <c r="J144" s="329"/>
      <c r="K144" s="208"/>
    </row>
    <row r="145" spans="1:11" ht="12.75">
      <c r="A145" s="209">
        <v>141</v>
      </c>
      <c r="B145" s="253" t="s">
        <v>187</v>
      </c>
      <c r="C145" s="248">
        <v>40186</v>
      </c>
      <c r="D145" s="352" t="s">
        <v>242</v>
      </c>
      <c r="E145" s="353">
        <v>1</v>
      </c>
      <c r="F145" s="353">
        <v>20</v>
      </c>
      <c r="G145" s="246">
        <f>9061+11823.5+5543+523+1044+255+746+557+1780+515+96+66+549+475.5+1082+190+353+2376+207+1521+43</f>
        <v>38806</v>
      </c>
      <c r="H145" s="247">
        <f>906+798+439+43+88+22+127+99+445+134+32+22+94+63+112+25+49+594+31+149+6</f>
        <v>4278</v>
      </c>
      <c r="I145" s="293">
        <f>G145/H145</f>
        <v>9.071061243571762</v>
      </c>
      <c r="J145" s="329"/>
      <c r="K145" s="208"/>
    </row>
    <row r="146" spans="1:11" ht="12.75">
      <c r="A146" s="209">
        <v>142</v>
      </c>
      <c r="B146" s="213" t="s">
        <v>366</v>
      </c>
      <c r="C146" s="248">
        <v>40396</v>
      </c>
      <c r="D146" s="352" t="s">
        <v>242</v>
      </c>
      <c r="E146" s="353">
        <v>4</v>
      </c>
      <c r="F146" s="353">
        <v>4</v>
      </c>
      <c r="G146" s="419">
        <f>14959+9646+7725+4386</f>
        <v>36716</v>
      </c>
      <c r="H146" s="420">
        <f>1646+1123+1125+547</f>
        <v>4441</v>
      </c>
      <c r="I146" s="421">
        <f>G146/H146</f>
        <v>8.267507318171583</v>
      </c>
      <c r="J146" s="329"/>
      <c r="K146" s="208"/>
    </row>
    <row r="147" spans="1:11" ht="12.75">
      <c r="A147" s="209">
        <v>143</v>
      </c>
      <c r="B147" s="213" t="s">
        <v>416</v>
      </c>
      <c r="C147" s="248">
        <v>40347</v>
      </c>
      <c r="D147" s="352" t="s">
        <v>101</v>
      </c>
      <c r="E147" s="353">
        <v>10</v>
      </c>
      <c r="F147" s="353">
        <v>11</v>
      </c>
      <c r="G147" s="419">
        <v>35118</v>
      </c>
      <c r="H147" s="420">
        <v>4970</v>
      </c>
      <c r="I147" s="421">
        <f>+G147/H147</f>
        <v>7.065995975855131</v>
      </c>
      <c r="J147" s="329">
        <v>1</v>
      </c>
      <c r="K147" s="208"/>
    </row>
    <row r="148" spans="1:10" ht="12.75">
      <c r="A148" s="209">
        <v>144</v>
      </c>
      <c r="B148" s="213" t="s">
        <v>199</v>
      </c>
      <c r="C148" s="248">
        <v>40263</v>
      </c>
      <c r="D148" s="352" t="s">
        <v>242</v>
      </c>
      <c r="E148" s="353">
        <v>8</v>
      </c>
      <c r="F148" s="353">
        <v>14</v>
      </c>
      <c r="G148" s="419">
        <f>18741.5+4264.5+736+360+159+3593.5+2958.5+457+37+669+299+184+117+1188</f>
        <v>33764</v>
      </c>
      <c r="H148" s="420">
        <f>1439+373+103+44+20+789+274+62+5+105+54+31+20+297</f>
        <v>3616</v>
      </c>
      <c r="I148" s="293">
        <f>G148/H148</f>
        <v>9.337389380530974</v>
      </c>
      <c r="J148" s="329"/>
    </row>
    <row r="149" spans="1:10" ht="12.75">
      <c r="A149" s="209">
        <v>145</v>
      </c>
      <c r="B149" s="213">
        <v>9</v>
      </c>
      <c r="C149" s="248">
        <v>40284</v>
      </c>
      <c r="D149" s="352" t="s">
        <v>242</v>
      </c>
      <c r="E149" s="353">
        <v>1</v>
      </c>
      <c r="F149" s="353">
        <v>7</v>
      </c>
      <c r="G149" s="419">
        <f>19938+4162+2098+2376+845+1608+833.5+361</f>
        <v>32221.5</v>
      </c>
      <c r="H149" s="420">
        <f>2614+350+241+594+102+138+113+48</f>
        <v>4200</v>
      </c>
      <c r="I149" s="293">
        <f>G149/H149</f>
        <v>7.671785714285714</v>
      </c>
      <c r="J149" s="329"/>
    </row>
    <row r="150" spans="1:10" ht="12.75">
      <c r="A150" s="209">
        <v>146</v>
      </c>
      <c r="B150" s="253" t="s">
        <v>208</v>
      </c>
      <c r="C150" s="248">
        <v>40277</v>
      </c>
      <c r="D150" s="352" t="s">
        <v>242</v>
      </c>
      <c r="E150" s="353">
        <v>9</v>
      </c>
      <c r="F150" s="353">
        <v>15</v>
      </c>
      <c r="G150" s="246">
        <f>6266+1436.5+3621+3651+3608+2288.5+1885+266+1068+566+2662+169+84+447+101</f>
        <v>28119</v>
      </c>
      <c r="H150" s="247">
        <f>501+153+379+764+538+320+382+38+205+112+349+28+15+146+14</f>
        <v>3944</v>
      </c>
      <c r="I150" s="293">
        <f>G150/H150</f>
        <v>7.129563894523327</v>
      </c>
      <c r="J150" s="329"/>
    </row>
    <row r="151" spans="1:10" ht="12.75">
      <c r="A151" s="209">
        <v>147</v>
      </c>
      <c r="B151" s="214" t="s">
        <v>324</v>
      </c>
      <c r="C151" s="237">
        <v>40277</v>
      </c>
      <c r="D151" s="210" t="s">
        <v>57</v>
      </c>
      <c r="E151" s="397">
        <v>10</v>
      </c>
      <c r="F151" s="397">
        <v>5</v>
      </c>
      <c r="G151" s="404">
        <v>26692</v>
      </c>
      <c r="H151" s="405">
        <v>3511</v>
      </c>
      <c r="I151" s="400">
        <f>+G151/H151</f>
        <v>7.602392480774708</v>
      </c>
      <c r="J151" s="329">
        <v>1</v>
      </c>
    </row>
    <row r="152" spans="1:10" ht="12.75">
      <c r="A152" s="209">
        <v>148</v>
      </c>
      <c r="B152" s="213" t="s">
        <v>275</v>
      </c>
      <c r="C152" s="248">
        <v>40333</v>
      </c>
      <c r="D152" s="352" t="s">
        <v>242</v>
      </c>
      <c r="E152" s="353">
        <v>4</v>
      </c>
      <c r="F152" s="353">
        <v>11</v>
      </c>
      <c r="G152" s="419">
        <f>24273.7+308+483</f>
        <v>25064.7</v>
      </c>
      <c r="H152" s="420">
        <f>2830+67+68</f>
        <v>2965</v>
      </c>
      <c r="I152" s="421">
        <f>G152/H152</f>
        <v>8.453524451939291</v>
      </c>
      <c r="J152" s="414"/>
    </row>
    <row r="153" spans="1:10" ht="12.75">
      <c r="A153" s="209">
        <v>149</v>
      </c>
      <c r="B153" s="213" t="s">
        <v>237</v>
      </c>
      <c r="C153" s="248">
        <v>40312</v>
      </c>
      <c r="D153" s="212" t="s">
        <v>289</v>
      </c>
      <c r="E153" s="398" t="s">
        <v>79</v>
      </c>
      <c r="F153" s="398" t="s">
        <v>122</v>
      </c>
      <c r="G153" s="410">
        <v>24551</v>
      </c>
      <c r="H153" s="411">
        <v>2795</v>
      </c>
      <c r="I153" s="402">
        <f>+G153/H153</f>
        <v>8.783899821109124</v>
      </c>
      <c r="J153" s="329"/>
    </row>
    <row r="154" spans="1:10" ht="12.75">
      <c r="A154" s="209">
        <v>150</v>
      </c>
      <c r="B154" s="213" t="s">
        <v>274</v>
      </c>
      <c r="C154" s="248">
        <v>40333</v>
      </c>
      <c r="D154" s="352" t="s">
        <v>242</v>
      </c>
      <c r="E154" s="353">
        <v>2</v>
      </c>
      <c r="F154" s="353">
        <v>11</v>
      </c>
      <c r="G154" s="419">
        <f>20966+1047+769</f>
        <v>22782</v>
      </c>
      <c r="H154" s="420">
        <f>2304+127+92</f>
        <v>2523</v>
      </c>
      <c r="I154" s="421">
        <f>G154/H154</f>
        <v>9.02972651605232</v>
      </c>
      <c r="J154" s="414"/>
    </row>
    <row r="155" spans="1:10" ht="12.75">
      <c r="A155" s="209">
        <v>151</v>
      </c>
      <c r="B155" s="213" t="s">
        <v>325</v>
      </c>
      <c r="C155" s="237">
        <v>40193</v>
      </c>
      <c r="D155" s="210" t="s">
        <v>240</v>
      </c>
      <c r="E155" s="397">
        <v>35</v>
      </c>
      <c r="F155" s="397">
        <v>3</v>
      </c>
      <c r="G155" s="404">
        <v>21393</v>
      </c>
      <c r="H155" s="405">
        <v>2214</v>
      </c>
      <c r="I155" s="400">
        <f>+G155/H155</f>
        <v>9.66260162601626</v>
      </c>
      <c r="J155" s="329">
        <v>1</v>
      </c>
    </row>
    <row r="156" spans="1:10" ht="12.75">
      <c r="A156" s="209">
        <v>152</v>
      </c>
      <c r="B156" s="253" t="s">
        <v>341</v>
      </c>
      <c r="C156" s="248">
        <v>40256</v>
      </c>
      <c r="D156" s="352" t="s">
        <v>259</v>
      </c>
      <c r="E156" s="353">
        <v>10</v>
      </c>
      <c r="F156" s="353">
        <v>9</v>
      </c>
      <c r="G156" s="246">
        <f>11841.5+3199+707+856.5+521+3603+303+108+126</f>
        <v>21265</v>
      </c>
      <c r="H156" s="247">
        <f>1220+372+104+120+78+721+48+18+21</f>
        <v>2702</v>
      </c>
      <c r="I156" s="293">
        <f>+G156/H156</f>
        <v>7.8700962250185045</v>
      </c>
      <c r="J156" s="329">
        <v>1</v>
      </c>
    </row>
    <row r="157" spans="1:10" ht="12.75">
      <c r="A157" s="209">
        <v>153</v>
      </c>
      <c r="B157" s="213" t="s">
        <v>287</v>
      </c>
      <c r="C157" s="248">
        <v>40347</v>
      </c>
      <c r="D157" s="352" t="s">
        <v>242</v>
      </c>
      <c r="E157" s="353">
        <v>2</v>
      </c>
      <c r="F157" s="353">
        <v>11</v>
      </c>
      <c r="G157" s="419">
        <f>15693+762+1031+1133</f>
        <v>18619</v>
      </c>
      <c r="H157" s="420">
        <f>1559+119+194+179</f>
        <v>2051</v>
      </c>
      <c r="I157" s="421">
        <f aca="true" t="shared" si="5" ref="I157:I162">G157/H157</f>
        <v>9.07801072647489</v>
      </c>
      <c r="J157" s="329"/>
    </row>
    <row r="158" spans="1:10" ht="12.75">
      <c r="A158" s="209">
        <v>154</v>
      </c>
      <c r="B158" s="213" t="s">
        <v>377</v>
      </c>
      <c r="C158" s="248">
        <v>40361</v>
      </c>
      <c r="D158" s="352" t="s">
        <v>242</v>
      </c>
      <c r="E158" s="353">
        <v>3</v>
      </c>
      <c r="F158" s="353">
        <v>9</v>
      </c>
      <c r="G158" s="419">
        <f>15313.5+921+1611.5+584</f>
        <v>18430</v>
      </c>
      <c r="H158" s="420">
        <f>1730+119+201+73</f>
        <v>2123</v>
      </c>
      <c r="I158" s="421">
        <f t="shared" si="5"/>
        <v>8.68111163447951</v>
      </c>
      <c r="J158" s="329"/>
    </row>
    <row r="159" spans="1:10" ht="12.75">
      <c r="A159" s="209">
        <v>155</v>
      </c>
      <c r="B159" s="213" t="s">
        <v>354</v>
      </c>
      <c r="C159" s="248">
        <v>40319</v>
      </c>
      <c r="D159" s="352" t="s">
        <v>242</v>
      </c>
      <c r="E159" s="353">
        <v>2</v>
      </c>
      <c r="F159" s="353">
        <v>13</v>
      </c>
      <c r="G159" s="419">
        <f>4143+1077+726+775+2269+1451+561+189+370+613+538+181+79</f>
        <v>12972</v>
      </c>
      <c r="H159" s="420">
        <f>330+90+108+118+312+209+62+36+139+104+67+25+11</f>
        <v>1611</v>
      </c>
      <c r="I159" s="421">
        <f t="shared" si="5"/>
        <v>8.052141527001861</v>
      </c>
      <c r="J159" s="329"/>
    </row>
    <row r="160" spans="1:10" ht="12.75">
      <c r="A160" s="209">
        <v>156</v>
      </c>
      <c r="B160" s="213" t="s">
        <v>368</v>
      </c>
      <c r="C160" s="248">
        <v>40389</v>
      </c>
      <c r="D160" s="352" t="s">
        <v>242</v>
      </c>
      <c r="E160" s="353">
        <v>3</v>
      </c>
      <c r="F160" s="353">
        <v>5</v>
      </c>
      <c r="G160" s="419">
        <f>6803+1310+2816.5+1204</f>
        <v>12133.5</v>
      </c>
      <c r="H160" s="420">
        <f>678+171+330+139</f>
        <v>1318</v>
      </c>
      <c r="I160" s="421">
        <f t="shared" si="5"/>
        <v>9.205993930197268</v>
      </c>
      <c r="J160" s="329"/>
    </row>
    <row r="161" spans="1:10" ht="12.75">
      <c r="A161" s="209">
        <v>157</v>
      </c>
      <c r="B161" s="253" t="s">
        <v>342</v>
      </c>
      <c r="C161" s="248">
        <v>40326</v>
      </c>
      <c r="D161" s="352" t="s">
        <v>242</v>
      </c>
      <c r="E161" s="353">
        <v>5</v>
      </c>
      <c r="F161" s="353">
        <v>10</v>
      </c>
      <c r="G161" s="246">
        <f>3131+1807+4733+164+167+162+679.5+104+89+124</f>
        <v>11160.5</v>
      </c>
      <c r="H161" s="247">
        <f>295+188+834+31+27+31+102+18+15+20</f>
        <v>1561</v>
      </c>
      <c r="I161" s="293">
        <f t="shared" si="5"/>
        <v>7.149583600256246</v>
      </c>
      <c r="J161" s="329">
        <v>1</v>
      </c>
    </row>
    <row r="162" spans="1:10" ht="12.75">
      <c r="A162" s="209">
        <v>158</v>
      </c>
      <c r="B162" s="213" t="s">
        <v>376</v>
      </c>
      <c r="C162" s="248">
        <v>40389</v>
      </c>
      <c r="D162" s="352" t="s">
        <v>242</v>
      </c>
      <c r="E162" s="353">
        <v>3</v>
      </c>
      <c r="F162" s="353">
        <v>4</v>
      </c>
      <c r="G162" s="419">
        <f>6803+1310+2816.5</f>
        <v>10929.5</v>
      </c>
      <c r="H162" s="420">
        <f>678+171+330</f>
        <v>1179</v>
      </c>
      <c r="I162" s="421">
        <f t="shared" si="5"/>
        <v>9.270144189991518</v>
      </c>
      <c r="J162" s="414"/>
    </row>
    <row r="163" spans="1:10" ht="12.75">
      <c r="A163" s="209">
        <v>159</v>
      </c>
      <c r="B163" s="213" t="s">
        <v>391</v>
      </c>
      <c r="C163" s="248">
        <v>40319</v>
      </c>
      <c r="D163" s="352" t="s">
        <v>242</v>
      </c>
      <c r="E163" s="353">
        <v>6</v>
      </c>
      <c r="F163" s="353">
        <v>10</v>
      </c>
      <c r="G163" s="419">
        <f>8650.5+1568</f>
        <v>10218.5</v>
      </c>
      <c r="H163" s="420">
        <f>1104+389</f>
        <v>1493</v>
      </c>
      <c r="I163" s="421">
        <v>7.835597826086956</v>
      </c>
      <c r="J163" s="414">
        <v>1</v>
      </c>
    </row>
    <row r="164" spans="1:10" ht="12.75">
      <c r="A164" s="209">
        <v>160</v>
      </c>
      <c r="B164" s="213" t="s">
        <v>337</v>
      </c>
      <c r="C164" s="248">
        <v>40375</v>
      </c>
      <c r="D164" s="352" t="s">
        <v>242</v>
      </c>
      <c r="E164" s="353">
        <v>2</v>
      </c>
      <c r="F164" s="353">
        <v>7</v>
      </c>
      <c r="G164" s="419">
        <f>5961+952+178+912.5</f>
        <v>8003.5</v>
      </c>
      <c r="H164" s="420">
        <f>700+123+22+121</f>
        <v>966</v>
      </c>
      <c r="I164" s="421">
        <f>G164/H164</f>
        <v>8.2851966873706</v>
      </c>
      <c r="J164" s="329"/>
    </row>
    <row r="165" spans="1:10" ht="12.75">
      <c r="A165" s="209">
        <v>161</v>
      </c>
      <c r="B165" s="213" t="s">
        <v>182</v>
      </c>
      <c r="C165" s="237">
        <v>40221</v>
      </c>
      <c r="D165" s="211" t="s">
        <v>242</v>
      </c>
      <c r="E165" s="397">
        <v>2</v>
      </c>
      <c r="F165" s="397">
        <v>11</v>
      </c>
      <c r="G165" s="246">
        <f>3272+1637+421+75+72+597+267+311+350+215+419</f>
        <v>7636</v>
      </c>
      <c r="H165" s="247">
        <f>320+180+79+25+24+216+39+43+73+30+55</f>
        <v>1084</v>
      </c>
      <c r="I165" s="293">
        <f>G165/H165</f>
        <v>7.044280442804428</v>
      </c>
      <c r="J165" s="329"/>
    </row>
    <row r="166" spans="1:10" ht="12.75">
      <c r="A166" s="209">
        <v>162</v>
      </c>
      <c r="B166" s="253" t="s">
        <v>360</v>
      </c>
      <c r="C166" s="248">
        <v>40389</v>
      </c>
      <c r="D166" s="352" t="s">
        <v>242</v>
      </c>
      <c r="E166" s="353">
        <v>3</v>
      </c>
      <c r="F166" s="353">
        <v>1</v>
      </c>
      <c r="G166" s="246">
        <f>3853.5</f>
        <v>3853.5</v>
      </c>
      <c r="H166" s="247">
        <f>284</f>
        <v>284</v>
      </c>
      <c r="I166" s="293">
        <f>G166/H166</f>
        <v>13.568661971830986</v>
      </c>
      <c r="J166" s="329"/>
    </row>
    <row r="167" spans="1:10" ht="12.75">
      <c r="A167" s="209">
        <v>163</v>
      </c>
      <c r="B167" s="213" t="s">
        <v>414</v>
      </c>
      <c r="C167" s="248">
        <v>40424</v>
      </c>
      <c r="D167" s="352" t="s">
        <v>241</v>
      </c>
      <c r="E167" s="353">
        <v>64</v>
      </c>
      <c r="F167" s="353" t="s">
        <v>389</v>
      </c>
      <c r="G167" s="419">
        <v>1325</v>
      </c>
      <c r="H167" s="420">
        <v>86</v>
      </c>
      <c r="I167" s="421">
        <f>+G167/H167</f>
        <v>15.406976744186046</v>
      </c>
      <c r="J167" s="329"/>
    </row>
    <row r="168" spans="1:10" ht="12.75" customHeight="1">
      <c r="A168" s="209">
        <v>164</v>
      </c>
      <c r="B168" s="253" t="s">
        <v>279</v>
      </c>
      <c r="C168" s="248">
        <v>40333</v>
      </c>
      <c r="D168" s="352" t="s">
        <v>253</v>
      </c>
      <c r="E168" s="353">
        <v>1</v>
      </c>
      <c r="F168" s="353">
        <v>1</v>
      </c>
      <c r="G168" s="450" t="s">
        <v>361</v>
      </c>
      <c r="H168" s="450"/>
      <c r="I168" s="451"/>
      <c r="J168" s="329"/>
    </row>
    <row r="169" spans="1:10" ht="13.5" customHeight="1" thickBot="1">
      <c r="A169" s="209">
        <v>165</v>
      </c>
      <c r="B169" s="296" t="s">
        <v>326</v>
      </c>
      <c r="C169" s="297">
        <v>40256</v>
      </c>
      <c r="D169" s="403" t="s">
        <v>263</v>
      </c>
      <c r="E169" s="371">
        <v>20</v>
      </c>
      <c r="F169" s="371">
        <v>12</v>
      </c>
      <c r="G169" s="452" t="s">
        <v>361</v>
      </c>
      <c r="H169" s="452"/>
      <c r="I169" s="453"/>
      <c r="J169" s="329"/>
    </row>
    <row r="170" spans="1:10" ht="12.75">
      <c r="A170" s="428"/>
      <c r="B170" s="135"/>
      <c r="C170" s="136"/>
      <c r="D170" s="136"/>
      <c r="E170" s="137"/>
      <c r="F170" s="137"/>
      <c r="G170" s="138"/>
      <c r="H170" s="139"/>
      <c r="I170" s="140"/>
      <c r="J170" s="337"/>
    </row>
  </sheetData>
  <sheetProtection/>
  <mergeCells count="10">
    <mergeCell ref="G168:I168"/>
    <mergeCell ref="G169:I169"/>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K168:L169 K131:L161 K165:L165" numberStoredAsText="1"/>
    <ignoredError sqref="G5:I44" unlockedFormula="1"/>
  </ignoredErrors>
</worksheet>
</file>

<file path=xl/worksheets/sheet3.xml><?xml version="1.0" encoding="utf-8"?>
<worksheet xmlns="http://schemas.openxmlformats.org/spreadsheetml/2006/main" xmlns:r="http://schemas.openxmlformats.org/officeDocument/2006/relationships">
  <dimension ref="A1:P755"/>
  <sheetViews>
    <sheetView zoomScale="86" zoomScaleNormal="86" zoomScalePageLayoutView="0" workbookViewId="0" topLeftCell="B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22"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66" t="s">
        <v>421</v>
      </c>
      <c r="B1" s="467"/>
      <c r="C1" s="467"/>
      <c r="D1" s="467"/>
      <c r="E1" s="467"/>
      <c r="F1" s="467"/>
      <c r="G1" s="468"/>
      <c r="H1" s="468"/>
      <c r="I1" s="468"/>
      <c r="J1" s="468"/>
      <c r="K1" s="468"/>
      <c r="L1" s="468"/>
      <c r="M1" s="468"/>
      <c r="N1" s="468"/>
      <c r="O1" s="299"/>
      <c r="P1" s="40"/>
    </row>
    <row r="2" spans="1:16" s="235" customFormat="1" ht="12">
      <c r="A2" s="233"/>
      <c r="B2" s="469" t="s">
        <v>104</v>
      </c>
      <c r="C2" s="471" t="s">
        <v>141</v>
      </c>
      <c r="D2" s="473" t="s">
        <v>152</v>
      </c>
      <c r="E2" s="464" t="s">
        <v>142</v>
      </c>
      <c r="F2" s="464" t="s">
        <v>149</v>
      </c>
      <c r="G2" s="464" t="s">
        <v>150</v>
      </c>
      <c r="H2" s="475" t="s">
        <v>143</v>
      </c>
      <c r="I2" s="475"/>
      <c r="J2" s="475"/>
      <c r="K2" s="475"/>
      <c r="L2" s="475" t="s">
        <v>144</v>
      </c>
      <c r="M2" s="475"/>
      <c r="N2" s="476"/>
      <c r="O2" s="300"/>
      <c r="P2" s="234"/>
    </row>
    <row r="3" spans="1:16" s="235" customFormat="1" ht="24.75" thickBot="1">
      <c r="A3" s="236"/>
      <c r="B3" s="470"/>
      <c r="C3" s="472"/>
      <c r="D3" s="465"/>
      <c r="E3" s="465"/>
      <c r="F3" s="465"/>
      <c r="G3" s="474"/>
      <c r="H3" s="323" t="s">
        <v>145</v>
      </c>
      <c r="I3" s="324" t="s">
        <v>146</v>
      </c>
      <c r="J3" s="324" t="s">
        <v>135</v>
      </c>
      <c r="K3" s="325" t="s">
        <v>147</v>
      </c>
      <c r="L3" s="323" t="s">
        <v>145</v>
      </c>
      <c r="M3" s="324" t="s">
        <v>146</v>
      </c>
      <c r="N3" s="326" t="s">
        <v>148</v>
      </c>
      <c r="O3" s="300"/>
      <c r="P3" s="234"/>
    </row>
    <row r="4" spans="1:16" ht="15">
      <c r="A4" s="39">
        <v>1</v>
      </c>
      <c r="B4" s="254">
        <v>2012</v>
      </c>
      <c r="C4" s="255">
        <v>40130</v>
      </c>
      <c r="D4" s="256" t="s">
        <v>241</v>
      </c>
      <c r="E4" s="257">
        <v>178</v>
      </c>
      <c r="F4" s="257">
        <v>37</v>
      </c>
      <c r="G4" s="257">
        <v>8</v>
      </c>
      <c r="H4" s="258">
        <f>48622+283</f>
        <v>48905</v>
      </c>
      <c r="I4" s="259">
        <f>7403+116</f>
        <v>7519</v>
      </c>
      <c r="J4" s="260">
        <f aca="true" t="shared" si="0" ref="J4:J9">I4/F4</f>
        <v>203.21621621621622</v>
      </c>
      <c r="K4" s="261">
        <f aca="true" t="shared" si="1" ref="K4:K9">H4/I4</f>
        <v>6.504189386886554</v>
      </c>
      <c r="L4" s="262">
        <f>13107603+48622+283</f>
        <v>13156508</v>
      </c>
      <c r="M4" s="263">
        <f>1468855+7403+116</f>
        <v>1476374</v>
      </c>
      <c r="N4" s="264">
        <f aca="true" t="shared" si="2" ref="N4:N13">+L4/M4</f>
        <v>8.91136527736197</v>
      </c>
      <c r="O4" s="301"/>
      <c r="P4" s="234"/>
    </row>
    <row r="5" spans="1:16" ht="15">
      <c r="A5" s="39">
        <v>2</v>
      </c>
      <c r="B5" s="265">
        <v>2012</v>
      </c>
      <c r="C5" s="26">
        <v>40130</v>
      </c>
      <c r="D5" s="27" t="s">
        <v>241</v>
      </c>
      <c r="E5" s="55">
        <v>178</v>
      </c>
      <c r="F5" s="55">
        <v>25</v>
      </c>
      <c r="G5" s="55">
        <v>9</v>
      </c>
      <c r="H5" s="159">
        <v>29270</v>
      </c>
      <c r="I5" s="160">
        <v>4996</v>
      </c>
      <c r="J5" s="177">
        <f t="shared" si="0"/>
        <v>199.84</v>
      </c>
      <c r="K5" s="180">
        <f t="shared" si="1"/>
        <v>5.858686949559647</v>
      </c>
      <c r="L5" s="178">
        <f>13107603+48622+283+29270</f>
        <v>13185778</v>
      </c>
      <c r="M5" s="179">
        <f>1468855+7403+116+4996</f>
        <v>1481370</v>
      </c>
      <c r="N5" s="266">
        <f t="shared" si="2"/>
        <v>8.901069955514153</v>
      </c>
      <c r="O5" s="302"/>
      <c r="P5" s="234"/>
    </row>
    <row r="6" spans="1:16" ht="15">
      <c r="A6" s="39">
        <v>3</v>
      </c>
      <c r="B6" s="265">
        <v>2012</v>
      </c>
      <c r="C6" s="26">
        <v>40130</v>
      </c>
      <c r="D6" s="27" t="s">
        <v>241</v>
      </c>
      <c r="E6" s="230">
        <v>178</v>
      </c>
      <c r="F6" s="230">
        <v>18</v>
      </c>
      <c r="G6" s="230">
        <v>10</v>
      </c>
      <c r="H6" s="159">
        <v>25563</v>
      </c>
      <c r="I6" s="151">
        <v>4175</v>
      </c>
      <c r="J6" s="153">
        <f t="shared" si="0"/>
        <v>231.94444444444446</v>
      </c>
      <c r="K6" s="155">
        <f t="shared" si="1"/>
        <v>6.122874251497006</v>
      </c>
      <c r="L6" s="178">
        <f>13107603+48622+283+29270+25563</f>
        <v>13211341</v>
      </c>
      <c r="M6" s="158">
        <f>1468855+7403+116+4996+4175</f>
        <v>1485545</v>
      </c>
      <c r="N6" s="266">
        <f t="shared" si="2"/>
        <v>8.893262068803033</v>
      </c>
      <c r="O6" s="303"/>
      <c r="P6" s="234"/>
    </row>
    <row r="7" spans="1:16" ht="15">
      <c r="A7" s="39">
        <v>4</v>
      </c>
      <c r="B7" s="265">
        <v>2012</v>
      </c>
      <c r="C7" s="26">
        <v>40130</v>
      </c>
      <c r="D7" s="27" t="s">
        <v>241</v>
      </c>
      <c r="E7" s="230">
        <v>178</v>
      </c>
      <c r="F7" s="230">
        <v>7</v>
      </c>
      <c r="G7" s="230">
        <v>11</v>
      </c>
      <c r="H7" s="149">
        <v>11036</v>
      </c>
      <c r="I7" s="151">
        <v>2539</v>
      </c>
      <c r="J7" s="153">
        <f t="shared" si="0"/>
        <v>362.7142857142857</v>
      </c>
      <c r="K7" s="155">
        <f t="shared" si="1"/>
        <v>4.346593146908232</v>
      </c>
      <c r="L7" s="157">
        <f>13107603+48622+283+29270+25563+11036</f>
        <v>13222377</v>
      </c>
      <c r="M7" s="158">
        <f>1468855+7403+116+4996+4175+2539</f>
        <v>1488084</v>
      </c>
      <c r="N7" s="266">
        <f t="shared" si="2"/>
        <v>8.885504447329586</v>
      </c>
      <c r="O7" s="303"/>
      <c r="P7" s="234"/>
    </row>
    <row r="8" spans="1:16" ht="15">
      <c r="A8" s="39">
        <v>5</v>
      </c>
      <c r="B8" s="265">
        <v>2012</v>
      </c>
      <c r="C8" s="31">
        <v>40130</v>
      </c>
      <c r="D8" s="27" t="s">
        <v>241</v>
      </c>
      <c r="E8" s="229">
        <v>178</v>
      </c>
      <c r="F8" s="229">
        <v>5</v>
      </c>
      <c r="G8" s="229">
        <v>12</v>
      </c>
      <c r="H8" s="161">
        <v>8708</v>
      </c>
      <c r="I8" s="150">
        <v>1375</v>
      </c>
      <c r="J8" s="152">
        <f t="shared" si="0"/>
        <v>275</v>
      </c>
      <c r="K8" s="154">
        <f t="shared" si="1"/>
        <v>6.333090909090909</v>
      </c>
      <c r="L8" s="156">
        <f>13107603+48622+283+29270+25563+11036+8708</f>
        <v>13231085</v>
      </c>
      <c r="M8" s="152">
        <f>1468855+7403+116+4996+4175+2539+1375</f>
        <v>1489459</v>
      </c>
      <c r="N8" s="267">
        <f t="shared" si="2"/>
        <v>8.883148176619834</v>
      </c>
      <c r="O8" s="304">
        <v>1</v>
      </c>
      <c r="P8" s="234"/>
    </row>
    <row r="9" spans="1:16" ht="15">
      <c r="A9" s="39">
        <v>6</v>
      </c>
      <c r="B9" s="265">
        <v>2012</v>
      </c>
      <c r="C9" s="31">
        <v>40130</v>
      </c>
      <c r="D9" s="32" t="s">
        <v>241</v>
      </c>
      <c r="E9" s="229">
        <v>178</v>
      </c>
      <c r="F9" s="229">
        <v>2</v>
      </c>
      <c r="G9" s="229">
        <v>19</v>
      </c>
      <c r="H9" s="149">
        <v>4964</v>
      </c>
      <c r="I9" s="151">
        <v>1428</v>
      </c>
      <c r="J9" s="152">
        <f t="shared" si="0"/>
        <v>714</v>
      </c>
      <c r="K9" s="154">
        <f t="shared" si="1"/>
        <v>3.4761904761904763</v>
      </c>
      <c r="L9" s="156">
        <f>13244780+2380+4964</f>
        <v>13252124</v>
      </c>
      <c r="M9" s="152">
        <f>1492157+476+1428</f>
        <v>1494061</v>
      </c>
      <c r="N9" s="267">
        <f t="shared" si="2"/>
        <v>8.869868097755045</v>
      </c>
      <c r="O9" s="304"/>
      <c r="P9" s="234"/>
    </row>
    <row r="10" spans="1:16" ht="15">
      <c r="A10" s="39">
        <v>7</v>
      </c>
      <c r="B10" s="265">
        <v>2012</v>
      </c>
      <c r="C10" s="31">
        <v>40130</v>
      </c>
      <c r="D10" s="27" t="s">
        <v>241</v>
      </c>
      <c r="E10" s="229">
        <v>178</v>
      </c>
      <c r="F10" s="229">
        <v>3</v>
      </c>
      <c r="G10" s="229">
        <v>13</v>
      </c>
      <c r="H10" s="161">
        <v>4169</v>
      </c>
      <c r="I10" s="150">
        <v>819</v>
      </c>
      <c r="J10" s="152">
        <f>(I10/F10)</f>
        <v>273</v>
      </c>
      <c r="K10" s="154">
        <f>(J10/G10)</f>
        <v>21</v>
      </c>
      <c r="L10" s="156">
        <f>13231085+4169</f>
        <v>13235254</v>
      </c>
      <c r="M10" s="152">
        <f>1489459+819</f>
        <v>1490278</v>
      </c>
      <c r="N10" s="267">
        <f t="shared" si="2"/>
        <v>8.881063801518911</v>
      </c>
      <c r="O10" s="304"/>
      <c r="P10" s="234"/>
    </row>
    <row r="11" spans="1:16" ht="15">
      <c r="A11" s="39">
        <v>8</v>
      </c>
      <c r="B11" s="265">
        <v>2012</v>
      </c>
      <c r="C11" s="31">
        <v>40130</v>
      </c>
      <c r="D11" s="27" t="s">
        <v>241</v>
      </c>
      <c r="E11" s="229">
        <v>178</v>
      </c>
      <c r="F11" s="229">
        <v>2</v>
      </c>
      <c r="G11" s="229">
        <v>20</v>
      </c>
      <c r="H11" s="161">
        <v>3547</v>
      </c>
      <c r="I11" s="150">
        <v>687</v>
      </c>
      <c r="J11" s="152">
        <f aca="true" t="shared" si="3" ref="J11:J20">I11/F11</f>
        <v>343.5</v>
      </c>
      <c r="K11" s="154">
        <f aca="true" t="shared" si="4" ref="K11:K23">H11/I11</f>
        <v>5.163027656477438</v>
      </c>
      <c r="L11" s="156">
        <v>13255671</v>
      </c>
      <c r="M11" s="152">
        <v>1494748</v>
      </c>
      <c r="N11" s="267">
        <f t="shared" si="2"/>
        <v>8.868164399617863</v>
      </c>
      <c r="O11" s="334">
        <v>1</v>
      </c>
      <c r="P11" s="234"/>
    </row>
    <row r="12" spans="1:16" ht="15">
      <c r="A12" s="39">
        <v>9</v>
      </c>
      <c r="B12" s="265">
        <v>2012</v>
      </c>
      <c r="C12" s="31">
        <v>40130</v>
      </c>
      <c r="D12" s="27" t="s">
        <v>241</v>
      </c>
      <c r="E12" s="229">
        <v>178</v>
      </c>
      <c r="F12" s="229">
        <v>3</v>
      </c>
      <c r="G12" s="229">
        <v>14</v>
      </c>
      <c r="H12" s="161">
        <v>2910</v>
      </c>
      <c r="I12" s="150">
        <v>575</v>
      </c>
      <c r="J12" s="152">
        <f t="shared" si="3"/>
        <v>191.66666666666666</v>
      </c>
      <c r="K12" s="154">
        <f t="shared" si="4"/>
        <v>5.060869565217391</v>
      </c>
      <c r="L12" s="156">
        <v>13238163</v>
      </c>
      <c r="M12" s="152">
        <v>1490853</v>
      </c>
      <c r="N12" s="267">
        <f t="shared" si="2"/>
        <v>8.879589738223688</v>
      </c>
      <c r="O12" s="334"/>
      <c r="P12" s="234"/>
    </row>
    <row r="13" spans="1:16" ht="15">
      <c r="A13" s="39">
        <v>10</v>
      </c>
      <c r="B13" s="265">
        <v>2012</v>
      </c>
      <c r="C13" s="31">
        <v>40130</v>
      </c>
      <c r="D13" s="27" t="s">
        <v>241</v>
      </c>
      <c r="E13" s="229">
        <v>178</v>
      </c>
      <c r="F13" s="229">
        <v>1</v>
      </c>
      <c r="G13" s="229">
        <v>16</v>
      </c>
      <c r="H13" s="161">
        <v>2380</v>
      </c>
      <c r="I13" s="150">
        <v>476</v>
      </c>
      <c r="J13" s="152">
        <f t="shared" si="3"/>
        <v>476</v>
      </c>
      <c r="K13" s="154">
        <f t="shared" si="4"/>
        <v>5</v>
      </c>
      <c r="L13" s="156">
        <f>13240020+2380</f>
        <v>13242400</v>
      </c>
      <c r="M13" s="152">
        <f>1491205+476</f>
        <v>1491681</v>
      </c>
      <c r="N13" s="267">
        <f t="shared" si="2"/>
        <v>8.87750128881443</v>
      </c>
      <c r="O13" s="334"/>
      <c r="P13" s="234"/>
    </row>
    <row r="14" spans="1:16" ht="15">
      <c r="A14" s="39">
        <v>11</v>
      </c>
      <c r="B14" s="265">
        <v>2012</v>
      </c>
      <c r="C14" s="26">
        <v>40130</v>
      </c>
      <c r="D14" s="27" t="s">
        <v>241</v>
      </c>
      <c r="E14" s="230">
        <v>178</v>
      </c>
      <c r="F14" s="230">
        <v>1</v>
      </c>
      <c r="G14" s="230">
        <v>17</v>
      </c>
      <c r="H14" s="159">
        <v>2380</v>
      </c>
      <c r="I14" s="160">
        <v>476</v>
      </c>
      <c r="J14" s="177">
        <f t="shared" si="3"/>
        <v>476</v>
      </c>
      <c r="K14" s="180">
        <f t="shared" si="4"/>
        <v>5</v>
      </c>
      <c r="L14" s="178">
        <f>13240020+2380+2380</f>
        <v>13244780</v>
      </c>
      <c r="M14" s="179">
        <f>1491205+476+476</f>
        <v>1492157</v>
      </c>
      <c r="N14" s="266">
        <f>IF(L14&lt;&gt;0,L14/M14,"")</f>
        <v>8.876264360921807</v>
      </c>
      <c r="O14" s="334">
        <v>1</v>
      </c>
      <c r="P14" s="234"/>
    </row>
    <row r="15" spans="1:16" ht="15">
      <c r="A15" s="39">
        <v>12</v>
      </c>
      <c r="B15" s="265">
        <v>2012</v>
      </c>
      <c r="C15" s="31">
        <v>40130</v>
      </c>
      <c r="D15" s="27" t="s">
        <v>241</v>
      </c>
      <c r="E15" s="229">
        <v>178</v>
      </c>
      <c r="F15" s="229">
        <v>2</v>
      </c>
      <c r="G15" s="229">
        <v>24</v>
      </c>
      <c r="H15" s="161">
        <v>5050</v>
      </c>
      <c r="I15" s="150">
        <v>682</v>
      </c>
      <c r="J15" s="152">
        <f t="shared" si="3"/>
        <v>341</v>
      </c>
      <c r="K15" s="154">
        <f t="shared" si="4"/>
        <v>7.404692082111437</v>
      </c>
      <c r="L15" s="156">
        <v>13267416</v>
      </c>
      <c r="M15" s="152">
        <v>1496917</v>
      </c>
      <c r="N15" s="267">
        <f aca="true" t="shared" si="5" ref="N15:N20">+L15/M15</f>
        <v>8.863160749727607</v>
      </c>
      <c r="O15" s="339"/>
      <c r="P15" s="234"/>
    </row>
    <row r="16" spans="1:16" ht="15">
      <c r="A16" s="39">
        <v>13</v>
      </c>
      <c r="B16" s="265">
        <v>2012</v>
      </c>
      <c r="C16" s="31">
        <v>40130</v>
      </c>
      <c r="D16" s="27" t="s">
        <v>241</v>
      </c>
      <c r="E16" s="229">
        <v>178</v>
      </c>
      <c r="F16" s="229">
        <v>1</v>
      </c>
      <c r="G16" s="229">
        <v>18</v>
      </c>
      <c r="H16" s="149">
        <v>2380</v>
      </c>
      <c r="I16" s="151">
        <v>476</v>
      </c>
      <c r="J16" s="152">
        <f t="shared" si="3"/>
        <v>476</v>
      </c>
      <c r="K16" s="154">
        <f t="shared" si="4"/>
        <v>5</v>
      </c>
      <c r="L16" s="156">
        <f>13244780+2380</f>
        <v>13247160</v>
      </c>
      <c r="M16" s="152">
        <f>1492157+476</f>
        <v>1492633</v>
      </c>
      <c r="N16" s="267">
        <f t="shared" si="5"/>
        <v>8.875028221940692</v>
      </c>
      <c r="O16" s="334"/>
      <c r="P16" s="234"/>
    </row>
    <row r="17" spans="1:16" ht="15">
      <c r="A17" s="39">
        <v>14</v>
      </c>
      <c r="B17" s="268">
        <v>2012</v>
      </c>
      <c r="C17" s="31">
        <v>40130</v>
      </c>
      <c r="D17" s="27" t="s">
        <v>241</v>
      </c>
      <c r="E17" s="229">
        <v>178</v>
      </c>
      <c r="F17" s="229">
        <v>2</v>
      </c>
      <c r="G17" s="229">
        <v>15</v>
      </c>
      <c r="H17" s="148">
        <v>1857</v>
      </c>
      <c r="I17" s="162">
        <v>352</v>
      </c>
      <c r="J17" s="181">
        <f t="shared" si="3"/>
        <v>176</v>
      </c>
      <c r="K17" s="182">
        <f t="shared" si="4"/>
        <v>5.275568181818182</v>
      </c>
      <c r="L17" s="183">
        <v>13240020</v>
      </c>
      <c r="M17" s="181">
        <v>1491205</v>
      </c>
      <c r="N17" s="267">
        <f t="shared" si="5"/>
        <v>8.87873900637404</v>
      </c>
      <c r="O17" s="334">
        <v>1</v>
      </c>
      <c r="P17" s="234"/>
    </row>
    <row r="18" spans="1:16" ht="15">
      <c r="A18" s="39">
        <v>15</v>
      </c>
      <c r="B18" s="265">
        <v>2012</v>
      </c>
      <c r="C18" s="26">
        <v>40130</v>
      </c>
      <c r="D18" s="27" t="s">
        <v>241</v>
      </c>
      <c r="E18" s="230">
        <v>178</v>
      </c>
      <c r="F18" s="230">
        <v>1</v>
      </c>
      <c r="G18" s="230">
        <v>22</v>
      </c>
      <c r="H18" s="149">
        <v>1785</v>
      </c>
      <c r="I18" s="151">
        <v>510</v>
      </c>
      <c r="J18" s="153">
        <f t="shared" si="3"/>
        <v>510</v>
      </c>
      <c r="K18" s="155">
        <f t="shared" si="4"/>
        <v>3.5</v>
      </c>
      <c r="L18" s="157">
        <v>13262216</v>
      </c>
      <c r="M18" s="158">
        <v>1496210</v>
      </c>
      <c r="N18" s="266">
        <f t="shared" si="5"/>
        <v>8.863873386757206</v>
      </c>
      <c r="O18" s="334"/>
      <c r="P18" s="234"/>
    </row>
    <row r="19" spans="1:16" ht="15">
      <c r="A19" s="39">
        <v>16</v>
      </c>
      <c r="B19" s="265">
        <v>2012</v>
      </c>
      <c r="C19" s="31">
        <v>40130</v>
      </c>
      <c r="D19" s="27" t="s">
        <v>241</v>
      </c>
      <c r="E19" s="229">
        <v>178</v>
      </c>
      <c r="F19" s="229">
        <v>1</v>
      </c>
      <c r="G19" s="229">
        <v>23</v>
      </c>
      <c r="H19" s="161">
        <v>150</v>
      </c>
      <c r="I19" s="150">
        <v>25</v>
      </c>
      <c r="J19" s="152">
        <f t="shared" si="3"/>
        <v>25</v>
      </c>
      <c r="K19" s="154">
        <f t="shared" si="4"/>
        <v>6</v>
      </c>
      <c r="L19" s="156">
        <v>13262216</v>
      </c>
      <c r="M19" s="152">
        <v>1496235</v>
      </c>
      <c r="N19" s="267">
        <f t="shared" si="5"/>
        <v>8.863725283795661</v>
      </c>
      <c r="O19" s="339"/>
      <c r="P19" s="234"/>
    </row>
    <row r="20" spans="1:16" ht="15">
      <c r="A20" s="39">
        <v>17</v>
      </c>
      <c r="B20" s="265">
        <v>2012</v>
      </c>
      <c r="C20" s="31">
        <v>40130</v>
      </c>
      <c r="D20" s="27" t="s">
        <v>241</v>
      </c>
      <c r="E20" s="229">
        <v>178</v>
      </c>
      <c r="F20" s="229">
        <v>1</v>
      </c>
      <c r="G20" s="229">
        <v>25</v>
      </c>
      <c r="H20" s="161">
        <v>722</v>
      </c>
      <c r="I20" s="150">
        <v>100</v>
      </c>
      <c r="J20" s="152">
        <f t="shared" si="3"/>
        <v>100</v>
      </c>
      <c r="K20" s="154">
        <f t="shared" si="4"/>
        <v>7.22</v>
      </c>
      <c r="L20" s="156">
        <v>13268138</v>
      </c>
      <c r="M20" s="152">
        <v>1497017</v>
      </c>
      <c r="N20" s="267">
        <f t="shared" si="5"/>
        <v>8.863050987396937</v>
      </c>
      <c r="O20" s="415"/>
      <c r="P20" s="234"/>
    </row>
    <row r="21" spans="1:16" ht="15">
      <c r="A21" s="39">
        <v>18</v>
      </c>
      <c r="B21" s="265" t="s">
        <v>43</v>
      </c>
      <c r="C21" s="31">
        <v>40095</v>
      </c>
      <c r="D21" s="27" t="s">
        <v>242</v>
      </c>
      <c r="E21" s="229">
        <v>22</v>
      </c>
      <c r="F21" s="229">
        <v>1</v>
      </c>
      <c r="G21" s="229">
        <v>19</v>
      </c>
      <c r="H21" s="161">
        <v>476</v>
      </c>
      <c r="I21" s="150">
        <v>72</v>
      </c>
      <c r="J21" s="152">
        <f>(I21/F21)</f>
        <v>72</v>
      </c>
      <c r="K21" s="154">
        <f t="shared" si="4"/>
        <v>6.611111111111111</v>
      </c>
      <c r="L21" s="156">
        <f>158809.5+140713.25+103696.25+38523+19360+17458+1188+196+2484+3158+1780+2933+1780+2461+6600.5+2668.5+440+441+476</f>
        <v>505166</v>
      </c>
      <c r="M21" s="152">
        <f>14214+13110+10683+4685+3074+2645+297+16+571+596+445+584+445+466+837+295+44+65+72</f>
        <v>53144</v>
      </c>
      <c r="N21" s="267">
        <f>L21/M21</f>
        <v>9.505607406292338</v>
      </c>
      <c r="O21" s="418"/>
      <c r="P21" s="234"/>
    </row>
    <row r="22" spans="1:16" ht="15">
      <c r="A22" s="39">
        <v>19</v>
      </c>
      <c r="B22" s="265" t="s">
        <v>43</v>
      </c>
      <c r="C22" s="31">
        <v>40095</v>
      </c>
      <c r="D22" s="27" t="s">
        <v>261</v>
      </c>
      <c r="E22" s="229">
        <v>22</v>
      </c>
      <c r="F22" s="229">
        <v>4</v>
      </c>
      <c r="G22" s="229">
        <v>15</v>
      </c>
      <c r="H22" s="161">
        <v>6600.5</v>
      </c>
      <c r="I22" s="150">
        <v>837</v>
      </c>
      <c r="J22" s="152">
        <f>(I22/F22)</f>
        <v>209.25</v>
      </c>
      <c r="K22" s="154">
        <f t="shared" si="4"/>
        <v>7.885902031063321</v>
      </c>
      <c r="L22" s="156">
        <f>158809.5+140713.25+103696.25+38523+19360+17458+1188+196+2484+3158+1780+2933+1780+2461+6600.5</f>
        <v>501140.5</v>
      </c>
      <c r="M22" s="152">
        <f>14214+13110+10683+4685+3074+2645+297+16+571+596+445+584+445+466+837</f>
        <v>52668</v>
      </c>
      <c r="N22" s="267">
        <f>L22/M22</f>
        <v>9.515085061137693</v>
      </c>
      <c r="O22" s="415">
        <v>1</v>
      </c>
      <c r="P22" s="234"/>
    </row>
    <row r="23" spans="1:16" ht="15">
      <c r="A23" s="39">
        <v>20</v>
      </c>
      <c r="B23" s="265" t="s">
        <v>43</v>
      </c>
      <c r="C23" s="26">
        <v>40095</v>
      </c>
      <c r="D23" s="27" t="s">
        <v>242</v>
      </c>
      <c r="E23" s="230">
        <v>22</v>
      </c>
      <c r="F23" s="230">
        <v>3</v>
      </c>
      <c r="G23" s="230">
        <v>10</v>
      </c>
      <c r="H23" s="149">
        <v>3158</v>
      </c>
      <c r="I23" s="151">
        <v>596</v>
      </c>
      <c r="J23" s="153">
        <f>(I23/F23)</f>
        <v>198.66666666666666</v>
      </c>
      <c r="K23" s="155">
        <f t="shared" si="4"/>
        <v>5.298657718120805</v>
      </c>
      <c r="L23" s="157">
        <f>158809.5+140713.25+103696.25+38523+19360+17458+1188+196+2484+3158</f>
        <v>485586</v>
      </c>
      <c r="M23" s="158">
        <f>14214+13110+10683+4685+3074+2645+297+16+571+596</f>
        <v>49891</v>
      </c>
      <c r="N23" s="266">
        <f>L23/M23</f>
        <v>9.732937804413622</v>
      </c>
      <c r="O23" s="415">
        <v>1</v>
      </c>
      <c r="P23" s="234"/>
    </row>
    <row r="24" spans="1:16" ht="15">
      <c r="A24" s="39">
        <v>21</v>
      </c>
      <c r="B24" s="265" t="s">
        <v>43</v>
      </c>
      <c r="C24" s="26">
        <v>40095</v>
      </c>
      <c r="D24" s="27" t="s">
        <v>242</v>
      </c>
      <c r="E24" s="230">
        <v>22</v>
      </c>
      <c r="F24" s="230">
        <v>2</v>
      </c>
      <c r="G24" s="230">
        <v>12</v>
      </c>
      <c r="H24" s="149">
        <v>2933</v>
      </c>
      <c r="I24" s="151">
        <v>584</v>
      </c>
      <c r="J24" s="153">
        <f>I24/F24</f>
        <v>292</v>
      </c>
      <c r="K24" s="155">
        <f>+H24/I24</f>
        <v>5.022260273972603</v>
      </c>
      <c r="L24" s="157">
        <f>158809.5+140713.25+103696.25+38523+19360+17458+1188+196+2484+3158+1780+2933</f>
        <v>490299</v>
      </c>
      <c r="M24" s="158">
        <f>14214+13110+10683+4685+3074+2645+297+16+571+596+445+584</f>
        <v>50920</v>
      </c>
      <c r="N24" s="266">
        <f>L24/M24</f>
        <v>9.628809897879027</v>
      </c>
      <c r="O24" s="416"/>
      <c r="P24" s="234"/>
    </row>
    <row r="25" spans="1:16" ht="15">
      <c r="A25" s="39">
        <v>22</v>
      </c>
      <c r="B25" s="265" t="s">
        <v>43</v>
      </c>
      <c r="C25" s="26">
        <v>40095</v>
      </c>
      <c r="D25" s="27" t="s">
        <v>261</v>
      </c>
      <c r="E25" s="230">
        <v>22</v>
      </c>
      <c r="F25" s="230">
        <v>1</v>
      </c>
      <c r="G25" s="230">
        <v>16</v>
      </c>
      <c r="H25" s="149">
        <v>2668.5</v>
      </c>
      <c r="I25" s="151">
        <v>295</v>
      </c>
      <c r="J25" s="153">
        <f>I25/F25</f>
        <v>295</v>
      </c>
      <c r="K25" s="155">
        <f>H25/I25</f>
        <v>9.045762711864407</v>
      </c>
      <c r="L25" s="157">
        <f>158809.5+140713.25+103696.25+38523+19360+17458+1188+196+2484+3158+1780+2933+1780+2461+6600.5+2668.5</f>
        <v>503809</v>
      </c>
      <c r="M25" s="158">
        <f>14214+13110+10683+4685+3074+2645+297+16+571+596+445+584+445+466+837+295</f>
        <v>52963</v>
      </c>
      <c r="N25" s="266">
        <f>+L25/M25</f>
        <v>9.51247097030002</v>
      </c>
      <c r="O25" s="416"/>
      <c r="P25" s="234"/>
    </row>
    <row r="26" spans="1:16" ht="15">
      <c r="A26" s="39">
        <v>23</v>
      </c>
      <c r="B26" s="265" t="s">
        <v>43</v>
      </c>
      <c r="C26" s="26">
        <v>40095</v>
      </c>
      <c r="D26" s="27" t="s">
        <v>242</v>
      </c>
      <c r="E26" s="230">
        <v>22</v>
      </c>
      <c r="F26" s="230">
        <v>2</v>
      </c>
      <c r="G26" s="230">
        <v>9</v>
      </c>
      <c r="H26" s="149">
        <v>2484</v>
      </c>
      <c r="I26" s="151">
        <v>571</v>
      </c>
      <c r="J26" s="153">
        <f>(I26/F26)</f>
        <v>285.5</v>
      </c>
      <c r="K26" s="155">
        <f>H26/I26</f>
        <v>4.350262697022767</v>
      </c>
      <c r="L26" s="157">
        <f>158809.5+140713.25+103696.25+38523+19360+17458+1188+196+2484</f>
        <v>482428</v>
      </c>
      <c r="M26" s="158">
        <f>14214+13110+10683+4685+3074+2645+297+16+571</f>
        <v>49295</v>
      </c>
      <c r="N26" s="266">
        <f>L26/M26</f>
        <v>9.786550360077086</v>
      </c>
      <c r="O26" s="415">
        <v>1</v>
      </c>
      <c r="P26" s="234"/>
    </row>
    <row r="27" spans="1:16" ht="15">
      <c r="A27" s="39">
        <v>24</v>
      </c>
      <c r="B27" s="265" t="s">
        <v>43</v>
      </c>
      <c r="C27" s="26">
        <v>40095</v>
      </c>
      <c r="D27" s="27" t="s">
        <v>242</v>
      </c>
      <c r="E27" s="230">
        <v>22</v>
      </c>
      <c r="F27" s="230">
        <v>3</v>
      </c>
      <c r="G27" s="230">
        <v>14</v>
      </c>
      <c r="H27" s="149">
        <v>2461</v>
      </c>
      <c r="I27" s="151">
        <v>466</v>
      </c>
      <c r="J27" s="153">
        <f>I27/F27</f>
        <v>155.33333333333334</v>
      </c>
      <c r="K27" s="155">
        <f>H27/I27</f>
        <v>5.281115879828326</v>
      </c>
      <c r="L27" s="157">
        <f>158809.5+140713.25+103696.25+38523+19360+17458+1188+196+2484+3158+1780+2933+1780+2461</f>
        <v>494540</v>
      </c>
      <c r="M27" s="158">
        <f>14214+13110+10683+4685+3074+2645+297+16+571+596+445+584+445+466</f>
        <v>51831</v>
      </c>
      <c r="N27" s="266">
        <f>+L27/M27</f>
        <v>9.541394146360286</v>
      </c>
      <c r="O27" s="415"/>
      <c r="P27" s="234"/>
    </row>
    <row r="28" spans="1:16" ht="15">
      <c r="A28" s="39">
        <v>25</v>
      </c>
      <c r="B28" s="265" t="s">
        <v>43</v>
      </c>
      <c r="C28" s="26">
        <v>40095</v>
      </c>
      <c r="D28" s="27" t="s">
        <v>242</v>
      </c>
      <c r="E28" s="230">
        <v>22</v>
      </c>
      <c r="F28" s="230">
        <v>1</v>
      </c>
      <c r="G28" s="230">
        <v>11</v>
      </c>
      <c r="H28" s="149">
        <v>1780</v>
      </c>
      <c r="I28" s="151">
        <v>445</v>
      </c>
      <c r="J28" s="153">
        <f>(I28/F28)</f>
        <v>445</v>
      </c>
      <c r="K28" s="155">
        <f>+H28/I28</f>
        <v>4</v>
      </c>
      <c r="L28" s="157">
        <f>158809.5+140713.25+103696.25+38523+19360+17458+1188+196+2484+3158+1780</f>
        <v>487366</v>
      </c>
      <c r="M28" s="158">
        <f>14214+13110+10683+4685+3074+2645+297+16+571+596+445</f>
        <v>50336</v>
      </c>
      <c r="N28" s="266">
        <f>L28/M28</f>
        <v>9.682255244755245</v>
      </c>
      <c r="O28" s="415"/>
      <c r="P28" s="234"/>
    </row>
    <row r="29" spans="1:16" ht="15">
      <c r="A29" s="39">
        <v>26</v>
      </c>
      <c r="B29" s="265" t="s">
        <v>43</v>
      </c>
      <c r="C29" s="26">
        <v>40095</v>
      </c>
      <c r="D29" s="27" t="s">
        <v>242</v>
      </c>
      <c r="E29" s="230">
        <v>22</v>
      </c>
      <c r="F29" s="230">
        <v>1</v>
      </c>
      <c r="G29" s="230">
        <v>13</v>
      </c>
      <c r="H29" s="149">
        <v>1780</v>
      </c>
      <c r="I29" s="151">
        <v>445</v>
      </c>
      <c r="J29" s="153">
        <f>(I29/F29)</f>
        <v>445</v>
      </c>
      <c r="K29" s="155">
        <f>H29/I29</f>
        <v>4</v>
      </c>
      <c r="L29" s="157">
        <f>158809.5+140713.25+103696.25+38523+19360+17458+1188+196+2484+3158+1780+2933+1780</f>
        <v>492079</v>
      </c>
      <c r="M29" s="158">
        <f>14214+13110+10683+4685+3074+2645+297+16+571+596+445+584+445</f>
        <v>51365</v>
      </c>
      <c r="N29" s="266">
        <f>L29/M29</f>
        <v>9.580044777572278</v>
      </c>
      <c r="O29" s="415"/>
      <c r="P29" s="234"/>
    </row>
    <row r="30" spans="1:16" ht="15">
      <c r="A30" s="39">
        <v>27</v>
      </c>
      <c r="B30" s="265" t="s">
        <v>43</v>
      </c>
      <c r="C30" s="26">
        <v>40095</v>
      </c>
      <c r="D30" s="27" t="s">
        <v>242</v>
      </c>
      <c r="E30" s="230">
        <v>22</v>
      </c>
      <c r="F30" s="230">
        <v>1</v>
      </c>
      <c r="G30" s="230">
        <v>18</v>
      </c>
      <c r="H30" s="149">
        <v>441</v>
      </c>
      <c r="I30" s="151">
        <v>65</v>
      </c>
      <c r="J30" s="153">
        <f>(I30/F30)</f>
        <v>65</v>
      </c>
      <c r="K30" s="155">
        <f>H30/I30</f>
        <v>6.7846153846153845</v>
      </c>
      <c r="L30" s="157">
        <f>158809.5+140713.25+103696.25+38523+19360+17458+1188+196+2484+3158+1780+2933+1780+2461+6600.5+2668.5+440+441</f>
        <v>504690</v>
      </c>
      <c r="M30" s="158">
        <f>14214+13110+10683+4685+3074+2645+297+16+571+596+445+584+445+466+837+295+44+65</f>
        <v>53072</v>
      </c>
      <c r="N30" s="266">
        <f>L30/M30</f>
        <v>9.509534217666566</v>
      </c>
      <c r="O30" s="415">
        <v>1</v>
      </c>
      <c r="P30" s="234"/>
    </row>
    <row r="31" spans="1:16" ht="15">
      <c r="A31" s="39">
        <v>28</v>
      </c>
      <c r="B31" s="265" t="s">
        <v>121</v>
      </c>
      <c r="C31" s="26">
        <v>40081</v>
      </c>
      <c r="D31" s="27" t="s">
        <v>47</v>
      </c>
      <c r="E31" s="230">
        <v>30</v>
      </c>
      <c r="F31" s="230">
        <v>1</v>
      </c>
      <c r="G31" s="230">
        <v>7</v>
      </c>
      <c r="H31" s="149">
        <v>4242</v>
      </c>
      <c r="I31" s="151">
        <v>864</v>
      </c>
      <c r="J31" s="153">
        <f aca="true" t="shared" si="6" ref="J31:J43">I31/F31</f>
        <v>864</v>
      </c>
      <c r="K31" s="155">
        <f>+H31/I31</f>
        <v>4.909722222222222</v>
      </c>
      <c r="L31" s="157">
        <v>109324.35</v>
      </c>
      <c r="M31" s="158">
        <v>13970</v>
      </c>
      <c r="N31" s="266">
        <f>+L31/M31</f>
        <v>7.825651395848246</v>
      </c>
      <c r="O31" s="334"/>
      <c r="P31" s="234"/>
    </row>
    <row r="32" spans="1:16" ht="15">
      <c r="A32" s="39">
        <v>29</v>
      </c>
      <c r="B32" s="265" t="s">
        <v>121</v>
      </c>
      <c r="C32" s="26">
        <v>40081</v>
      </c>
      <c r="D32" s="27" t="s">
        <v>223</v>
      </c>
      <c r="E32" s="230">
        <v>30</v>
      </c>
      <c r="F32" s="230">
        <v>1</v>
      </c>
      <c r="G32" s="230">
        <v>9</v>
      </c>
      <c r="H32" s="149">
        <v>492.59</v>
      </c>
      <c r="I32" s="151">
        <v>120</v>
      </c>
      <c r="J32" s="153">
        <f t="shared" si="6"/>
        <v>120</v>
      </c>
      <c r="K32" s="155">
        <f aca="true" t="shared" si="7" ref="K32:K38">H32/I32</f>
        <v>4.104916666666666</v>
      </c>
      <c r="L32" s="157">
        <v>110258.59</v>
      </c>
      <c r="M32" s="158">
        <v>14189</v>
      </c>
      <c r="N32" s="266">
        <f>+L32/M32</f>
        <v>7.770708999929522</v>
      </c>
      <c r="O32" s="333"/>
      <c r="P32" s="234"/>
    </row>
    <row r="33" spans="1:16" ht="15">
      <c r="A33" s="39">
        <v>30</v>
      </c>
      <c r="B33" s="265" t="s">
        <v>121</v>
      </c>
      <c r="C33" s="26">
        <v>40081</v>
      </c>
      <c r="D33" s="27" t="s">
        <v>243</v>
      </c>
      <c r="E33" s="230">
        <v>30</v>
      </c>
      <c r="F33" s="230">
        <v>1</v>
      </c>
      <c r="G33" s="230">
        <v>8</v>
      </c>
      <c r="H33" s="149">
        <v>441.65</v>
      </c>
      <c r="I33" s="151">
        <v>99</v>
      </c>
      <c r="J33" s="153">
        <f t="shared" si="6"/>
        <v>99</v>
      </c>
      <c r="K33" s="155">
        <f t="shared" si="7"/>
        <v>4.461111111111111</v>
      </c>
      <c r="L33" s="157">
        <f>105083+638.35+3603+441.65</f>
        <v>109766</v>
      </c>
      <c r="M33" s="158">
        <f>13106+143+721+99</f>
        <v>14069</v>
      </c>
      <c r="N33" s="266">
        <f>+L33/M33</f>
        <v>7.801975975549079</v>
      </c>
      <c r="O33" s="332"/>
      <c r="P33" s="234"/>
    </row>
    <row r="34" spans="1:16" ht="15">
      <c r="A34" s="39">
        <v>31</v>
      </c>
      <c r="B34" s="265" t="s">
        <v>232</v>
      </c>
      <c r="C34" s="31">
        <v>39493</v>
      </c>
      <c r="D34" s="32" t="s">
        <v>47</v>
      </c>
      <c r="E34" s="56">
        <v>179</v>
      </c>
      <c r="F34" s="56">
        <v>1</v>
      </c>
      <c r="G34" s="56">
        <v>46</v>
      </c>
      <c r="H34" s="148">
        <v>3844</v>
      </c>
      <c r="I34" s="150">
        <v>769</v>
      </c>
      <c r="J34" s="152">
        <f t="shared" si="6"/>
        <v>769</v>
      </c>
      <c r="K34" s="154">
        <f t="shared" si="7"/>
        <v>4.998699609882965</v>
      </c>
      <c r="L34" s="156">
        <v>5039812.5</v>
      </c>
      <c r="M34" s="152">
        <f>1038442</f>
        <v>1038442</v>
      </c>
      <c r="N34" s="267">
        <f>+L34/M34</f>
        <v>4.853244090666594</v>
      </c>
      <c r="O34" s="332"/>
      <c r="P34" s="234"/>
    </row>
    <row r="35" spans="1:16" ht="15">
      <c r="A35" s="39">
        <v>32</v>
      </c>
      <c r="B35" s="265" t="s">
        <v>349</v>
      </c>
      <c r="C35" s="31">
        <v>40137</v>
      </c>
      <c r="D35" s="27" t="s">
        <v>57</v>
      </c>
      <c r="E35" s="229">
        <v>149</v>
      </c>
      <c r="F35" s="229">
        <v>2</v>
      </c>
      <c r="G35" s="229">
        <v>20</v>
      </c>
      <c r="H35" s="161">
        <v>2120</v>
      </c>
      <c r="I35" s="150">
        <v>423</v>
      </c>
      <c r="J35" s="152">
        <f t="shared" si="6"/>
        <v>211.5</v>
      </c>
      <c r="K35" s="154">
        <f t="shared" si="7"/>
        <v>5.011820330969267</v>
      </c>
      <c r="L35" s="156">
        <v>3161987.5</v>
      </c>
      <c r="M35" s="152">
        <v>372023</v>
      </c>
      <c r="N35" s="267">
        <f>L35/M35</f>
        <v>8.499440894783387</v>
      </c>
      <c r="O35" s="350"/>
      <c r="P35" s="234"/>
    </row>
    <row r="36" spans="1:16" ht="15">
      <c r="A36" s="39">
        <v>33</v>
      </c>
      <c r="B36" s="268" t="s">
        <v>132</v>
      </c>
      <c r="C36" s="31">
        <v>40137</v>
      </c>
      <c r="D36" s="33" t="s">
        <v>57</v>
      </c>
      <c r="E36" s="56">
        <v>149</v>
      </c>
      <c r="F36" s="56">
        <v>9</v>
      </c>
      <c r="G36" s="56">
        <v>7</v>
      </c>
      <c r="H36" s="148">
        <v>27101.5</v>
      </c>
      <c r="I36" s="162">
        <v>4448</v>
      </c>
      <c r="J36" s="181">
        <f t="shared" si="6"/>
        <v>494.22222222222223</v>
      </c>
      <c r="K36" s="154">
        <f t="shared" si="7"/>
        <v>6.092963129496403</v>
      </c>
      <c r="L36" s="183">
        <v>3103393</v>
      </c>
      <c r="M36" s="181">
        <v>360904</v>
      </c>
      <c r="N36" s="267">
        <f>L36/M36</f>
        <v>8.598943209274488</v>
      </c>
      <c r="O36" s="330"/>
      <c r="P36" s="234"/>
    </row>
    <row r="37" spans="1:16" ht="15">
      <c r="A37" s="39">
        <v>34</v>
      </c>
      <c r="B37" s="268" t="s">
        <v>132</v>
      </c>
      <c r="C37" s="31">
        <v>40137</v>
      </c>
      <c r="D37" s="33" t="s">
        <v>57</v>
      </c>
      <c r="E37" s="56">
        <v>149</v>
      </c>
      <c r="F37" s="56">
        <v>10</v>
      </c>
      <c r="G37" s="56">
        <v>9</v>
      </c>
      <c r="H37" s="148">
        <v>17098.5</v>
      </c>
      <c r="I37" s="162">
        <v>3701</v>
      </c>
      <c r="J37" s="181">
        <f t="shared" si="6"/>
        <v>370.1</v>
      </c>
      <c r="K37" s="182">
        <f t="shared" si="7"/>
        <v>4.619967576330722</v>
      </c>
      <c r="L37" s="183">
        <v>3130396</v>
      </c>
      <c r="M37" s="181">
        <v>366723</v>
      </c>
      <c r="N37" s="267">
        <f>L37/M37</f>
        <v>8.536132176056588</v>
      </c>
      <c r="O37" s="332"/>
      <c r="P37" s="234"/>
    </row>
    <row r="38" spans="1:16" ht="15">
      <c r="A38" s="39">
        <v>35</v>
      </c>
      <c r="B38" s="268" t="s">
        <v>132</v>
      </c>
      <c r="C38" s="31">
        <v>40137</v>
      </c>
      <c r="D38" s="33" t="s">
        <v>57</v>
      </c>
      <c r="E38" s="56">
        <v>149</v>
      </c>
      <c r="F38" s="56">
        <v>9</v>
      </c>
      <c r="G38" s="56">
        <v>8</v>
      </c>
      <c r="H38" s="148">
        <v>9904.5</v>
      </c>
      <c r="I38" s="162">
        <v>2118</v>
      </c>
      <c r="J38" s="181">
        <f t="shared" si="6"/>
        <v>235.33333333333334</v>
      </c>
      <c r="K38" s="182">
        <f t="shared" si="7"/>
        <v>4.676345609065156</v>
      </c>
      <c r="L38" s="183">
        <v>3113297.5</v>
      </c>
      <c r="M38" s="181">
        <v>363022</v>
      </c>
      <c r="N38" s="267">
        <f>L38/M38</f>
        <v>8.57605737393326</v>
      </c>
      <c r="O38" s="332"/>
      <c r="P38" s="234"/>
    </row>
    <row r="39" spans="1:16" ht="15">
      <c r="A39" s="39">
        <v>36</v>
      </c>
      <c r="B39" s="265" t="s">
        <v>132</v>
      </c>
      <c r="C39" s="31">
        <v>40137</v>
      </c>
      <c r="D39" s="28" t="s">
        <v>57</v>
      </c>
      <c r="E39" s="54">
        <v>149</v>
      </c>
      <c r="F39" s="54">
        <v>3</v>
      </c>
      <c r="G39" s="54">
        <v>17</v>
      </c>
      <c r="H39" s="163">
        <v>8569</v>
      </c>
      <c r="I39" s="164">
        <v>1096</v>
      </c>
      <c r="J39" s="181">
        <f t="shared" si="6"/>
        <v>365.3333333333333</v>
      </c>
      <c r="K39" s="182">
        <f>+H39/I39</f>
        <v>7.818430656934306</v>
      </c>
      <c r="L39" s="183">
        <v>3155497.5</v>
      </c>
      <c r="M39" s="181">
        <v>370740</v>
      </c>
      <c r="N39" s="270">
        <f>+L39/M39</f>
        <v>8.511348923774074</v>
      </c>
      <c r="O39" s="334"/>
      <c r="P39" s="234"/>
    </row>
    <row r="40" spans="1:16" ht="15">
      <c r="A40" s="39">
        <v>37</v>
      </c>
      <c r="B40" s="268" t="s">
        <v>132</v>
      </c>
      <c r="C40" s="31">
        <v>40137</v>
      </c>
      <c r="D40" s="28" t="s">
        <v>57</v>
      </c>
      <c r="E40" s="56">
        <v>149</v>
      </c>
      <c r="F40" s="56">
        <v>1</v>
      </c>
      <c r="G40" s="56">
        <v>14</v>
      </c>
      <c r="H40" s="148">
        <v>8232.5</v>
      </c>
      <c r="I40" s="162">
        <v>1373</v>
      </c>
      <c r="J40" s="181">
        <f t="shared" si="6"/>
        <v>1373</v>
      </c>
      <c r="K40" s="182">
        <f>H40/I40</f>
        <v>5.995994173343044</v>
      </c>
      <c r="L40" s="183">
        <v>3142997</v>
      </c>
      <c r="M40" s="181">
        <v>368955</v>
      </c>
      <c r="N40" s="267">
        <f>+L40/M40</f>
        <v>8.518645905327208</v>
      </c>
      <c r="O40" s="332"/>
      <c r="P40" s="234"/>
    </row>
    <row r="41" spans="1:16" ht="15">
      <c r="A41" s="39">
        <v>38</v>
      </c>
      <c r="B41" s="265" t="s">
        <v>132</v>
      </c>
      <c r="C41" s="26">
        <v>40137</v>
      </c>
      <c r="D41" s="28" t="s">
        <v>57</v>
      </c>
      <c r="E41" s="55">
        <v>149</v>
      </c>
      <c r="F41" s="55">
        <v>1</v>
      </c>
      <c r="G41" s="55">
        <v>16</v>
      </c>
      <c r="H41" s="159">
        <v>2013.5</v>
      </c>
      <c r="I41" s="160">
        <v>370</v>
      </c>
      <c r="J41" s="177">
        <f t="shared" si="6"/>
        <v>370</v>
      </c>
      <c r="K41" s="180">
        <f>H41/I41</f>
        <v>5.441891891891892</v>
      </c>
      <c r="L41" s="178">
        <v>3146928.5</v>
      </c>
      <c r="M41" s="179">
        <v>369644</v>
      </c>
      <c r="N41" s="266">
        <f>IF(L41&lt;&gt;0,L41/M41,"")</f>
        <v>8.513403436820292</v>
      </c>
      <c r="O41" s="332"/>
      <c r="P41" s="234"/>
    </row>
    <row r="42" spans="1:16" ht="15">
      <c r="A42" s="39">
        <v>39</v>
      </c>
      <c r="B42" s="268" t="s">
        <v>132</v>
      </c>
      <c r="C42" s="31">
        <v>40137</v>
      </c>
      <c r="D42" s="28" t="s">
        <v>57</v>
      </c>
      <c r="E42" s="56">
        <v>149</v>
      </c>
      <c r="F42" s="56">
        <v>1</v>
      </c>
      <c r="G42" s="56">
        <v>13</v>
      </c>
      <c r="H42" s="148">
        <v>1987</v>
      </c>
      <c r="I42" s="162">
        <v>399</v>
      </c>
      <c r="J42" s="181">
        <f t="shared" si="6"/>
        <v>399</v>
      </c>
      <c r="K42" s="182">
        <f>H42/I42</f>
        <v>4.979949874686716</v>
      </c>
      <c r="L42" s="183">
        <v>3134764.5</v>
      </c>
      <c r="M42" s="181">
        <v>367582</v>
      </c>
      <c r="N42" s="267">
        <f>L42/M42</f>
        <v>8.52806856701362</v>
      </c>
      <c r="O42" s="350"/>
      <c r="P42" s="234"/>
    </row>
    <row r="43" spans="1:16" ht="15">
      <c r="A43" s="39">
        <v>40</v>
      </c>
      <c r="B43" s="268" t="s">
        <v>132</v>
      </c>
      <c r="C43" s="31">
        <v>40137</v>
      </c>
      <c r="D43" s="33" t="s">
        <v>57</v>
      </c>
      <c r="E43" s="54">
        <v>149</v>
      </c>
      <c r="F43" s="54">
        <v>1</v>
      </c>
      <c r="G43" s="54">
        <v>15</v>
      </c>
      <c r="H43" s="163">
        <v>1918</v>
      </c>
      <c r="I43" s="164">
        <v>319</v>
      </c>
      <c r="J43" s="181">
        <f t="shared" si="6"/>
        <v>319</v>
      </c>
      <c r="K43" s="182">
        <f>H43/I43</f>
        <v>6.012539184952978</v>
      </c>
      <c r="L43" s="183">
        <v>3144915</v>
      </c>
      <c r="M43" s="181">
        <v>369274</v>
      </c>
      <c r="N43" s="267">
        <f>L43/M43</f>
        <v>8.51648098701777</v>
      </c>
      <c r="O43" s="330"/>
      <c r="P43" s="234"/>
    </row>
    <row r="44" spans="1:16" ht="15">
      <c r="A44" s="39">
        <v>41</v>
      </c>
      <c r="B44" s="268" t="s">
        <v>132</v>
      </c>
      <c r="C44" s="31">
        <v>40137</v>
      </c>
      <c r="D44" s="28" t="s">
        <v>57</v>
      </c>
      <c r="E44" s="56">
        <v>149</v>
      </c>
      <c r="F44" s="56">
        <v>1</v>
      </c>
      <c r="G44" s="56">
        <v>12</v>
      </c>
      <c r="H44" s="161">
        <v>1725.5</v>
      </c>
      <c r="I44" s="150">
        <v>350</v>
      </c>
      <c r="J44" s="152">
        <f>(I44/F44)</f>
        <v>350</v>
      </c>
      <c r="K44" s="154">
        <f>(J44/G44)</f>
        <v>29.166666666666668</v>
      </c>
      <c r="L44" s="156">
        <v>3132777.5</v>
      </c>
      <c r="M44" s="152">
        <v>367183</v>
      </c>
      <c r="N44" s="267">
        <f>L44/M44</f>
        <v>8.531924135921326</v>
      </c>
      <c r="O44" s="343"/>
      <c r="P44" s="234"/>
    </row>
    <row r="45" spans="1:16" ht="15">
      <c r="A45" s="39">
        <v>42</v>
      </c>
      <c r="B45" s="271" t="s">
        <v>132</v>
      </c>
      <c r="C45" s="31">
        <v>40137</v>
      </c>
      <c r="D45" s="32" t="s">
        <v>57</v>
      </c>
      <c r="E45" s="229">
        <v>149</v>
      </c>
      <c r="F45" s="229">
        <v>1</v>
      </c>
      <c r="G45" s="229">
        <v>18</v>
      </c>
      <c r="H45" s="148">
        <v>1188</v>
      </c>
      <c r="I45" s="162">
        <v>238</v>
      </c>
      <c r="J45" s="181">
        <f>I45/F45</f>
        <v>238</v>
      </c>
      <c r="K45" s="154">
        <f>H45/I45</f>
        <v>4.991596638655462</v>
      </c>
      <c r="L45" s="183">
        <v>3156685.5</v>
      </c>
      <c r="M45" s="181">
        <v>370978</v>
      </c>
      <c r="N45" s="267">
        <f>L45/M45</f>
        <v>8.509090835575156</v>
      </c>
      <c r="O45" s="332"/>
      <c r="P45" s="234"/>
    </row>
    <row r="46" spans="1:16" ht="15">
      <c r="A46" s="39">
        <v>43</v>
      </c>
      <c r="B46" s="268" t="s">
        <v>132</v>
      </c>
      <c r="C46" s="31">
        <v>40137</v>
      </c>
      <c r="D46" s="28" t="s">
        <v>57</v>
      </c>
      <c r="E46" s="56">
        <v>149</v>
      </c>
      <c r="F46" s="56">
        <v>1</v>
      </c>
      <c r="G46" s="56">
        <v>11</v>
      </c>
      <c r="H46" s="161">
        <v>656</v>
      </c>
      <c r="I46" s="150">
        <v>110</v>
      </c>
      <c r="J46" s="152">
        <f>I46/F46</f>
        <v>110</v>
      </c>
      <c r="K46" s="154">
        <f>H46/I46</f>
        <v>5.963636363636364</v>
      </c>
      <c r="L46" s="156">
        <v>3131052</v>
      </c>
      <c r="M46" s="152">
        <v>366833</v>
      </c>
      <c r="N46" s="267">
        <f>L46/M46</f>
        <v>8.535360777247412</v>
      </c>
      <c r="O46" s="330"/>
      <c r="P46" s="234"/>
    </row>
    <row r="47" spans="1:16" ht="15">
      <c r="A47" s="39">
        <v>44</v>
      </c>
      <c r="B47" s="265" t="s">
        <v>415</v>
      </c>
      <c r="C47" s="31">
        <v>40151</v>
      </c>
      <c r="D47" s="27" t="s">
        <v>101</v>
      </c>
      <c r="E47" s="229">
        <v>140</v>
      </c>
      <c r="F47" s="229">
        <v>1</v>
      </c>
      <c r="G47" s="229">
        <v>13</v>
      </c>
      <c r="H47" s="161">
        <v>1188</v>
      </c>
      <c r="I47" s="150">
        <v>238</v>
      </c>
      <c r="J47" s="152">
        <f>IF(H47&lt;&gt;0,I47/F47,"")</f>
        <v>238</v>
      </c>
      <c r="K47" s="154">
        <f>IF(H47&lt;&gt;0,H47/I47,"")</f>
        <v>4.991596638655462</v>
      </c>
      <c r="L47" s="156">
        <f>1040676.5+H47</f>
        <v>1041864.5</v>
      </c>
      <c r="M47" s="152">
        <f>133177+J47</f>
        <v>133415</v>
      </c>
      <c r="N47" s="267">
        <f>+L47/M47</f>
        <v>7.809200614623543</v>
      </c>
      <c r="O47" s="349">
        <v>1</v>
      </c>
      <c r="P47" s="234"/>
    </row>
    <row r="48" spans="1:16" ht="15">
      <c r="A48" s="39">
        <v>45</v>
      </c>
      <c r="B48" s="265" t="s">
        <v>3</v>
      </c>
      <c r="C48" s="26">
        <v>40151</v>
      </c>
      <c r="D48" s="28" t="s">
        <v>154</v>
      </c>
      <c r="E48" s="55">
        <v>140</v>
      </c>
      <c r="F48" s="55">
        <v>19</v>
      </c>
      <c r="G48" s="55">
        <v>7</v>
      </c>
      <c r="H48" s="166">
        <v>16570</v>
      </c>
      <c r="I48" s="167">
        <v>2937</v>
      </c>
      <c r="J48" s="184">
        <f>IF(H48&lt;&gt;0,I48/F48,"")</f>
        <v>154.57894736842104</v>
      </c>
      <c r="K48" s="185">
        <f>IF(H48&lt;&gt;0,H48/I48,"")</f>
        <v>5.64181137214845</v>
      </c>
      <c r="L48" s="186">
        <v>1036414</v>
      </c>
      <c r="M48" s="152">
        <v>132115</v>
      </c>
      <c r="N48" s="272">
        <f>IF(L48&lt;&gt;0,L48/M48,"")</f>
        <v>7.844786738826023</v>
      </c>
      <c r="O48" s="308"/>
      <c r="P48" s="234"/>
    </row>
    <row r="49" spans="1:16" ht="15">
      <c r="A49" s="39">
        <v>46</v>
      </c>
      <c r="B49" s="265" t="s">
        <v>81</v>
      </c>
      <c r="C49" s="26">
        <v>40151</v>
      </c>
      <c r="D49" s="28" t="s">
        <v>154</v>
      </c>
      <c r="E49" s="55">
        <v>140</v>
      </c>
      <c r="F49" s="55">
        <v>18</v>
      </c>
      <c r="G49" s="55">
        <v>6</v>
      </c>
      <c r="H49" s="166">
        <v>9901</v>
      </c>
      <c r="I49" s="168">
        <v>1541</v>
      </c>
      <c r="J49" s="187">
        <f>IF(H49&lt;&gt;0,I49/F49,"")</f>
        <v>85.61111111111111</v>
      </c>
      <c r="K49" s="188">
        <f>IF(H49&lt;&gt;0,H49/I49,"")</f>
        <v>6.425048669695003</v>
      </c>
      <c r="L49" s="186">
        <v>1019844</v>
      </c>
      <c r="M49" s="181">
        <v>129178</v>
      </c>
      <c r="N49" s="272">
        <f>IF(L49&lt;&gt;0,L49/M49,"")</f>
        <v>7.894873740110545</v>
      </c>
      <c r="O49" s="305"/>
      <c r="P49" s="234"/>
    </row>
    <row r="50" spans="1:16" ht="15">
      <c r="A50" s="39">
        <v>47</v>
      </c>
      <c r="B50" s="265" t="s">
        <v>81</v>
      </c>
      <c r="C50" s="26">
        <v>40151</v>
      </c>
      <c r="D50" s="30" t="s">
        <v>154</v>
      </c>
      <c r="E50" s="55">
        <v>140</v>
      </c>
      <c r="F50" s="55">
        <v>15</v>
      </c>
      <c r="G50" s="55">
        <v>5</v>
      </c>
      <c r="H50" s="166">
        <v>6903</v>
      </c>
      <c r="I50" s="168">
        <v>1187</v>
      </c>
      <c r="J50" s="187">
        <f>IF(H50&lt;&gt;0,I50/F50,"")</f>
        <v>79.13333333333334</v>
      </c>
      <c r="K50" s="185">
        <f>IF(H50&lt;&gt;0,H50/I50,"")</f>
        <v>5.815501263689975</v>
      </c>
      <c r="L50" s="186">
        <v>1009943</v>
      </c>
      <c r="M50" s="181">
        <v>127637</v>
      </c>
      <c r="N50" s="272">
        <f>IF(L50&lt;&gt;0,L50/M50,"")</f>
        <v>7.9126193815273</v>
      </c>
      <c r="O50" s="303"/>
      <c r="P50" s="234"/>
    </row>
    <row r="51" spans="1:16" ht="15">
      <c r="A51" s="39">
        <v>48</v>
      </c>
      <c r="B51" s="268" t="s">
        <v>3</v>
      </c>
      <c r="C51" s="31">
        <v>40151</v>
      </c>
      <c r="D51" s="28" t="s">
        <v>154</v>
      </c>
      <c r="E51" s="56">
        <v>140</v>
      </c>
      <c r="F51" s="56">
        <v>1</v>
      </c>
      <c r="G51" s="56">
        <v>11</v>
      </c>
      <c r="H51" s="148">
        <v>1761</v>
      </c>
      <c r="I51" s="162">
        <v>501</v>
      </c>
      <c r="J51" s="181">
        <f>I51/F51</f>
        <v>501</v>
      </c>
      <c r="K51" s="182">
        <f>H51/I51</f>
        <v>3.5149700598802394</v>
      </c>
      <c r="L51" s="183">
        <v>1040676.5</v>
      </c>
      <c r="M51" s="181">
        <v>133177</v>
      </c>
      <c r="N51" s="267">
        <f>+L51/M51</f>
        <v>7.8142359416415745</v>
      </c>
      <c r="O51" s="332"/>
      <c r="P51" s="234"/>
    </row>
    <row r="52" spans="1:16" ht="15">
      <c r="A52" s="39">
        <v>49</v>
      </c>
      <c r="B52" s="268" t="s">
        <v>81</v>
      </c>
      <c r="C52" s="31">
        <v>40151</v>
      </c>
      <c r="D52" s="28" t="s">
        <v>154</v>
      </c>
      <c r="E52" s="56">
        <v>140</v>
      </c>
      <c r="F52" s="56">
        <v>3</v>
      </c>
      <c r="G52" s="56">
        <v>9</v>
      </c>
      <c r="H52" s="161">
        <v>1435.5</v>
      </c>
      <c r="I52" s="150">
        <v>375</v>
      </c>
      <c r="J52" s="152">
        <f>I52/F52</f>
        <v>125</v>
      </c>
      <c r="K52" s="154">
        <f>H52/I52</f>
        <v>3.828</v>
      </c>
      <c r="L52" s="156">
        <v>1038795.5</v>
      </c>
      <c r="M52" s="152">
        <v>132664</v>
      </c>
      <c r="N52" s="267">
        <f>L52/M52</f>
        <v>7.830274226617621</v>
      </c>
      <c r="O52" s="332">
        <v>1</v>
      </c>
      <c r="P52" s="234"/>
    </row>
    <row r="53" spans="1:16" ht="15">
      <c r="A53" s="39">
        <v>50</v>
      </c>
      <c r="B53" s="268" t="s">
        <v>81</v>
      </c>
      <c r="C53" s="31">
        <v>40151</v>
      </c>
      <c r="D53" s="33" t="s">
        <v>154</v>
      </c>
      <c r="E53" s="56">
        <v>140</v>
      </c>
      <c r="F53" s="56">
        <v>3</v>
      </c>
      <c r="G53" s="56">
        <v>8</v>
      </c>
      <c r="H53" s="149">
        <v>946</v>
      </c>
      <c r="I53" s="151">
        <v>174</v>
      </c>
      <c r="J53" s="153">
        <f>IF(H53&lt;&gt;0,I53/F53,"")</f>
        <v>58</v>
      </c>
      <c r="K53" s="155">
        <f>IF(H53&lt;&gt;0,H53/I53,"")</f>
        <v>5.436781609195402</v>
      </c>
      <c r="L53" s="157">
        <v>1037360</v>
      </c>
      <c r="M53" s="158">
        <v>132289</v>
      </c>
      <c r="N53" s="266">
        <f>IF(L53&lt;&gt;0,L53/M53,"")</f>
        <v>7.841619484613233</v>
      </c>
      <c r="O53" s="332">
        <v>1</v>
      </c>
      <c r="P53" s="234"/>
    </row>
    <row r="54" spans="1:16" ht="15">
      <c r="A54" s="39">
        <v>51</v>
      </c>
      <c r="B54" s="268" t="s">
        <v>3</v>
      </c>
      <c r="C54" s="31">
        <v>40151</v>
      </c>
      <c r="D54" s="28" t="s">
        <v>154</v>
      </c>
      <c r="E54" s="56">
        <v>140</v>
      </c>
      <c r="F54" s="56">
        <v>1</v>
      </c>
      <c r="G54" s="56">
        <v>10</v>
      </c>
      <c r="H54" s="161">
        <v>120</v>
      </c>
      <c r="I54" s="150">
        <v>12</v>
      </c>
      <c r="J54" s="152">
        <f>IF(H54&lt;&gt;0,I54/F54,"")</f>
        <v>12</v>
      </c>
      <c r="K54" s="154">
        <f>IF(H54&lt;&gt;0,H54/I54,"")</f>
        <v>10</v>
      </c>
      <c r="L54" s="156">
        <v>1038915.5</v>
      </c>
      <c r="M54" s="152">
        <v>132676</v>
      </c>
      <c r="N54" s="267">
        <f>IF(L54&lt;&gt;0,L54/M54,"")</f>
        <v>7.830470469414212</v>
      </c>
      <c r="O54" s="332">
        <v>1</v>
      </c>
      <c r="P54" s="234"/>
    </row>
    <row r="55" spans="1:16" ht="15">
      <c r="A55" s="39">
        <v>52</v>
      </c>
      <c r="B55" s="265" t="s">
        <v>111</v>
      </c>
      <c r="C55" s="31">
        <v>40088</v>
      </c>
      <c r="D55" s="28" t="s">
        <v>57</v>
      </c>
      <c r="E55" s="54">
        <v>25</v>
      </c>
      <c r="F55" s="54">
        <v>2</v>
      </c>
      <c r="G55" s="54">
        <v>11</v>
      </c>
      <c r="H55" s="163">
        <v>2376</v>
      </c>
      <c r="I55" s="164">
        <v>475</v>
      </c>
      <c r="J55" s="181">
        <f>I55/F55</f>
        <v>237.5</v>
      </c>
      <c r="K55" s="182">
        <f aca="true" t="shared" si="8" ref="K55:K60">H55/I55</f>
        <v>5.002105263157895</v>
      </c>
      <c r="L55" s="183">
        <v>45554.25</v>
      </c>
      <c r="M55" s="181">
        <v>7695</v>
      </c>
      <c r="N55" s="270">
        <f>+L55/M55</f>
        <v>5.919980506822612</v>
      </c>
      <c r="O55" s="340">
        <v>1</v>
      </c>
      <c r="P55" s="234"/>
    </row>
    <row r="56" spans="1:16" ht="15">
      <c r="A56" s="39">
        <v>53</v>
      </c>
      <c r="B56" s="268" t="s">
        <v>111</v>
      </c>
      <c r="C56" s="31">
        <v>40088</v>
      </c>
      <c r="D56" s="28" t="s">
        <v>57</v>
      </c>
      <c r="E56" s="56">
        <v>25</v>
      </c>
      <c r="F56" s="56">
        <v>1</v>
      </c>
      <c r="G56" s="56">
        <v>9</v>
      </c>
      <c r="H56" s="161">
        <v>1782</v>
      </c>
      <c r="I56" s="150">
        <v>356</v>
      </c>
      <c r="J56" s="152">
        <f>I56/F56</f>
        <v>356</v>
      </c>
      <c r="K56" s="154">
        <f t="shared" si="8"/>
        <v>5.00561797752809</v>
      </c>
      <c r="L56" s="156">
        <v>41396.25</v>
      </c>
      <c r="M56" s="152">
        <v>6864</v>
      </c>
      <c r="N56" s="267">
        <f aca="true" t="shared" si="9" ref="N56:N62">L56/M56</f>
        <v>6.0309222027972025</v>
      </c>
      <c r="O56" s="330">
        <v>1</v>
      </c>
      <c r="P56" s="234"/>
    </row>
    <row r="57" spans="1:16" ht="15">
      <c r="A57" s="39">
        <v>54</v>
      </c>
      <c r="B57" s="268" t="s">
        <v>66</v>
      </c>
      <c r="C57" s="31">
        <v>40165</v>
      </c>
      <c r="D57" s="32" t="s">
        <v>242</v>
      </c>
      <c r="E57" s="56">
        <v>74</v>
      </c>
      <c r="F57" s="56">
        <v>63</v>
      </c>
      <c r="G57" s="56">
        <v>3</v>
      </c>
      <c r="H57" s="159">
        <v>124291.75</v>
      </c>
      <c r="I57" s="160">
        <v>14864</v>
      </c>
      <c r="J57" s="177">
        <f>(I57/F57)</f>
        <v>235.93650793650792</v>
      </c>
      <c r="K57" s="155">
        <f t="shared" si="8"/>
        <v>8.361931512378902</v>
      </c>
      <c r="L57" s="178">
        <f>507128.25+345268.5+124291.75</f>
        <v>976688.5</v>
      </c>
      <c r="M57" s="179">
        <f>53408+37346+14864</f>
        <v>105618</v>
      </c>
      <c r="N57" s="266">
        <f t="shared" si="9"/>
        <v>9.247367872900453</v>
      </c>
      <c r="O57" s="330">
        <v>1</v>
      </c>
      <c r="P57" s="234"/>
    </row>
    <row r="58" spans="1:16" ht="15">
      <c r="A58" s="39">
        <v>55</v>
      </c>
      <c r="B58" s="268" t="s">
        <v>66</v>
      </c>
      <c r="C58" s="31">
        <v>40165</v>
      </c>
      <c r="D58" s="32" t="s">
        <v>242</v>
      </c>
      <c r="E58" s="56">
        <v>74</v>
      </c>
      <c r="F58" s="56">
        <v>74</v>
      </c>
      <c r="G58" s="56">
        <v>4</v>
      </c>
      <c r="H58" s="159">
        <v>100787</v>
      </c>
      <c r="I58" s="160">
        <v>15043</v>
      </c>
      <c r="J58" s="177">
        <f>(I58/F58)</f>
        <v>203.28378378378378</v>
      </c>
      <c r="K58" s="180">
        <f t="shared" si="8"/>
        <v>6.699926876287974</v>
      </c>
      <c r="L58" s="178">
        <f>507128.25+345268.5+124291.75+100787</f>
        <v>1077475.5</v>
      </c>
      <c r="M58" s="179">
        <f>53408+37346+14864+15043</f>
        <v>120661</v>
      </c>
      <c r="N58" s="266">
        <f t="shared" si="9"/>
        <v>8.929774326418643</v>
      </c>
      <c r="O58" s="330">
        <v>1</v>
      </c>
      <c r="P58" s="234"/>
    </row>
    <row r="59" spans="1:16" ht="15">
      <c r="A59" s="39">
        <v>56</v>
      </c>
      <c r="B59" s="269" t="s">
        <v>66</v>
      </c>
      <c r="C59" s="34">
        <v>40165</v>
      </c>
      <c r="D59" s="32" t="s">
        <v>242</v>
      </c>
      <c r="E59" s="57">
        <v>74</v>
      </c>
      <c r="F59" s="57">
        <v>53</v>
      </c>
      <c r="G59" s="57">
        <v>5</v>
      </c>
      <c r="H59" s="159">
        <v>70944</v>
      </c>
      <c r="I59" s="151">
        <v>11010</v>
      </c>
      <c r="J59" s="153">
        <f>(I59/F59)</f>
        <v>207.73584905660377</v>
      </c>
      <c r="K59" s="155">
        <f t="shared" si="8"/>
        <v>6.443596730245232</v>
      </c>
      <c r="L59" s="178">
        <f>507128.25+345268.5+124291.75+100787+70944</f>
        <v>1148419.5</v>
      </c>
      <c r="M59" s="158">
        <f>53408+37346+14864+15043+11010</f>
        <v>131671</v>
      </c>
      <c r="N59" s="266">
        <f t="shared" si="9"/>
        <v>8.72188636829674</v>
      </c>
      <c r="O59" s="332">
        <v>1</v>
      </c>
      <c r="P59" s="234"/>
    </row>
    <row r="60" spans="1:16" ht="15">
      <c r="A60" s="39">
        <v>57</v>
      </c>
      <c r="B60" s="268" t="s">
        <v>29</v>
      </c>
      <c r="C60" s="31">
        <v>40165</v>
      </c>
      <c r="D60" s="32" t="s">
        <v>242</v>
      </c>
      <c r="E60" s="56">
        <v>74</v>
      </c>
      <c r="F60" s="56">
        <v>21</v>
      </c>
      <c r="G60" s="56">
        <v>6</v>
      </c>
      <c r="H60" s="149">
        <v>12241</v>
      </c>
      <c r="I60" s="151">
        <v>2268</v>
      </c>
      <c r="J60" s="153">
        <f>(I60/F60)</f>
        <v>108</v>
      </c>
      <c r="K60" s="155">
        <f t="shared" si="8"/>
        <v>5.39726631393298</v>
      </c>
      <c r="L60" s="157">
        <f>507128.25+345268.5+124291.75+100787+70944+12241</f>
        <v>1160660.5</v>
      </c>
      <c r="M60" s="158">
        <f>53408+37346+14864+15043+11010+2268</f>
        <v>133939</v>
      </c>
      <c r="N60" s="266">
        <f t="shared" si="9"/>
        <v>8.665590306034836</v>
      </c>
      <c r="O60" s="345">
        <v>1</v>
      </c>
      <c r="P60" s="234"/>
    </row>
    <row r="61" spans="1:16" ht="15">
      <c r="A61" s="39">
        <v>58</v>
      </c>
      <c r="B61" s="269" t="s">
        <v>108</v>
      </c>
      <c r="C61" s="34">
        <v>40165</v>
      </c>
      <c r="D61" s="32" t="s">
        <v>242</v>
      </c>
      <c r="E61" s="57">
        <v>74</v>
      </c>
      <c r="F61" s="57">
        <v>15</v>
      </c>
      <c r="G61" s="57">
        <v>7</v>
      </c>
      <c r="H61" s="149">
        <v>11639</v>
      </c>
      <c r="I61" s="151">
        <v>2130</v>
      </c>
      <c r="J61" s="153">
        <f>(I61/F61)</f>
        <v>142</v>
      </c>
      <c r="K61" s="154">
        <f>+H61/I61</f>
        <v>5.464319248826291</v>
      </c>
      <c r="L61" s="157">
        <f>507128.25+345268.5+124291.75+100787+70944+12241+11639</f>
        <v>1172299.5</v>
      </c>
      <c r="M61" s="158">
        <f>53408+37346+14864+15043+11010+2268+2130</f>
        <v>136069</v>
      </c>
      <c r="N61" s="266">
        <f t="shared" si="9"/>
        <v>8.615478176513387</v>
      </c>
      <c r="O61" s="332">
        <v>1</v>
      </c>
      <c r="P61" s="234"/>
    </row>
    <row r="62" spans="1:16" ht="15">
      <c r="A62" s="39">
        <v>59</v>
      </c>
      <c r="B62" s="268" t="s">
        <v>66</v>
      </c>
      <c r="C62" s="31">
        <v>40165</v>
      </c>
      <c r="D62" s="32" t="s">
        <v>242</v>
      </c>
      <c r="E62" s="56">
        <v>74</v>
      </c>
      <c r="F62" s="56">
        <v>14</v>
      </c>
      <c r="G62" s="56">
        <v>8</v>
      </c>
      <c r="H62" s="161">
        <v>8352</v>
      </c>
      <c r="I62" s="150">
        <v>1478</v>
      </c>
      <c r="J62" s="152">
        <f>I62/F62</f>
        <v>105.57142857142857</v>
      </c>
      <c r="K62" s="154">
        <f>+H62/I62</f>
        <v>5.650879566982408</v>
      </c>
      <c r="L62" s="156">
        <f>507128.25+345268.5+124291.75+100787+70944+12241+11639+8352</f>
        <v>1180651.5</v>
      </c>
      <c r="M62" s="152">
        <f>53408+37346+14864+15043+11010+2268+2130+1478</f>
        <v>137547</v>
      </c>
      <c r="N62" s="267">
        <f t="shared" si="9"/>
        <v>8.583622325459661</v>
      </c>
      <c r="O62" s="330">
        <v>1</v>
      </c>
      <c r="P62" s="234"/>
    </row>
    <row r="63" spans="1:16" ht="15">
      <c r="A63" s="39">
        <v>60</v>
      </c>
      <c r="B63" s="268" t="s">
        <v>66</v>
      </c>
      <c r="C63" s="31">
        <v>40165</v>
      </c>
      <c r="D63" s="32" t="s">
        <v>242</v>
      </c>
      <c r="E63" s="56">
        <v>74</v>
      </c>
      <c r="F63" s="56">
        <v>2</v>
      </c>
      <c r="G63" s="56">
        <v>10</v>
      </c>
      <c r="H63" s="148">
        <v>3277</v>
      </c>
      <c r="I63" s="162">
        <v>598</v>
      </c>
      <c r="J63" s="181">
        <f>I63/F63</f>
        <v>299</v>
      </c>
      <c r="K63" s="182">
        <f aca="true" t="shared" si="10" ref="K63:K70">H63/I63</f>
        <v>5.4799331103678925</v>
      </c>
      <c r="L63" s="183">
        <f>507128.25+345268.5+124291.75+100787+70944+12241+11639+8352+766+3277</f>
        <v>1184694.5</v>
      </c>
      <c r="M63" s="181">
        <f>53408+37346+14864+15043+11010+2268+2130+1478+133+598</f>
        <v>138278</v>
      </c>
      <c r="N63" s="267">
        <f>+L63/M63</f>
        <v>8.567483619954006</v>
      </c>
      <c r="O63" s="346">
        <v>1</v>
      </c>
      <c r="P63" s="234"/>
    </row>
    <row r="64" spans="1:16" ht="15">
      <c r="A64" s="39">
        <v>61</v>
      </c>
      <c r="B64" s="265" t="s">
        <v>66</v>
      </c>
      <c r="C64" s="31">
        <v>40165</v>
      </c>
      <c r="D64" s="32" t="s">
        <v>242</v>
      </c>
      <c r="E64" s="54">
        <v>74</v>
      </c>
      <c r="F64" s="54">
        <v>1</v>
      </c>
      <c r="G64" s="54">
        <v>13</v>
      </c>
      <c r="H64" s="163">
        <v>2376</v>
      </c>
      <c r="I64" s="164">
        <v>594</v>
      </c>
      <c r="J64" s="181">
        <f>(I64/F64)</f>
        <v>594</v>
      </c>
      <c r="K64" s="182">
        <f t="shared" si="10"/>
        <v>4</v>
      </c>
      <c r="L64" s="183">
        <f>507128.25+345268.5+124291.75+100787+70944+12241+11639+8352+766+3277+69+87+2376</f>
        <v>1187226.5</v>
      </c>
      <c r="M64" s="181">
        <f>53408+37346+14864+15043+11010+2268+2130+1478+133+598+23+29+594</f>
        <v>138924</v>
      </c>
      <c r="N64" s="270">
        <f>L64/M64</f>
        <v>8.545870403961878</v>
      </c>
      <c r="O64" s="332">
        <v>1</v>
      </c>
      <c r="P64" s="234"/>
    </row>
    <row r="65" spans="1:16" ht="15">
      <c r="A65" s="39">
        <v>62</v>
      </c>
      <c r="B65" s="268" t="s">
        <v>66</v>
      </c>
      <c r="C65" s="31">
        <v>40165</v>
      </c>
      <c r="D65" s="32" t="s">
        <v>242</v>
      </c>
      <c r="E65" s="56">
        <v>74</v>
      </c>
      <c r="F65" s="56">
        <v>1</v>
      </c>
      <c r="G65" s="56">
        <v>9</v>
      </c>
      <c r="H65" s="148">
        <v>766</v>
      </c>
      <c r="I65" s="162">
        <v>133</v>
      </c>
      <c r="J65" s="181">
        <f>(I65/F65)</f>
        <v>133</v>
      </c>
      <c r="K65" s="182">
        <f t="shared" si="10"/>
        <v>5.7593984962406015</v>
      </c>
      <c r="L65" s="183">
        <f>507128.25+345268.5+124291.75+100787+70944+12241+11639+8352+766</f>
        <v>1181417.5</v>
      </c>
      <c r="M65" s="181">
        <f>53408+37346+14864+15043+11010+2268+2130+1478+133</f>
        <v>137680</v>
      </c>
      <c r="N65" s="267">
        <f>L65/M65</f>
        <v>8.580894102266125</v>
      </c>
      <c r="O65" s="332">
        <v>1</v>
      </c>
      <c r="P65" s="234"/>
    </row>
    <row r="66" spans="1:16" ht="15">
      <c r="A66" s="39">
        <v>63</v>
      </c>
      <c r="B66" s="268" t="s">
        <v>66</v>
      </c>
      <c r="C66" s="46">
        <v>40165</v>
      </c>
      <c r="D66" s="32" t="s">
        <v>242</v>
      </c>
      <c r="E66" s="54">
        <v>74</v>
      </c>
      <c r="F66" s="54">
        <v>1</v>
      </c>
      <c r="G66" s="54">
        <v>12</v>
      </c>
      <c r="H66" s="163">
        <v>87</v>
      </c>
      <c r="I66" s="164">
        <v>29</v>
      </c>
      <c r="J66" s="181">
        <f>(I66/F66)</f>
        <v>29</v>
      </c>
      <c r="K66" s="182">
        <f t="shared" si="10"/>
        <v>3</v>
      </c>
      <c r="L66" s="183">
        <f>507128.25+345268.5+124291.75+100787+70944+12241+11639+8352+766+3277+69+87</f>
        <v>1184850.5</v>
      </c>
      <c r="M66" s="181">
        <f>53408+37346+14864+15043+11010+2268+2130+1478+133+598+23+29</f>
        <v>138330</v>
      </c>
      <c r="N66" s="267">
        <f>+L66/M66</f>
        <v>8.565390732306803</v>
      </c>
      <c r="O66" s="332">
        <v>1</v>
      </c>
      <c r="P66" s="234"/>
    </row>
    <row r="67" spans="1:16" ht="15">
      <c r="A67" s="39">
        <v>64</v>
      </c>
      <c r="B67" s="268" t="s">
        <v>66</v>
      </c>
      <c r="C67" s="46">
        <v>40165</v>
      </c>
      <c r="D67" s="32" t="s">
        <v>242</v>
      </c>
      <c r="E67" s="54">
        <v>74</v>
      </c>
      <c r="F67" s="54">
        <v>1</v>
      </c>
      <c r="G67" s="54">
        <v>11</v>
      </c>
      <c r="H67" s="163">
        <v>69</v>
      </c>
      <c r="I67" s="164">
        <v>23</v>
      </c>
      <c r="J67" s="181">
        <f>(I67/F67)</f>
        <v>23</v>
      </c>
      <c r="K67" s="182">
        <f t="shared" si="10"/>
        <v>3</v>
      </c>
      <c r="L67" s="183">
        <f>507128.25+345268.5+124291.75+100787+70944+12241+11639+8352+766+3277+69</f>
        <v>1184763.5</v>
      </c>
      <c r="M67" s="181">
        <f>53408+37346+14864+15043+11010+2268+2130+1478+133+598+23</f>
        <v>138301</v>
      </c>
      <c r="N67" s="267">
        <f>L67/M67</f>
        <v>8.566557725540669</v>
      </c>
      <c r="O67" s="345">
        <v>1</v>
      </c>
      <c r="P67" s="234"/>
    </row>
    <row r="68" spans="1:16" ht="15">
      <c r="A68" s="39">
        <v>65</v>
      </c>
      <c r="B68" s="273" t="s">
        <v>177</v>
      </c>
      <c r="C68" s="26">
        <v>40151</v>
      </c>
      <c r="D68" s="28" t="s">
        <v>243</v>
      </c>
      <c r="E68" s="58">
        <v>128</v>
      </c>
      <c r="F68" s="58">
        <v>14</v>
      </c>
      <c r="G68" s="58">
        <v>5</v>
      </c>
      <c r="H68" s="169">
        <v>10820.5</v>
      </c>
      <c r="I68" s="170">
        <v>2203</v>
      </c>
      <c r="J68" s="189">
        <f aca="true" t="shared" si="11" ref="J68:J75">I68/F68</f>
        <v>157.35714285714286</v>
      </c>
      <c r="K68" s="190">
        <f t="shared" si="10"/>
        <v>4.911711302768952</v>
      </c>
      <c r="L68" s="191">
        <v>1602521</v>
      </c>
      <c r="M68" s="192">
        <v>185512</v>
      </c>
      <c r="N68" s="274">
        <f>+L68/M68</f>
        <v>8.638368407434559</v>
      </c>
      <c r="O68" s="330">
        <v>1</v>
      </c>
      <c r="P68" s="234"/>
    </row>
    <row r="69" spans="1:16" ht="15">
      <c r="A69" s="39">
        <v>66</v>
      </c>
      <c r="B69" s="273" t="s">
        <v>177</v>
      </c>
      <c r="C69" s="26">
        <v>40151</v>
      </c>
      <c r="D69" s="28" t="s">
        <v>243</v>
      </c>
      <c r="E69" s="58">
        <v>128</v>
      </c>
      <c r="F69" s="58">
        <v>13</v>
      </c>
      <c r="G69" s="58">
        <v>6</v>
      </c>
      <c r="H69" s="169">
        <v>10811</v>
      </c>
      <c r="I69" s="170">
        <v>1908</v>
      </c>
      <c r="J69" s="189">
        <f t="shared" si="11"/>
        <v>146.76923076923077</v>
      </c>
      <c r="K69" s="193">
        <f t="shared" si="10"/>
        <v>5.666142557651992</v>
      </c>
      <c r="L69" s="191">
        <v>1613332</v>
      </c>
      <c r="M69" s="192">
        <v>187420</v>
      </c>
      <c r="N69" s="272">
        <f>IF(L69&lt;&gt;0,L69/M69,"")</f>
        <v>8.608110126987516</v>
      </c>
      <c r="O69" s="345">
        <v>1</v>
      </c>
      <c r="P69" s="234"/>
    </row>
    <row r="70" spans="1:16" ht="15">
      <c r="A70" s="39">
        <v>67</v>
      </c>
      <c r="B70" s="273" t="s">
        <v>177</v>
      </c>
      <c r="C70" s="26">
        <v>40151</v>
      </c>
      <c r="D70" s="28" t="s">
        <v>243</v>
      </c>
      <c r="E70" s="58">
        <v>128</v>
      </c>
      <c r="F70" s="58">
        <v>7</v>
      </c>
      <c r="G70" s="58">
        <v>7</v>
      </c>
      <c r="H70" s="169">
        <v>8704</v>
      </c>
      <c r="I70" s="171">
        <v>1365</v>
      </c>
      <c r="J70" s="194">
        <f t="shared" si="11"/>
        <v>195</v>
      </c>
      <c r="K70" s="190">
        <f t="shared" si="10"/>
        <v>6.376556776556777</v>
      </c>
      <c r="L70" s="191">
        <v>1622035.5</v>
      </c>
      <c r="M70" s="195">
        <v>188785</v>
      </c>
      <c r="N70" s="272">
        <f>IF(L70&lt;&gt;0,L70/M70,"")</f>
        <v>8.591972349498107</v>
      </c>
      <c r="O70" s="333">
        <v>1</v>
      </c>
      <c r="P70" s="234"/>
    </row>
    <row r="71" spans="1:16" ht="15">
      <c r="A71" s="39">
        <v>68</v>
      </c>
      <c r="B71" s="268" t="s">
        <v>161</v>
      </c>
      <c r="C71" s="31">
        <v>40151</v>
      </c>
      <c r="D71" s="28" t="s">
        <v>243</v>
      </c>
      <c r="E71" s="56">
        <v>128</v>
      </c>
      <c r="F71" s="56">
        <v>8</v>
      </c>
      <c r="G71" s="56">
        <v>10</v>
      </c>
      <c r="H71" s="161">
        <v>6128</v>
      </c>
      <c r="I71" s="150">
        <v>1096</v>
      </c>
      <c r="J71" s="152">
        <f t="shared" si="11"/>
        <v>137</v>
      </c>
      <c r="K71" s="154">
        <f>+H71/I71</f>
        <v>5.591240875912408</v>
      </c>
      <c r="L71" s="156">
        <v>1635532.5</v>
      </c>
      <c r="M71" s="152">
        <v>191618</v>
      </c>
      <c r="N71" s="267">
        <f>+L71/M71</f>
        <v>8.535380287864397</v>
      </c>
      <c r="O71" s="332">
        <v>1</v>
      </c>
      <c r="P71" s="234"/>
    </row>
    <row r="72" spans="1:16" ht="15">
      <c r="A72" s="39">
        <v>69</v>
      </c>
      <c r="B72" s="273" t="s">
        <v>177</v>
      </c>
      <c r="C72" s="31">
        <v>40151</v>
      </c>
      <c r="D72" s="28" t="s">
        <v>243</v>
      </c>
      <c r="E72" s="56">
        <v>128</v>
      </c>
      <c r="F72" s="56">
        <v>6</v>
      </c>
      <c r="G72" s="56">
        <v>8</v>
      </c>
      <c r="H72" s="161">
        <v>5193</v>
      </c>
      <c r="I72" s="150">
        <v>1233</v>
      </c>
      <c r="J72" s="153">
        <f t="shared" si="11"/>
        <v>205.5</v>
      </c>
      <c r="K72" s="155">
        <f>H72/I72</f>
        <v>4.211678832116788</v>
      </c>
      <c r="L72" s="156">
        <v>1627228.5</v>
      </c>
      <c r="M72" s="152">
        <v>190018</v>
      </c>
      <c r="N72" s="266">
        <f>+L72/M72</f>
        <v>8.563549242703322</v>
      </c>
      <c r="O72" s="332">
        <v>1</v>
      </c>
      <c r="P72" s="234"/>
    </row>
    <row r="73" spans="1:16" ht="15">
      <c r="A73" s="39">
        <v>70</v>
      </c>
      <c r="B73" s="273" t="s">
        <v>177</v>
      </c>
      <c r="C73" s="31">
        <v>40151</v>
      </c>
      <c r="D73" s="28" t="s">
        <v>243</v>
      </c>
      <c r="E73" s="56">
        <v>128</v>
      </c>
      <c r="F73" s="56">
        <v>4</v>
      </c>
      <c r="G73" s="56">
        <v>8</v>
      </c>
      <c r="H73" s="161">
        <v>2176</v>
      </c>
      <c r="I73" s="150">
        <v>504</v>
      </c>
      <c r="J73" s="152">
        <f t="shared" si="11"/>
        <v>126</v>
      </c>
      <c r="K73" s="154">
        <f>H73/I73</f>
        <v>4.317460317460317</v>
      </c>
      <c r="L73" s="156">
        <v>1629405.5</v>
      </c>
      <c r="M73" s="152">
        <v>190522</v>
      </c>
      <c r="N73" s="267">
        <f>L73/M73</f>
        <v>8.552322041549008</v>
      </c>
      <c r="O73" s="332">
        <v>1</v>
      </c>
      <c r="P73" s="234"/>
    </row>
    <row r="74" spans="1:16" ht="15">
      <c r="A74" s="39">
        <v>71</v>
      </c>
      <c r="B74" s="268" t="s">
        <v>161</v>
      </c>
      <c r="C74" s="31">
        <v>40151</v>
      </c>
      <c r="D74" s="28" t="s">
        <v>243</v>
      </c>
      <c r="E74" s="56">
        <v>128</v>
      </c>
      <c r="F74" s="56">
        <v>2</v>
      </c>
      <c r="G74" s="56">
        <v>11</v>
      </c>
      <c r="H74" s="148">
        <v>307</v>
      </c>
      <c r="I74" s="162">
        <v>54</v>
      </c>
      <c r="J74" s="181">
        <f t="shared" si="11"/>
        <v>27</v>
      </c>
      <c r="K74" s="182">
        <f>H74/I74</f>
        <v>5.685185185185185</v>
      </c>
      <c r="L74" s="183">
        <v>1635839.5</v>
      </c>
      <c r="M74" s="181">
        <v>191672</v>
      </c>
      <c r="N74" s="267">
        <f>+L74/M74</f>
        <v>8.534577298718645</v>
      </c>
      <c r="O74" s="332">
        <v>1</v>
      </c>
      <c r="P74" s="234"/>
    </row>
    <row r="75" spans="1:16" ht="15">
      <c r="A75" s="39">
        <v>72</v>
      </c>
      <c r="B75" s="265" t="s">
        <v>258</v>
      </c>
      <c r="C75" s="31">
        <v>35552</v>
      </c>
      <c r="D75" s="32" t="s">
        <v>255</v>
      </c>
      <c r="E75" s="56">
        <v>1</v>
      </c>
      <c r="F75" s="56">
        <v>1</v>
      </c>
      <c r="G75" s="56">
        <v>20</v>
      </c>
      <c r="H75" s="149">
        <v>1240</v>
      </c>
      <c r="I75" s="151">
        <v>310</v>
      </c>
      <c r="J75" s="152">
        <f t="shared" si="11"/>
        <v>310</v>
      </c>
      <c r="K75" s="154">
        <f>H75/I75</f>
        <v>4</v>
      </c>
      <c r="L75" s="156">
        <v>1240</v>
      </c>
      <c r="M75" s="152">
        <v>11617</v>
      </c>
      <c r="N75" s="267">
        <f>+L75/M75</f>
        <v>0.1067401222346561</v>
      </c>
      <c r="O75" s="330">
        <v>1</v>
      </c>
      <c r="P75" s="234"/>
    </row>
    <row r="76" spans="1:16" ht="15">
      <c r="A76" s="39">
        <v>73</v>
      </c>
      <c r="B76" s="268" t="s">
        <v>41</v>
      </c>
      <c r="C76" s="31">
        <v>40067</v>
      </c>
      <c r="D76" s="27" t="s">
        <v>242</v>
      </c>
      <c r="E76" s="229">
        <v>51</v>
      </c>
      <c r="F76" s="229">
        <v>2</v>
      </c>
      <c r="G76" s="229">
        <v>25</v>
      </c>
      <c r="H76" s="148">
        <v>2504</v>
      </c>
      <c r="I76" s="162">
        <v>379</v>
      </c>
      <c r="J76" s="181">
        <v>189.5</v>
      </c>
      <c r="K76" s="182">
        <v>6.6068601583113455</v>
      </c>
      <c r="L76" s="183">
        <v>487539.5</v>
      </c>
      <c r="M76" s="181">
        <v>56583</v>
      </c>
      <c r="N76" s="267">
        <v>8.616360037467084</v>
      </c>
      <c r="O76" s="330">
        <v>1</v>
      </c>
      <c r="P76" s="234"/>
    </row>
    <row r="77" spans="1:16" ht="15">
      <c r="A77" s="39">
        <v>74</v>
      </c>
      <c r="B77" s="269" t="s">
        <v>41</v>
      </c>
      <c r="C77" s="34">
        <v>40067</v>
      </c>
      <c r="D77" s="32" t="s">
        <v>242</v>
      </c>
      <c r="E77" s="57">
        <v>51</v>
      </c>
      <c r="F77" s="57">
        <v>2</v>
      </c>
      <c r="G77" s="57">
        <v>20</v>
      </c>
      <c r="H77" s="149">
        <v>4061</v>
      </c>
      <c r="I77" s="151">
        <v>931</v>
      </c>
      <c r="J77" s="153">
        <f>(I77/F77)</f>
        <v>465.5</v>
      </c>
      <c r="K77" s="154">
        <f>+H77/I77</f>
        <v>4.361976369495166</v>
      </c>
      <c r="L77" s="157">
        <f>182949+180053+29827+20114+26140.5+10395.5+4671+3342+2340+5520+249.5+165+3602+91+952+1264+44+1663+1188+4061</f>
        <v>478631.5</v>
      </c>
      <c r="M77" s="158">
        <f>18625+17802+3355+2859+3903+1800+782+594+465+1366+90+60+905+15+238+316+11+244+297+931</f>
        <v>54658</v>
      </c>
      <c r="N77" s="266">
        <f>L77/M77</f>
        <v>8.756842548208862</v>
      </c>
      <c r="O77" s="332">
        <v>1</v>
      </c>
      <c r="P77" s="234"/>
    </row>
    <row r="78" spans="1:16" ht="15">
      <c r="A78" s="39">
        <v>75</v>
      </c>
      <c r="B78" s="268" t="s">
        <v>41</v>
      </c>
      <c r="C78" s="31">
        <v>40067</v>
      </c>
      <c r="D78" s="32" t="s">
        <v>242</v>
      </c>
      <c r="E78" s="56">
        <v>51</v>
      </c>
      <c r="F78" s="56">
        <v>2</v>
      </c>
      <c r="G78" s="56">
        <v>21</v>
      </c>
      <c r="H78" s="161">
        <v>2382</v>
      </c>
      <c r="I78" s="150">
        <v>573</v>
      </c>
      <c r="J78" s="152">
        <f>I78/F78</f>
        <v>286.5</v>
      </c>
      <c r="K78" s="154">
        <f>+H78/I78</f>
        <v>4.157068062827225</v>
      </c>
      <c r="L78" s="156">
        <f>182949+180053+29827+20114+26140.5+10395.5+4671+3342+2340+5520+249.5+165+3602+91+952+1264+44+1663+1188+4061+2382</f>
        <v>481013.5</v>
      </c>
      <c r="M78" s="152">
        <f>18625+17802+3355+2859+3903+1800+782+594+465+1366+90+60+905+15+238+316+11+244+297+931+573</f>
        <v>55231</v>
      </c>
      <c r="N78" s="267">
        <f>L78/M78</f>
        <v>8.709121688906592</v>
      </c>
      <c r="O78" s="332">
        <v>1</v>
      </c>
      <c r="P78" s="234"/>
    </row>
    <row r="79" spans="1:16" ht="15">
      <c r="A79" s="39">
        <v>76</v>
      </c>
      <c r="B79" s="268" t="s">
        <v>41</v>
      </c>
      <c r="C79" s="31">
        <v>40067</v>
      </c>
      <c r="D79" s="32" t="s">
        <v>242</v>
      </c>
      <c r="E79" s="56">
        <v>51</v>
      </c>
      <c r="F79" s="56">
        <v>1</v>
      </c>
      <c r="G79" s="56">
        <v>22</v>
      </c>
      <c r="H79" s="148">
        <v>2020</v>
      </c>
      <c r="I79" s="162">
        <v>505</v>
      </c>
      <c r="J79" s="181">
        <f>(I79/F79)</f>
        <v>505</v>
      </c>
      <c r="K79" s="182">
        <f>H79/I79</f>
        <v>4</v>
      </c>
      <c r="L79" s="183">
        <f>182949+180053+29827+20114+26140.5+10395.5+4671+3342+2340+5520+249.5+165+3602+91+952+1264+44+1663+1188+4061+2382+2020</f>
        <v>483033.5</v>
      </c>
      <c r="M79" s="181">
        <f>18625+17802+3355+2859+3903+1800+782+594+465+1366+90+60+905+15+238+316+11+244+297+931+573+505</f>
        <v>55736</v>
      </c>
      <c r="N79" s="267">
        <f>L79/M79</f>
        <v>8.666454356250897</v>
      </c>
      <c r="O79" s="333">
        <v>1</v>
      </c>
      <c r="P79" s="234"/>
    </row>
    <row r="80" spans="1:16" ht="15">
      <c r="A80" s="39">
        <v>77</v>
      </c>
      <c r="B80" s="265" t="s">
        <v>41</v>
      </c>
      <c r="C80" s="31">
        <v>40067</v>
      </c>
      <c r="D80" s="32" t="s">
        <v>242</v>
      </c>
      <c r="E80" s="54">
        <v>51</v>
      </c>
      <c r="F80" s="54">
        <v>1</v>
      </c>
      <c r="G80" s="54">
        <v>23</v>
      </c>
      <c r="H80" s="163">
        <v>1780</v>
      </c>
      <c r="I80" s="164">
        <v>445</v>
      </c>
      <c r="J80" s="181">
        <f>I80/F80</f>
        <v>445</v>
      </c>
      <c r="K80" s="182">
        <f>+H80/I80</f>
        <v>4</v>
      </c>
      <c r="L80" s="183">
        <f>182949+180053+29827+20114+26140.5+10395.5+4671+3342+2340+5520+249.5+165+3602+91+952+1264+44+1663+1188+4061+2382+2020+1780</f>
        <v>484813.5</v>
      </c>
      <c r="M80" s="181">
        <f>18625+17802+3355+2859+3903+1800+782+594+465+1366+90+60+905+15+238+316+11+244+297+931+573+505+445</f>
        <v>56181</v>
      </c>
      <c r="N80" s="270">
        <f>+L80/M80</f>
        <v>8.62949217707054</v>
      </c>
      <c r="O80" s="303">
        <v>1</v>
      </c>
      <c r="P80" s="234"/>
    </row>
    <row r="81" spans="1:16" ht="15">
      <c r="A81" s="39">
        <v>78</v>
      </c>
      <c r="B81" s="268" t="s">
        <v>41</v>
      </c>
      <c r="C81" s="31">
        <v>40067</v>
      </c>
      <c r="D81" s="32" t="s">
        <v>242</v>
      </c>
      <c r="E81" s="56">
        <v>51</v>
      </c>
      <c r="F81" s="56">
        <v>1</v>
      </c>
      <c r="G81" s="56">
        <v>18</v>
      </c>
      <c r="H81" s="159">
        <v>1663</v>
      </c>
      <c r="I81" s="151">
        <v>244</v>
      </c>
      <c r="J81" s="153">
        <f>(I81/F81)</f>
        <v>244</v>
      </c>
      <c r="K81" s="155">
        <f aca="true" t="shared" si="12" ref="K81:K87">H81/I81</f>
        <v>6.815573770491803</v>
      </c>
      <c r="L81" s="178">
        <f>182949+180053+29827+20114+26140.5+10395.5+4671+3342+2340+5520+249.5+165+3602+91+952+1264+44+1663</f>
        <v>473382.5</v>
      </c>
      <c r="M81" s="158">
        <f>18625+17802+3355+2859+3903+1800+782+594+465+1366+90+60+905+15+238+316+11+244</f>
        <v>53430</v>
      </c>
      <c r="N81" s="266">
        <f>L81/M81</f>
        <v>8.859863372637095</v>
      </c>
      <c r="O81" s="303">
        <v>1</v>
      </c>
      <c r="P81" s="234"/>
    </row>
    <row r="82" spans="1:16" ht="15">
      <c r="A82" s="39">
        <v>79</v>
      </c>
      <c r="B82" s="268" t="s">
        <v>41</v>
      </c>
      <c r="C82" s="31">
        <v>40067</v>
      </c>
      <c r="D82" s="32" t="s">
        <v>242</v>
      </c>
      <c r="E82" s="56">
        <v>51</v>
      </c>
      <c r="F82" s="56">
        <v>2</v>
      </c>
      <c r="G82" s="56">
        <v>16</v>
      </c>
      <c r="H82" s="159">
        <v>1264</v>
      </c>
      <c r="I82" s="160">
        <v>316</v>
      </c>
      <c r="J82" s="177">
        <f>(I82/F82)</f>
        <v>158</v>
      </c>
      <c r="K82" s="155">
        <f t="shared" si="12"/>
        <v>4</v>
      </c>
      <c r="L82" s="178">
        <f>182949+180053+29827+20114+26140.5+10395.5+4671+3342+2340+5520+249.5+165+3602+91+952+1264</f>
        <v>471675.5</v>
      </c>
      <c r="M82" s="179">
        <f>18625+17802+3355+2859+3903+1800+782+594+465+1366+90+60+905+15+238+316</f>
        <v>53175</v>
      </c>
      <c r="N82" s="266">
        <f>L82/M82</f>
        <v>8.870249177244945</v>
      </c>
      <c r="O82" s="303">
        <v>1</v>
      </c>
      <c r="P82" s="234"/>
    </row>
    <row r="83" spans="1:16" ht="15">
      <c r="A83" s="39">
        <v>80</v>
      </c>
      <c r="B83" s="268" t="s">
        <v>41</v>
      </c>
      <c r="C83" s="31">
        <v>40067</v>
      </c>
      <c r="D83" s="32" t="s">
        <v>242</v>
      </c>
      <c r="E83" s="56">
        <v>51</v>
      </c>
      <c r="F83" s="56">
        <v>1</v>
      </c>
      <c r="G83" s="56">
        <v>19</v>
      </c>
      <c r="H83" s="149">
        <v>1188</v>
      </c>
      <c r="I83" s="151">
        <v>297</v>
      </c>
      <c r="J83" s="153">
        <f>(I83/F83)</f>
        <v>297</v>
      </c>
      <c r="K83" s="155">
        <f t="shared" si="12"/>
        <v>4</v>
      </c>
      <c r="L83" s="157">
        <f>182949+180053+29827+20114+26140.5+10395.5+4671+3342+2340+5520+249.5+165+3602+91+952+1264+44+1663+1188</f>
        <v>474570.5</v>
      </c>
      <c r="M83" s="158">
        <f>18625+17802+3355+2859+3903+1800+782+594+465+1366+90+60+905+15+238+316+11+244+297</f>
        <v>53727</v>
      </c>
      <c r="N83" s="266">
        <f>L83/M83</f>
        <v>8.832998306251978</v>
      </c>
      <c r="O83" s="330">
        <v>1</v>
      </c>
      <c r="P83" s="234"/>
    </row>
    <row r="84" spans="1:16" ht="15">
      <c r="A84" s="39">
        <v>81</v>
      </c>
      <c r="B84" s="265" t="s">
        <v>41</v>
      </c>
      <c r="C84" s="26">
        <v>40067</v>
      </c>
      <c r="D84" s="27" t="s">
        <v>261</v>
      </c>
      <c r="E84" s="55">
        <v>51</v>
      </c>
      <c r="F84" s="55">
        <v>1</v>
      </c>
      <c r="G84" s="55">
        <v>23</v>
      </c>
      <c r="H84" s="159">
        <v>222</v>
      </c>
      <c r="I84" s="160">
        <v>23</v>
      </c>
      <c r="J84" s="177">
        <f>I84/F84</f>
        <v>23</v>
      </c>
      <c r="K84" s="155">
        <f t="shared" si="12"/>
        <v>9.652173913043478</v>
      </c>
      <c r="L84" s="178">
        <f>182949+180053+29827+20114+26140.5+10395.5+4671+3342+2340+5520+249.5+165+3602+91+952+1264+44+1663+1188+4061+2382+2020+1780+222</f>
        <v>485035.5</v>
      </c>
      <c r="M84" s="179">
        <f>18625+17802+3355+2859+3903+1800+782+594+465+1366+90+60+905+15+238+316+11+244+297+931+573+505+445+23</f>
        <v>56204</v>
      </c>
      <c r="N84" s="266">
        <f>+L84/M84</f>
        <v>8.6299106825137</v>
      </c>
      <c r="O84" s="332">
        <v>1</v>
      </c>
      <c r="P84" s="234"/>
    </row>
    <row r="85" spans="1:16" ht="15">
      <c r="A85" s="39">
        <v>82</v>
      </c>
      <c r="B85" s="268" t="s">
        <v>41</v>
      </c>
      <c r="C85" s="31">
        <v>40067</v>
      </c>
      <c r="D85" s="32" t="s">
        <v>242</v>
      </c>
      <c r="E85" s="56">
        <v>51</v>
      </c>
      <c r="F85" s="56">
        <v>1</v>
      </c>
      <c r="G85" s="56">
        <v>17</v>
      </c>
      <c r="H85" s="159">
        <v>44</v>
      </c>
      <c r="I85" s="160">
        <v>11</v>
      </c>
      <c r="J85" s="177">
        <f>(I85/F85)</f>
        <v>11</v>
      </c>
      <c r="K85" s="180">
        <f t="shared" si="12"/>
        <v>4</v>
      </c>
      <c r="L85" s="178">
        <f>182949+180053+29827+20114+26140.5+10395.5+4671+3342+2340+5520+249.5+165+3602+91+952+1264+44</f>
        <v>471719.5</v>
      </c>
      <c r="M85" s="179">
        <f>18625+17802+3355+2859+3903+1800+782+594+465+1366+90+60+905+15+238+316+11</f>
        <v>53186</v>
      </c>
      <c r="N85" s="266">
        <f aca="true" t="shared" si="13" ref="N85:N90">L85/M85</f>
        <v>8.869241905764675</v>
      </c>
      <c r="O85" s="339"/>
      <c r="P85" s="234"/>
    </row>
    <row r="86" spans="1:16" ht="15">
      <c r="A86" s="39">
        <v>83</v>
      </c>
      <c r="B86" s="268" t="s">
        <v>61</v>
      </c>
      <c r="C86" s="31">
        <v>40172</v>
      </c>
      <c r="D86" s="32" t="s">
        <v>242</v>
      </c>
      <c r="E86" s="56">
        <v>60</v>
      </c>
      <c r="F86" s="56">
        <v>60</v>
      </c>
      <c r="G86" s="56">
        <v>2</v>
      </c>
      <c r="H86" s="159">
        <v>397159.5</v>
      </c>
      <c r="I86" s="160">
        <v>40733</v>
      </c>
      <c r="J86" s="177">
        <f>(I86/F86)</f>
        <v>678.8833333333333</v>
      </c>
      <c r="K86" s="155">
        <f t="shared" si="12"/>
        <v>9.750313014018118</v>
      </c>
      <c r="L86" s="178">
        <f>421775.5+397159.5</f>
        <v>818935</v>
      </c>
      <c r="M86" s="179">
        <f>43739+40733</f>
        <v>84472</v>
      </c>
      <c r="N86" s="266">
        <f t="shared" si="13"/>
        <v>9.694750923382896</v>
      </c>
      <c r="O86" s="396">
        <v>1</v>
      </c>
      <c r="P86" s="234"/>
    </row>
    <row r="87" spans="1:16" ht="15">
      <c r="A87" s="39">
        <v>84</v>
      </c>
      <c r="B87" s="268" t="s">
        <v>61</v>
      </c>
      <c r="C87" s="31">
        <v>40172</v>
      </c>
      <c r="D87" s="32" t="s">
        <v>242</v>
      </c>
      <c r="E87" s="56">
        <v>60</v>
      </c>
      <c r="F87" s="56">
        <v>60</v>
      </c>
      <c r="G87" s="56">
        <v>3</v>
      </c>
      <c r="H87" s="159">
        <v>287050</v>
      </c>
      <c r="I87" s="160">
        <v>31780</v>
      </c>
      <c r="J87" s="177">
        <f>(I87/F87)</f>
        <v>529.6666666666666</v>
      </c>
      <c r="K87" s="180">
        <f t="shared" si="12"/>
        <v>9.032410320956576</v>
      </c>
      <c r="L87" s="178">
        <f>421775.5+397095.5+287050</f>
        <v>1105921</v>
      </c>
      <c r="M87" s="179">
        <f>43739+40732+31780</f>
        <v>116251</v>
      </c>
      <c r="N87" s="266">
        <f t="shared" si="13"/>
        <v>9.513217090605671</v>
      </c>
      <c r="O87" s="330">
        <v>1</v>
      </c>
      <c r="P87" s="234"/>
    </row>
    <row r="88" spans="1:16" ht="15">
      <c r="A88" s="39">
        <v>85</v>
      </c>
      <c r="B88" s="268" t="s">
        <v>61</v>
      </c>
      <c r="C88" s="34">
        <v>40172</v>
      </c>
      <c r="D88" s="32" t="s">
        <v>242</v>
      </c>
      <c r="E88" s="57">
        <v>60</v>
      </c>
      <c r="F88" s="57">
        <v>60</v>
      </c>
      <c r="G88" s="57">
        <v>6</v>
      </c>
      <c r="H88" s="149">
        <v>180729.5</v>
      </c>
      <c r="I88" s="151">
        <v>24895</v>
      </c>
      <c r="J88" s="153">
        <f>(I88/F88)</f>
        <v>414.9166666666667</v>
      </c>
      <c r="K88" s="154">
        <f>+H88/I88</f>
        <v>7.259670616589677</v>
      </c>
      <c r="L88" s="157">
        <f>421775.5+397095.5+287050+215248.5+189819.5+180729.5</f>
        <v>1691718.5</v>
      </c>
      <c r="M88" s="158">
        <f>43739+40732+31780+27356+25902+24895</f>
        <v>194404</v>
      </c>
      <c r="N88" s="266">
        <f t="shared" si="13"/>
        <v>8.702076603362071</v>
      </c>
      <c r="O88" s="345">
        <v>1</v>
      </c>
      <c r="P88" s="234"/>
    </row>
    <row r="89" spans="1:16" ht="15">
      <c r="A89" s="39">
        <v>86</v>
      </c>
      <c r="B89" s="268" t="s">
        <v>61</v>
      </c>
      <c r="C89" s="31">
        <v>40172</v>
      </c>
      <c r="D89" s="32" t="s">
        <v>242</v>
      </c>
      <c r="E89" s="56">
        <v>60</v>
      </c>
      <c r="F89" s="56">
        <v>60</v>
      </c>
      <c r="G89" s="56">
        <v>7</v>
      </c>
      <c r="H89" s="161">
        <v>86816.5</v>
      </c>
      <c r="I89" s="150">
        <v>12153</v>
      </c>
      <c r="J89" s="152">
        <f>I89/F89</f>
        <v>202.55</v>
      </c>
      <c r="K89" s="154">
        <f>+H89/I89</f>
        <v>7.14362708796182</v>
      </c>
      <c r="L89" s="156">
        <f>421775.5+397095.5+287050+215248.5+189819.5+180729.5+86816.5</f>
        <v>1778535</v>
      </c>
      <c r="M89" s="152">
        <f>43739+40732+31780+27356+25902+24895+12153</f>
        <v>206557</v>
      </c>
      <c r="N89" s="267">
        <f t="shared" si="13"/>
        <v>8.610383574509699</v>
      </c>
      <c r="O89" s="332">
        <v>1</v>
      </c>
      <c r="P89" s="234"/>
    </row>
    <row r="90" spans="1:16" ht="15">
      <c r="A90" s="39">
        <v>87</v>
      </c>
      <c r="B90" s="268" t="s">
        <v>61</v>
      </c>
      <c r="C90" s="31">
        <v>40172</v>
      </c>
      <c r="D90" s="32" t="s">
        <v>242</v>
      </c>
      <c r="E90" s="56">
        <v>60</v>
      </c>
      <c r="F90" s="56">
        <v>36</v>
      </c>
      <c r="G90" s="56">
        <v>8</v>
      </c>
      <c r="H90" s="148">
        <v>23840</v>
      </c>
      <c r="I90" s="162">
        <v>4496</v>
      </c>
      <c r="J90" s="181">
        <f>(I90/F90)</f>
        <v>124.88888888888889</v>
      </c>
      <c r="K90" s="182">
        <f>H90/I90</f>
        <v>5.302491103202847</v>
      </c>
      <c r="L90" s="183">
        <f>421775.5+397095.5+287050+215248.5+189819.5+180729.5+86816.5+23840</f>
        <v>1802375</v>
      </c>
      <c r="M90" s="181">
        <f>43739+40732+31780+27356+25902+24895+12153+4496</f>
        <v>211053</v>
      </c>
      <c r="N90" s="267">
        <f t="shared" si="13"/>
        <v>8.539916513861447</v>
      </c>
      <c r="O90" s="332">
        <v>1</v>
      </c>
      <c r="P90" s="234"/>
    </row>
    <row r="91" spans="1:16" ht="15">
      <c r="A91" s="39">
        <v>88</v>
      </c>
      <c r="B91" s="268" t="s">
        <v>61</v>
      </c>
      <c r="C91" s="31">
        <v>40172</v>
      </c>
      <c r="D91" s="32" t="s">
        <v>242</v>
      </c>
      <c r="E91" s="56">
        <v>60</v>
      </c>
      <c r="F91" s="56">
        <v>29</v>
      </c>
      <c r="G91" s="56">
        <v>9</v>
      </c>
      <c r="H91" s="148">
        <v>19148</v>
      </c>
      <c r="I91" s="162">
        <v>3179</v>
      </c>
      <c r="J91" s="181">
        <f>I91/F91</f>
        <v>109.62068965517241</v>
      </c>
      <c r="K91" s="182">
        <f>H91/I91</f>
        <v>6.023277760301982</v>
      </c>
      <c r="L91" s="183">
        <f>421775.5+397095.5+287050+215248.5+189819.5+180729.5+86816.5+23840+19148</f>
        <v>1821523</v>
      </c>
      <c r="M91" s="181">
        <f>43739+40732+31780+27356+25902+24895+12153+4496+3179</f>
        <v>214232</v>
      </c>
      <c r="N91" s="267">
        <f>+L91/M91</f>
        <v>8.502571978042496</v>
      </c>
      <c r="O91" s="332">
        <v>1</v>
      </c>
      <c r="P91" s="234"/>
    </row>
    <row r="92" spans="1:16" ht="15">
      <c r="A92" s="39">
        <v>89</v>
      </c>
      <c r="B92" s="268" t="s">
        <v>61</v>
      </c>
      <c r="C92" s="31">
        <v>40172</v>
      </c>
      <c r="D92" s="32" t="s">
        <v>242</v>
      </c>
      <c r="E92" s="56">
        <v>60</v>
      </c>
      <c r="F92" s="56">
        <v>21</v>
      </c>
      <c r="G92" s="56">
        <v>10</v>
      </c>
      <c r="H92" s="163">
        <v>14942.5</v>
      </c>
      <c r="I92" s="164">
        <v>3069</v>
      </c>
      <c r="J92" s="181">
        <f>I92/F92</f>
        <v>146.14285714285714</v>
      </c>
      <c r="K92" s="182">
        <f>H92/I92</f>
        <v>4.868849788204627</v>
      </c>
      <c r="L92" s="183">
        <f>421775.5+397095.5+287050+215248.5+189819.5+180729.5+86816.5+23840+19148+14942.5</f>
        <v>1836465.5</v>
      </c>
      <c r="M92" s="181">
        <f>43739+40732+31780+27356+25902+24895+12153+4496+3179+3069</f>
        <v>217301</v>
      </c>
      <c r="N92" s="267">
        <f>+L92/M92</f>
        <v>8.451251950060055</v>
      </c>
      <c r="O92" s="332">
        <v>1</v>
      </c>
      <c r="P92" s="234"/>
    </row>
    <row r="93" spans="1:16" ht="15">
      <c r="A93" s="39">
        <v>90</v>
      </c>
      <c r="B93" s="268" t="s">
        <v>61</v>
      </c>
      <c r="C93" s="46">
        <v>40172</v>
      </c>
      <c r="D93" s="32" t="s">
        <v>242</v>
      </c>
      <c r="E93" s="54">
        <v>60</v>
      </c>
      <c r="F93" s="54">
        <v>17</v>
      </c>
      <c r="G93" s="54">
        <v>11</v>
      </c>
      <c r="H93" s="163">
        <v>8798.5</v>
      </c>
      <c r="I93" s="164">
        <v>1650</v>
      </c>
      <c r="J93" s="181">
        <f>(I93/F93)</f>
        <v>97.05882352941177</v>
      </c>
      <c r="K93" s="182">
        <f>H93/I93</f>
        <v>5.332424242424242</v>
      </c>
      <c r="L93" s="183">
        <f>421775.5+397095.5+287050+215248.5+189819.5+180729.5+86816.5+23840+19148+14942.5+8798.5</f>
        <v>1845264</v>
      </c>
      <c r="M93" s="181">
        <f>43739+40732+31780+27356+25902+24895+12153+4496+3179+3069+1650</f>
        <v>218951</v>
      </c>
      <c r="N93" s="267">
        <f>+L93/M93</f>
        <v>8.427748674360931</v>
      </c>
      <c r="O93" s="330">
        <v>1</v>
      </c>
      <c r="P93" s="234"/>
    </row>
    <row r="94" spans="1:16" ht="15">
      <c r="A94" s="39">
        <v>91</v>
      </c>
      <c r="B94" s="275" t="s">
        <v>61</v>
      </c>
      <c r="C94" s="31">
        <v>40172</v>
      </c>
      <c r="D94" s="32" t="s">
        <v>242</v>
      </c>
      <c r="E94" s="54">
        <v>60</v>
      </c>
      <c r="F94" s="54">
        <v>9</v>
      </c>
      <c r="G94" s="54">
        <v>17</v>
      </c>
      <c r="H94" s="163">
        <v>8547</v>
      </c>
      <c r="I94" s="164">
        <v>1945</v>
      </c>
      <c r="J94" s="181">
        <f>I94/F94</f>
        <v>216.11111111111111</v>
      </c>
      <c r="K94" s="182">
        <f>H94/I94</f>
        <v>4.394344473007712</v>
      </c>
      <c r="L94" s="183">
        <f>421775.5+397095.5+287050+215248.5+189819.5+180729.5+86816.5+23840+19148+14942.5+8798.5+9599+13618.5+4298+4028+3310+8547</f>
        <v>1888664.5</v>
      </c>
      <c r="M94" s="181">
        <f>43739+40732+31780+27356+25902+24895+12153+4496+3179+3069+1650+2236+3335+954+829+540+1945</f>
        <v>228790</v>
      </c>
      <c r="N94" s="270">
        <f>+L94/M94</f>
        <v>8.25501333100223</v>
      </c>
      <c r="O94" s="341">
        <v>1</v>
      </c>
      <c r="P94" s="234"/>
    </row>
    <row r="95" spans="1:16" ht="15">
      <c r="A95" s="39">
        <v>92</v>
      </c>
      <c r="B95" s="265" t="s">
        <v>61</v>
      </c>
      <c r="C95" s="31">
        <v>40172</v>
      </c>
      <c r="D95" s="32" t="s">
        <v>242</v>
      </c>
      <c r="E95" s="54">
        <v>60</v>
      </c>
      <c r="F95" s="54">
        <v>14</v>
      </c>
      <c r="G95" s="54">
        <v>18</v>
      </c>
      <c r="H95" s="163">
        <v>6712.5</v>
      </c>
      <c r="I95" s="164">
        <v>1297</v>
      </c>
      <c r="J95" s="181">
        <f>I95/F95</f>
        <v>92.64285714285714</v>
      </c>
      <c r="K95" s="182">
        <f>+H95/I95</f>
        <v>5.175404780262143</v>
      </c>
      <c r="L95" s="183">
        <f>421775.5+397095.5+287050+215248.5+189819.5+180729.5+86816.5+23840+19148+14942.5+8798.5+9599+13618.5+4298+4028+3310+8547+6712.5</f>
        <v>1895377</v>
      </c>
      <c r="M95" s="181">
        <f>43739+40732+31780+27356+25902+24895+12153+4496+3179+3069+1650+2236+3335+954+829+540+1945+1297</f>
        <v>230087</v>
      </c>
      <c r="N95" s="270">
        <f>+L95/M95</f>
        <v>8.237653583209829</v>
      </c>
      <c r="O95" s="333"/>
      <c r="P95" s="234"/>
    </row>
    <row r="96" spans="1:16" ht="15">
      <c r="A96" s="39">
        <v>93</v>
      </c>
      <c r="B96" s="275" t="s">
        <v>61</v>
      </c>
      <c r="C96" s="46">
        <v>40172</v>
      </c>
      <c r="D96" s="32" t="s">
        <v>242</v>
      </c>
      <c r="E96" s="54">
        <v>60</v>
      </c>
      <c r="F96" s="54">
        <v>12</v>
      </c>
      <c r="G96" s="54">
        <v>14</v>
      </c>
      <c r="H96" s="163">
        <v>4298</v>
      </c>
      <c r="I96" s="164">
        <v>954</v>
      </c>
      <c r="J96" s="181">
        <f aca="true" t="shared" si="14" ref="J96:J104">(I96/F96)</f>
        <v>79.5</v>
      </c>
      <c r="K96" s="182">
        <f aca="true" t="shared" si="15" ref="K96:K116">H96/I96</f>
        <v>4.50524109014675</v>
      </c>
      <c r="L96" s="183">
        <f>421775.5+397095.5+287050+215248.5+189819.5+180729.5+86816.5+23840+19148+14942.5+8798.5+9599+13618.5+4298</f>
        <v>1872779.5</v>
      </c>
      <c r="M96" s="181">
        <f>43739+40732+31780+27356+25902+24895+12153+4496+3179+3069+1650+2236+3335+954</f>
        <v>225476</v>
      </c>
      <c r="N96" s="267">
        <f>L96/M96</f>
        <v>8.30589286664656</v>
      </c>
      <c r="O96" s="332"/>
      <c r="P96" s="234"/>
    </row>
    <row r="97" spans="1:16" ht="15">
      <c r="A97" s="39">
        <v>94</v>
      </c>
      <c r="B97" s="275" t="s">
        <v>61</v>
      </c>
      <c r="C97" s="46">
        <v>40172</v>
      </c>
      <c r="D97" s="32" t="s">
        <v>242</v>
      </c>
      <c r="E97" s="54">
        <v>60</v>
      </c>
      <c r="F97" s="54">
        <v>9</v>
      </c>
      <c r="G97" s="54">
        <v>15</v>
      </c>
      <c r="H97" s="163">
        <v>4028</v>
      </c>
      <c r="I97" s="164">
        <v>829</v>
      </c>
      <c r="J97" s="181">
        <f t="shared" si="14"/>
        <v>92.11111111111111</v>
      </c>
      <c r="K97" s="182">
        <f t="shared" si="15"/>
        <v>4.858866103739445</v>
      </c>
      <c r="L97" s="183">
        <f>421775.5+397095.5+287050+215248.5+189819.5+180729.5+86816.5+23840+19148+14942.5+8798.5+9599+13618.5+4298+4028</f>
        <v>1876807.5</v>
      </c>
      <c r="M97" s="181">
        <f>43739+40732+31780+27356+25902+24895+12153+4496+3179+3069+1650+2236+3335+954+829</f>
        <v>226305</v>
      </c>
      <c r="N97" s="267">
        <f>IF(L97&lt;&gt;0,L97/M97,"")</f>
        <v>8.293265725459005</v>
      </c>
      <c r="O97" s="330"/>
      <c r="P97" s="234"/>
    </row>
    <row r="98" spans="1:16" ht="15">
      <c r="A98" s="39">
        <v>95</v>
      </c>
      <c r="B98" s="275" t="s">
        <v>61</v>
      </c>
      <c r="C98" s="31">
        <v>40172</v>
      </c>
      <c r="D98" s="32" t="s">
        <v>242</v>
      </c>
      <c r="E98" s="54">
        <v>60</v>
      </c>
      <c r="F98" s="54">
        <v>8</v>
      </c>
      <c r="G98" s="54">
        <v>16</v>
      </c>
      <c r="H98" s="163">
        <v>3310</v>
      </c>
      <c r="I98" s="164">
        <v>540</v>
      </c>
      <c r="J98" s="181">
        <f t="shared" si="14"/>
        <v>67.5</v>
      </c>
      <c r="K98" s="182">
        <f t="shared" si="15"/>
        <v>6.12962962962963</v>
      </c>
      <c r="L98" s="183">
        <f>421775.5+397095.5+287050+215248.5+189819.5+180729.5+86816.5+23840+19148+14942.5+8798.5+9599+13618.5+4298+4028+3310</f>
        <v>1880117.5</v>
      </c>
      <c r="M98" s="181">
        <f>43739+40732+31780+27356+25902+24895+12153+4496+3179+3069+1650+2236+3335+954+829+540</f>
        <v>226845</v>
      </c>
      <c r="N98" s="270">
        <f aca="true" t="shared" si="16" ref="N98:N104">L98/M98</f>
        <v>8.288115232868257</v>
      </c>
      <c r="O98" s="332"/>
      <c r="P98" s="234"/>
    </row>
    <row r="99" spans="1:16" ht="15">
      <c r="A99" s="39">
        <v>96</v>
      </c>
      <c r="B99" s="276" t="s">
        <v>61</v>
      </c>
      <c r="C99" s="31">
        <v>40172</v>
      </c>
      <c r="D99" s="32" t="s">
        <v>242</v>
      </c>
      <c r="E99" s="56">
        <v>60</v>
      </c>
      <c r="F99" s="56">
        <v>8</v>
      </c>
      <c r="G99" s="56">
        <v>22</v>
      </c>
      <c r="H99" s="149">
        <v>2291</v>
      </c>
      <c r="I99" s="151">
        <v>594</v>
      </c>
      <c r="J99" s="152">
        <f t="shared" si="14"/>
        <v>74.25</v>
      </c>
      <c r="K99" s="154">
        <f t="shared" si="15"/>
        <v>3.856902356902357</v>
      </c>
      <c r="L99" s="156">
        <f>421775.5+397095.5+287050+215248.5+189819.5+180729.5+86816.5+23840+19148+14942.5+8798.5+9599+13618.5+4298+4028+3310+8547+6712.5+1803+1172+973+2291</f>
        <v>1901616</v>
      </c>
      <c r="M99" s="152">
        <f>43739+40732+31780+27356+25902+24895+12153+4496+3179+3069+1650+2236+3335+954+829+540+1945+1297+429+261+173+594</f>
        <v>231544</v>
      </c>
      <c r="N99" s="267">
        <f t="shared" si="16"/>
        <v>8.212763016964379</v>
      </c>
      <c r="O99" s="332"/>
      <c r="P99" s="234"/>
    </row>
    <row r="100" spans="1:16" ht="15">
      <c r="A100" s="39">
        <v>97</v>
      </c>
      <c r="B100" s="268" t="s">
        <v>61</v>
      </c>
      <c r="C100" s="31">
        <v>40172</v>
      </c>
      <c r="D100" s="32" t="s">
        <v>242</v>
      </c>
      <c r="E100" s="229">
        <v>60</v>
      </c>
      <c r="F100" s="229">
        <v>3</v>
      </c>
      <c r="G100" s="229">
        <v>27</v>
      </c>
      <c r="H100" s="159">
        <v>2061.5</v>
      </c>
      <c r="I100" s="160">
        <v>480</v>
      </c>
      <c r="J100" s="177">
        <f t="shared" si="14"/>
        <v>160</v>
      </c>
      <c r="K100" s="155">
        <f t="shared" si="15"/>
        <v>4.294791666666667</v>
      </c>
      <c r="L100" s="178">
        <f>421775.5+397095.5+287050+215248.5+189819.5+180729.5+86816.5+23840+19148+14942.5+8798.5+9599+13618.5+4298+4028+3310+8547+6712.5+1803+1172+973+2291+380.5+3015+1103.5+65+2061.5</f>
        <v>1908241.5</v>
      </c>
      <c r="M100" s="179">
        <f>43739+40732+31780+27356+25902+24895+12153+4496+3179+3069+1650+2236+3335+954+829+540+1945+1297+429+261+173+594+53+613+200+10+480</f>
        <v>232900</v>
      </c>
      <c r="N100" s="266">
        <f t="shared" si="16"/>
        <v>8.193394160583942</v>
      </c>
      <c r="O100" s="330"/>
      <c r="P100" s="234"/>
    </row>
    <row r="101" spans="1:16" ht="15">
      <c r="A101" s="39">
        <v>98</v>
      </c>
      <c r="B101" s="268" t="s">
        <v>61</v>
      </c>
      <c r="C101" s="31">
        <v>40172</v>
      </c>
      <c r="D101" s="32" t="s">
        <v>242</v>
      </c>
      <c r="E101" s="56">
        <v>60</v>
      </c>
      <c r="F101" s="56">
        <v>8</v>
      </c>
      <c r="G101" s="56">
        <v>19</v>
      </c>
      <c r="H101" s="159">
        <v>1803</v>
      </c>
      <c r="I101" s="160">
        <v>429</v>
      </c>
      <c r="J101" s="177">
        <f t="shared" si="14"/>
        <v>53.625</v>
      </c>
      <c r="K101" s="155">
        <f t="shared" si="15"/>
        <v>4.2027972027972025</v>
      </c>
      <c r="L101" s="178">
        <f>421775.5+397095.5+287050+215248.5+189819.5+180729.5+86816.5+23840+19148+14942.5+8798.5+9599+13618.5+4298+4028+3310+8547+6712.5+1803</f>
        <v>1897180</v>
      </c>
      <c r="M101" s="179">
        <f>43739+40732+31780+27356+25902+24895+12153+4496+3179+3069+1650+2236+3335+954+829+540+1945+1297+429</f>
        <v>230516</v>
      </c>
      <c r="N101" s="266">
        <f t="shared" si="16"/>
        <v>8.230144545281021</v>
      </c>
      <c r="O101" s="332"/>
      <c r="P101" s="234"/>
    </row>
    <row r="102" spans="1:16" ht="15">
      <c r="A102" s="39">
        <v>99</v>
      </c>
      <c r="B102" s="265" t="s">
        <v>61</v>
      </c>
      <c r="C102" s="31">
        <v>40172</v>
      </c>
      <c r="D102" s="32" t="s">
        <v>242</v>
      </c>
      <c r="E102" s="54">
        <v>60</v>
      </c>
      <c r="F102" s="54">
        <v>6</v>
      </c>
      <c r="G102" s="54">
        <v>20</v>
      </c>
      <c r="H102" s="163">
        <v>1172</v>
      </c>
      <c r="I102" s="165">
        <v>261</v>
      </c>
      <c r="J102" s="152">
        <f t="shared" si="14"/>
        <v>43.5</v>
      </c>
      <c r="K102" s="154">
        <f t="shared" si="15"/>
        <v>4.490421455938697</v>
      </c>
      <c r="L102" s="156">
        <f>421775.5+397095.5+287050+215248.5+189819.5+180729.5+86816.5+23840+19148+14942.5+8798.5+9599+13618.5+4298+4028+3310+8547+6712.5+1803+1172</f>
        <v>1898352</v>
      </c>
      <c r="M102" s="152">
        <f>43739+40732+31780+27356+25902+24895+12153+4496+3179+3069+1650+2236+3335+954+829+540+1945+1297+429+261</f>
        <v>230777</v>
      </c>
      <c r="N102" s="267">
        <f t="shared" si="16"/>
        <v>8.225915060859618</v>
      </c>
      <c r="O102" s="330"/>
      <c r="P102" s="234"/>
    </row>
    <row r="103" spans="1:16" ht="15">
      <c r="A103" s="39">
        <v>100</v>
      </c>
      <c r="B103" s="265" t="s">
        <v>61</v>
      </c>
      <c r="C103" s="31">
        <v>40172</v>
      </c>
      <c r="D103" s="32" t="s">
        <v>261</v>
      </c>
      <c r="E103" s="229">
        <v>60</v>
      </c>
      <c r="F103" s="229">
        <v>8</v>
      </c>
      <c r="G103" s="229">
        <v>25</v>
      </c>
      <c r="H103" s="149">
        <v>1103.5</v>
      </c>
      <c r="I103" s="151">
        <v>200</v>
      </c>
      <c r="J103" s="153">
        <f t="shared" si="14"/>
        <v>25</v>
      </c>
      <c r="K103" s="155">
        <f t="shared" si="15"/>
        <v>5.5175</v>
      </c>
      <c r="L103" s="157">
        <f>421775.5+397095.5+287050+215248.5+189819.5+180729.5+86816.5+23840+19148+14942.5+8798.5+9599+13618.5+4298+4028+3310+8547+6712.5+1803+1172+973+2291+380.5+3015+1103.5</f>
        <v>1906115</v>
      </c>
      <c r="M103" s="158">
        <f>43739+40732+31780+27356+25902+24895+12153+4496+3179+3069+1650+2236+3335+954+829+540+1945+1297+429+261+173+594+53+613+200</f>
        <v>232410</v>
      </c>
      <c r="N103" s="266">
        <f t="shared" si="16"/>
        <v>8.20151886751861</v>
      </c>
      <c r="O103" s="332"/>
      <c r="P103" s="234"/>
    </row>
    <row r="104" spans="1:16" ht="15">
      <c r="A104" s="39">
        <v>101</v>
      </c>
      <c r="B104" s="268" t="s">
        <v>61</v>
      </c>
      <c r="C104" s="31">
        <v>40172</v>
      </c>
      <c r="D104" s="32" t="s">
        <v>242</v>
      </c>
      <c r="E104" s="56">
        <v>60</v>
      </c>
      <c r="F104" s="56">
        <v>5</v>
      </c>
      <c r="G104" s="56">
        <v>21</v>
      </c>
      <c r="H104" s="149">
        <v>923</v>
      </c>
      <c r="I104" s="151">
        <v>163</v>
      </c>
      <c r="J104" s="153">
        <f t="shared" si="14"/>
        <v>32.6</v>
      </c>
      <c r="K104" s="155">
        <f t="shared" si="15"/>
        <v>5.662576687116564</v>
      </c>
      <c r="L104" s="157">
        <f>421775.5+397095.5+287050+215248.5+189819.5+180729.5+86816.5+23840+19148+14942.5+8798.5+9599+13618.5+4298+4028+3310+8547+6712.5+1803+1172+923</f>
        <v>1899275</v>
      </c>
      <c r="M104" s="158">
        <f>43739+40732+31780+27356+25902+24895+12153+4496+3179+3069+1650+2236+3335+954+829+540+1945+1297+429+261+163</f>
        <v>230940</v>
      </c>
      <c r="N104" s="266">
        <f t="shared" si="16"/>
        <v>8.224105828353684</v>
      </c>
      <c r="O104" s="330"/>
      <c r="P104" s="234"/>
    </row>
    <row r="105" spans="1:16" ht="15">
      <c r="A105" s="39">
        <v>102</v>
      </c>
      <c r="B105" s="265" t="s">
        <v>61</v>
      </c>
      <c r="C105" s="31">
        <v>39877</v>
      </c>
      <c r="D105" s="32" t="s">
        <v>251</v>
      </c>
      <c r="E105" s="56">
        <v>75</v>
      </c>
      <c r="F105" s="56">
        <v>1</v>
      </c>
      <c r="G105" s="56">
        <v>14</v>
      </c>
      <c r="H105" s="149">
        <v>609</v>
      </c>
      <c r="I105" s="151">
        <v>280</v>
      </c>
      <c r="J105" s="152">
        <f>I105/F105</f>
        <v>280</v>
      </c>
      <c r="K105" s="154">
        <f t="shared" si="15"/>
        <v>2.175</v>
      </c>
      <c r="L105" s="156">
        <v>3748613</v>
      </c>
      <c r="M105" s="152">
        <v>334112</v>
      </c>
      <c r="N105" s="267">
        <f>+L105/M105</f>
        <v>11.219629944449766</v>
      </c>
      <c r="O105" s="330"/>
      <c r="P105" s="234"/>
    </row>
    <row r="106" spans="1:16" ht="15">
      <c r="A106" s="39">
        <v>103</v>
      </c>
      <c r="B106" s="265" t="s">
        <v>61</v>
      </c>
      <c r="C106" s="26">
        <v>40172</v>
      </c>
      <c r="D106" s="27" t="s">
        <v>242</v>
      </c>
      <c r="E106" s="55">
        <v>60</v>
      </c>
      <c r="F106" s="55">
        <v>8</v>
      </c>
      <c r="G106" s="55">
        <v>23</v>
      </c>
      <c r="H106" s="159">
        <v>380.5</v>
      </c>
      <c r="I106" s="160">
        <v>53</v>
      </c>
      <c r="J106" s="177">
        <f>(I106/F106)</f>
        <v>6.625</v>
      </c>
      <c r="K106" s="180">
        <f t="shared" si="15"/>
        <v>7.179245283018868</v>
      </c>
      <c r="L106" s="178">
        <f>421775.5+397095.5+287050+215248.5+189819.5+180729.5+86816.5+23840+19148+14942.5+8798.5+9599+13618.5+4298+4028+3310+8547+6712.5+1803+1172+973+2291+380.5</f>
        <v>1901996.5</v>
      </c>
      <c r="M106" s="179">
        <f>43739+40732+31780+27356+25902+24895+12153+4496+3179+3069+1650+2236+3335+954+829+540+1945+1297+429+261+173+594+53</f>
        <v>231597</v>
      </c>
      <c r="N106" s="266">
        <f>L106/M106</f>
        <v>8.212526500775054</v>
      </c>
      <c r="O106" s="333"/>
      <c r="P106" s="234"/>
    </row>
    <row r="107" spans="1:16" ht="15">
      <c r="A107" s="39">
        <v>104</v>
      </c>
      <c r="B107" s="265" t="s">
        <v>61</v>
      </c>
      <c r="C107" s="26">
        <v>40172</v>
      </c>
      <c r="D107" s="27" t="s">
        <v>261</v>
      </c>
      <c r="E107" s="55">
        <v>60</v>
      </c>
      <c r="F107" s="55">
        <v>1</v>
      </c>
      <c r="G107" s="55">
        <v>26</v>
      </c>
      <c r="H107" s="159">
        <v>65</v>
      </c>
      <c r="I107" s="160">
        <v>10</v>
      </c>
      <c r="J107" s="177">
        <f>I107/F107</f>
        <v>10</v>
      </c>
      <c r="K107" s="155">
        <f t="shared" si="15"/>
        <v>6.5</v>
      </c>
      <c r="L107" s="178">
        <f>421775.5+397095.5+287050+215248.5+189819.5+180729.5+86816.5+23840+19148+14942.5+8798.5+9599+13618.5+4298+4028+3310+8547+6712.5+1803+1172+973+2291+380.5+3015+1103.5+65</f>
        <v>1906180</v>
      </c>
      <c r="M107" s="179">
        <f>43739+40732+31780+27356+25902+24895+12153+4496+3179+3069+1650+2236+3335+954+829+540+1945+1297+429+261+173+594+53+613+200+10</f>
        <v>232420</v>
      </c>
      <c r="N107" s="266">
        <f>+L107/M107</f>
        <v>8.20144565872128</v>
      </c>
      <c r="O107" s="332"/>
      <c r="P107" s="234"/>
    </row>
    <row r="108" spans="1:16" ht="15">
      <c r="A108" s="39">
        <v>105</v>
      </c>
      <c r="B108" s="265" t="s">
        <v>352</v>
      </c>
      <c r="C108" s="31">
        <v>40172</v>
      </c>
      <c r="D108" s="27" t="s">
        <v>242</v>
      </c>
      <c r="E108" s="229">
        <v>60</v>
      </c>
      <c r="F108" s="229">
        <v>1</v>
      </c>
      <c r="G108" s="229">
        <v>30</v>
      </c>
      <c r="H108" s="161">
        <v>2232</v>
      </c>
      <c r="I108" s="150">
        <v>533</v>
      </c>
      <c r="J108" s="152">
        <f>(I108/F108)</f>
        <v>533</v>
      </c>
      <c r="K108" s="154">
        <f t="shared" si="15"/>
        <v>4.1876172607879925</v>
      </c>
      <c r="L108" s="156">
        <f>421775.5+397095.5+287050+215248.5+189819.5+180729.5+86816.5+23840+19148+14942.5+8798.5+9599+13618.5+4298+4028+3310+8547+6712.5+1803+1172+973+2291+380.5+3015+1103.5+65+2061.5+1262+1020+2232</f>
        <v>1912755.5</v>
      </c>
      <c r="M108" s="152">
        <f>43739+40732+31780+27356+25902+24895+12153+4496+3179+3069+1650+2236+3335+954+829+540+1945+1297+429+261+173+594+53+613+200+10+480+240+102+533</f>
        <v>233775</v>
      </c>
      <c r="N108" s="267">
        <f>L108/M108</f>
        <v>8.182036145866752</v>
      </c>
      <c r="O108" s="301"/>
      <c r="P108" s="234"/>
    </row>
    <row r="109" spans="1:16" ht="15">
      <c r="A109" s="39">
        <v>106</v>
      </c>
      <c r="B109" s="265" t="s">
        <v>352</v>
      </c>
      <c r="C109" s="31">
        <v>40172</v>
      </c>
      <c r="D109" s="27" t="s">
        <v>261</v>
      </c>
      <c r="E109" s="229">
        <v>60</v>
      </c>
      <c r="F109" s="229">
        <v>1</v>
      </c>
      <c r="G109" s="229">
        <v>29</v>
      </c>
      <c r="H109" s="161">
        <v>1020</v>
      </c>
      <c r="I109" s="150">
        <v>102</v>
      </c>
      <c r="J109" s="152">
        <f>(I109/F109)</f>
        <v>102</v>
      </c>
      <c r="K109" s="154">
        <f t="shared" si="15"/>
        <v>10</v>
      </c>
      <c r="L109" s="156">
        <f>421775.5+397095.5+287050+215248.5+189819.5+180729.5+86816.5+23840+19148+14942.5+8798.5+9599+13618.5+4298+4028+3310+8547+6712.5+1803+1172+973+2291+380.5+3015+1103.5+65+2061.5+1262+1020</f>
        <v>1910523.5</v>
      </c>
      <c r="M109" s="152">
        <f>43739+40732+31780+27356+25902+24895+12153+4496+3179+3069+1650+2236+3335+954+829+540+1945+1297+429+261+173+594+53+613+200+10+480+240+102</f>
        <v>233242</v>
      </c>
      <c r="N109" s="267">
        <f>L109/M109</f>
        <v>8.19116411280987</v>
      </c>
      <c r="O109" s="303"/>
      <c r="P109" s="234"/>
    </row>
    <row r="110" spans="1:16" ht="15">
      <c r="A110" s="39">
        <v>107</v>
      </c>
      <c r="B110" s="265" t="s">
        <v>256</v>
      </c>
      <c r="C110" s="31">
        <v>32509</v>
      </c>
      <c r="D110" s="32" t="s">
        <v>255</v>
      </c>
      <c r="E110" s="56">
        <v>1</v>
      </c>
      <c r="F110" s="56">
        <v>1</v>
      </c>
      <c r="G110" s="56">
        <v>20</v>
      </c>
      <c r="H110" s="149">
        <v>1420</v>
      </c>
      <c r="I110" s="151">
        <v>355</v>
      </c>
      <c r="J110" s="152">
        <f>I110/F110</f>
        <v>355</v>
      </c>
      <c r="K110" s="154">
        <f t="shared" si="15"/>
        <v>4</v>
      </c>
      <c r="L110" s="156">
        <v>1420</v>
      </c>
      <c r="M110" s="152">
        <v>355</v>
      </c>
      <c r="N110" s="267">
        <f>+L110/M110</f>
        <v>4</v>
      </c>
      <c r="O110" s="303"/>
      <c r="P110" s="234"/>
    </row>
    <row r="111" spans="1:16" ht="15">
      <c r="A111" s="39">
        <v>108</v>
      </c>
      <c r="B111" s="265" t="s">
        <v>336</v>
      </c>
      <c r="C111" s="31">
        <v>40123</v>
      </c>
      <c r="D111" s="27" t="s">
        <v>242</v>
      </c>
      <c r="E111" s="229">
        <v>144</v>
      </c>
      <c r="F111" s="229">
        <v>2</v>
      </c>
      <c r="G111" s="229">
        <v>20</v>
      </c>
      <c r="H111" s="161">
        <v>1620</v>
      </c>
      <c r="I111" s="150">
        <v>393</v>
      </c>
      <c r="J111" s="152">
        <f aca="true" t="shared" si="17" ref="J111:J118">(I111/F111)</f>
        <v>196.5</v>
      </c>
      <c r="K111" s="154">
        <f t="shared" si="15"/>
        <v>4.122137404580153</v>
      </c>
      <c r="L111" s="156">
        <f>909778+593215.5+203934.5+91391+32233.5+29451.5+14597.5+12123.5+12906+13616+5350+7885.5+2130+3662+3564+2376+1780+1424+2848+1620</f>
        <v>1945886.5</v>
      </c>
      <c r="M111" s="152">
        <f>103944+67300+25860+13426+5611+5689+2739+1975+2803+2381+1177+1755+350+881+891+594+445+356+712+393</f>
        <v>239282</v>
      </c>
      <c r="N111" s="267">
        <f aca="true" t="shared" si="18" ref="N111:N118">L111/M111</f>
        <v>8.132189216071414</v>
      </c>
      <c r="O111" s="303"/>
      <c r="P111" s="234"/>
    </row>
    <row r="112" spans="1:16" ht="15">
      <c r="A112" s="39">
        <v>109</v>
      </c>
      <c r="B112" s="265" t="s">
        <v>301</v>
      </c>
      <c r="C112" s="26">
        <v>40123</v>
      </c>
      <c r="D112" s="27" t="s">
        <v>242</v>
      </c>
      <c r="E112" s="230">
        <v>144</v>
      </c>
      <c r="F112" s="230">
        <v>2</v>
      </c>
      <c r="G112" s="230">
        <v>19</v>
      </c>
      <c r="H112" s="149">
        <v>2848</v>
      </c>
      <c r="I112" s="151">
        <v>712</v>
      </c>
      <c r="J112" s="153">
        <f t="shared" si="17"/>
        <v>356</v>
      </c>
      <c r="K112" s="155">
        <f t="shared" si="15"/>
        <v>4</v>
      </c>
      <c r="L112" s="157">
        <f>909778+593215.5+203934.5+91391+32233.5+29451.5+14597.5+12123.5+12906+13616+5350+7885.5+2130+3662+3564+2376+1780+1424+2848</f>
        <v>1944266.5</v>
      </c>
      <c r="M112" s="158">
        <f>103944+67300+25860+13426+5611+5689+2739+1975+2803+2381+1177+1755+350+881+891+594+445+356+712</f>
        <v>238889</v>
      </c>
      <c r="N112" s="266">
        <f t="shared" si="18"/>
        <v>8.13878621451804</v>
      </c>
      <c r="O112" s="311"/>
      <c r="P112" s="234"/>
    </row>
    <row r="113" spans="1:16" ht="15">
      <c r="A113" s="39">
        <v>110</v>
      </c>
      <c r="B113" s="268" t="s">
        <v>176</v>
      </c>
      <c r="C113" s="31">
        <v>40123</v>
      </c>
      <c r="D113" s="32" t="s">
        <v>242</v>
      </c>
      <c r="E113" s="56">
        <v>144</v>
      </c>
      <c r="F113" s="56">
        <v>8</v>
      </c>
      <c r="G113" s="56">
        <v>10</v>
      </c>
      <c r="H113" s="159">
        <v>13616</v>
      </c>
      <c r="I113" s="160">
        <v>2381</v>
      </c>
      <c r="J113" s="177">
        <f t="shared" si="17"/>
        <v>297.625</v>
      </c>
      <c r="K113" s="180">
        <f t="shared" si="15"/>
        <v>5.718605627887443</v>
      </c>
      <c r="L113" s="178">
        <f>909778+593215.5+203934.5+91391+32233.5+29451.5+14597.5+12123.5+12906+13616</f>
        <v>1913247</v>
      </c>
      <c r="M113" s="179">
        <f>103944+67300+25860+13426+5611+5689+2739+1975+2803+2381</f>
        <v>231728</v>
      </c>
      <c r="N113" s="266">
        <f t="shared" si="18"/>
        <v>8.256434267762204</v>
      </c>
      <c r="O113" s="303"/>
      <c r="P113" s="234"/>
    </row>
    <row r="114" spans="1:16" ht="15">
      <c r="A114" s="39">
        <v>111</v>
      </c>
      <c r="B114" s="268" t="s">
        <v>176</v>
      </c>
      <c r="C114" s="31">
        <v>40123</v>
      </c>
      <c r="D114" s="32" t="s">
        <v>242</v>
      </c>
      <c r="E114" s="56">
        <v>144</v>
      </c>
      <c r="F114" s="56">
        <v>12</v>
      </c>
      <c r="G114" s="56">
        <v>9</v>
      </c>
      <c r="H114" s="159">
        <v>12906</v>
      </c>
      <c r="I114" s="160">
        <v>2803</v>
      </c>
      <c r="J114" s="177">
        <f t="shared" si="17"/>
        <v>233.58333333333334</v>
      </c>
      <c r="K114" s="155">
        <f t="shared" si="15"/>
        <v>4.6043524794862645</v>
      </c>
      <c r="L114" s="178">
        <f>909778+593215.5+203934.5+91391+32233.5+29451.5+14597.5+12123.5+12906</f>
        <v>1899631</v>
      </c>
      <c r="M114" s="179">
        <f>103944+67300+25860+13426+5611+5689+2739+1975+2803</f>
        <v>229347</v>
      </c>
      <c r="N114" s="266">
        <f t="shared" si="18"/>
        <v>8.282781113334815</v>
      </c>
      <c r="O114" s="303"/>
      <c r="P114" s="234"/>
    </row>
    <row r="115" spans="1:16" ht="15">
      <c r="A115" s="39">
        <v>112</v>
      </c>
      <c r="B115" s="268" t="s">
        <v>176</v>
      </c>
      <c r="C115" s="31">
        <v>40123</v>
      </c>
      <c r="D115" s="32" t="s">
        <v>242</v>
      </c>
      <c r="E115" s="56">
        <v>144</v>
      </c>
      <c r="F115" s="56">
        <v>7</v>
      </c>
      <c r="G115" s="56">
        <v>12</v>
      </c>
      <c r="H115" s="149">
        <v>7885.5</v>
      </c>
      <c r="I115" s="151">
        <v>1755</v>
      </c>
      <c r="J115" s="153">
        <f t="shared" si="17"/>
        <v>250.71428571428572</v>
      </c>
      <c r="K115" s="155">
        <f t="shared" si="15"/>
        <v>4.493162393162393</v>
      </c>
      <c r="L115" s="157">
        <f>909778+593215.5+203934.5+91391+32233.5+29451.5+14597.5+12123.5+12906+13616+5350+7885.5</f>
        <v>1926482.5</v>
      </c>
      <c r="M115" s="158">
        <f>103944+67300+25860+13426+5611+5689+2739+1975+2803+2381+1177+1755</f>
        <v>234660</v>
      </c>
      <c r="N115" s="266">
        <f t="shared" si="18"/>
        <v>8.209675701014234</v>
      </c>
      <c r="O115" s="303"/>
      <c r="P115" s="234"/>
    </row>
    <row r="116" spans="1:16" ht="15">
      <c r="A116" s="39">
        <v>113</v>
      </c>
      <c r="B116" s="269" t="s">
        <v>176</v>
      </c>
      <c r="C116" s="34">
        <v>40123</v>
      </c>
      <c r="D116" s="32" t="s">
        <v>242</v>
      </c>
      <c r="E116" s="57">
        <v>144</v>
      </c>
      <c r="F116" s="57">
        <v>2</v>
      </c>
      <c r="G116" s="57">
        <v>11</v>
      </c>
      <c r="H116" s="159">
        <v>5350</v>
      </c>
      <c r="I116" s="151">
        <v>1177</v>
      </c>
      <c r="J116" s="153">
        <f t="shared" si="17"/>
        <v>588.5</v>
      </c>
      <c r="K116" s="155">
        <f t="shared" si="15"/>
        <v>4.545454545454546</v>
      </c>
      <c r="L116" s="178">
        <f>909778+593215.5+203934.5+91391+32233.5+29451.5+14597.5+12123.5+12906+13616+5350</f>
        <v>1918597</v>
      </c>
      <c r="M116" s="158">
        <f>103944+67300+25860+13426+5611+5689+2739+1975+2803+2381+1177</f>
        <v>232905</v>
      </c>
      <c r="N116" s="266">
        <f t="shared" si="18"/>
        <v>8.237680599386016</v>
      </c>
      <c r="O116" s="311"/>
      <c r="P116" s="234"/>
    </row>
    <row r="117" spans="1:16" ht="15">
      <c r="A117" s="39">
        <v>114</v>
      </c>
      <c r="B117" s="268" t="s">
        <v>176</v>
      </c>
      <c r="C117" s="31">
        <v>40123</v>
      </c>
      <c r="D117" s="32" t="s">
        <v>242</v>
      </c>
      <c r="E117" s="56">
        <v>144</v>
      </c>
      <c r="F117" s="56">
        <v>3</v>
      </c>
      <c r="G117" s="56">
        <v>14</v>
      </c>
      <c r="H117" s="161">
        <v>3662</v>
      </c>
      <c r="I117" s="150">
        <v>881</v>
      </c>
      <c r="J117" s="152">
        <f t="shared" si="17"/>
        <v>293.6666666666667</v>
      </c>
      <c r="K117" s="154">
        <f>(J117/G117)</f>
        <v>20.976190476190478</v>
      </c>
      <c r="L117" s="156">
        <f>909778+593215.5+203934.5+91391+32233.5+29451.5+14597.5+12123.5+12906+13616+5350+7885.5+2130+3662</f>
        <v>1932274.5</v>
      </c>
      <c r="M117" s="152">
        <f>103944+67300+25860+13426+5611+5689+2739+1975+2803+2381+1177+1755+350+881</f>
        <v>235891</v>
      </c>
      <c r="N117" s="267">
        <f t="shared" si="18"/>
        <v>8.191387123713918</v>
      </c>
      <c r="O117" s="349"/>
      <c r="P117" s="234"/>
    </row>
    <row r="118" spans="1:16" ht="15">
      <c r="A118" s="39">
        <v>115</v>
      </c>
      <c r="B118" s="268" t="s">
        <v>176</v>
      </c>
      <c r="C118" s="31">
        <v>40123</v>
      </c>
      <c r="D118" s="32" t="s">
        <v>242</v>
      </c>
      <c r="E118" s="56">
        <v>144</v>
      </c>
      <c r="F118" s="56">
        <v>2</v>
      </c>
      <c r="G118" s="56">
        <v>15</v>
      </c>
      <c r="H118" s="148">
        <v>3564</v>
      </c>
      <c r="I118" s="162">
        <v>891</v>
      </c>
      <c r="J118" s="181">
        <f t="shared" si="17"/>
        <v>445.5</v>
      </c>
      <c r="K118" s="182">
        <f>H118/I118</f>
        <v>4</v>
      </c>
      <c r="L118" s="183">
        <f>909778+593215.5+203934.5+91391+32233.5+29451.5+14597.5+12123.5+12906+13616+5350+7885.5+2130+3662+3564</f>
        <v>1935838.5</v>
      </c>
      <c r="M118" s="181">
        <f>103944+67300+25860+13426+5611+5689+2739+1975+2803+2381+1177+1755+350+881+891</f>
        <v>236782</v>
      </c>
      <c r="N118" s="267">
        <f t="shared" si="18"/>
        <v>8.175615122771157</v>
      </c>
      <c r="O118" s="331"/>
      <c r="P118" s="234"/>
    </row>
    <row r="119" spans="1:15" ht="15">
      <c r="A119" s="39">
        <v>116</v>
      </c>
      <c r="B119" s="275" t="s">
        <v>176</v>
      </c>
      <c r="C119" s="46">
        <v>40123</v>
      </c>
      <c r="D119" s="32" t="s">
        <v>242</v>
      </c>
      <c r="E119" s="54">
        <v>144</v>
      </c>
      <c r="F119" s="54">
        <v>1</v>
      </c>
      <c r="G119" s="54">
        <v>16</v>
      </c>
      <c r="H119" s="163">
        <v>2376</v>
      </c>
      <c r="I119" s="164">
        <v>594</v>
      </c>
      <c r="J119" s="181">
        <f>I119/F119</f>
        <v>594</v>
      </c>
      <c r="K119" s="182">
        <f>H119/I119</f>
        <v>4</v>
      </c>
      <c r="L119" s="183">
        <f>909778+593215.5+203934.5+91391+32233.5+29451.5+14597.5+12123.5+12906+13616+5350+7885.5+2130+3662+3564+2376</f>
        <v>1938214.5</v>
      </c>
      <c r="M119" s="181">
        <f>103944+67300+25860+13426+5611+5689+2739+1975+2803+2381+1177+1755+350+881+891+594</f>
        <v>237376</v>
      </c>
      <c r="N119" s="267">
        <f>+L119/M119</f>
        <v>8.165166234160152</v>
      </c>
      <c r="O119" s="308"/>
    </row>
    <row r="120" spans="1:15" ht="15">
      <c r="A120" s="39">
        <v>117</v>
      </c>
      <c r="B120" s="269" t="s">
        <v>110</v>
      </c>
      <c r="C120" s="34">
        <v>40123</v>
      </c>
      <c r="D120" s="32" t="s">
        <v>242</v>
      </c>
      <c r="E120" s="57">
        <v>144</v>
      </c>
      <c r="F120" s="57">
        <v>3</v>
      </c>
      <c r="G120" s="57">
        <v>13</v>
      </c>
      <c r="H120" s="149">
        <v>2130</v>
      </c>
      <c r="I120" s="151">
        <v>350</v>
      </c>
      <c r="J120" s="153">
        <f>(I120/F120)</f>
        <v>116.66666666666667</v>
      </c>
      <c r="K120" s="154">
        <f>+H120/I120</f>
        <v>6.085714285714285</v>
      </c>
      <c r="L120" s="157">
        <f>909778+593215.5+203934.5+91391+32233.5+29451.5+14597.5+12123.5+12906+13616+5350+7885.5+2130</f>
        <v>1928612.5</v>
      </c>
      <c r="M120" s="158">
        <f>103944+67300+25860+13426+5611+5689+2739+1975+2803+2381+1177+1755+350</f>
        <v>235010</v>
      </c>
      <c r="N120" s="266">
        <f>L120/M120</f>
        <v>8.206512488830263</v>
      </c>
      <c r="O120" s="331">
        <v>1</v>
      </c>
    </row>
    <row r="121" spans="1:15" ht="15">
      <c r="A121" s="39">
        <v>118</v>
      </c>
      <c r="B121" s="271" t="s">
        <v>176</v>
      </c>
      <c r="C121" s="31">
        <v>40123</v>
      </c>
      <c r="D121" s="32" t="s">
        <v>242</v>
      </c>
      <c r="E121" s="229">
        <v>144</v>
      </c>
      <c r="F121" s="229">
        <v>1</v>
      </c>
      <c r="G121" s="229">
        <v>17</v>
      </c>
      <c r="H121" s="159">
        <v>1780</v>
      </c>
      <c r="I121" s="160">
        <v>445</v>
      </c>
      <c r="J121" s="177">
        <f>(I121/F121)</f>
        <v>445</v>
      </c>
      <c r="K121" s="155">
        <f>H121/I121</f>
        <v>4</v>
      </c>
      <c r="L121" s="178">
        <f>909778+593215.5+203934.5+91391+32233.5+29451.5+14597.5+12123.5+12906+13616+5350+7885.5+2130+3662+3564+2376+1780</f>
        <v>1939994.5</v>
      </c>
      <c r="M121" s="179">
        <f>103944+67300+25860+13426+5611+5689+2739+1975+2803+2381+1177+1755+350+881+891+594+445</f>
        <v>237821</v>
      </c>
      <c r="N121" s="266">
        <f>L121/M121</f>
        <v>8.157372561716585</v>
      </c>
      <c r="O121" s="304">
        <v>1</v>
      </c>
    </row>
    <row r="122" spans="1:15" ht="15">
      <c r="A122" s="39">
        <v>119</v>
      </c>
      <c r="B122" s="268" t="s">
        <v>372</v>
      </c>
      <c r="C122" s="31">
        <v>39808</v>
      </c>
      <c r="D122" s="27" t="s">
        <v>242</v>
      </c>
      <c r="E122" s="229">
        <v>75</v>
      </c>
      <c r="F122" s="229">
        <v>1</v>
      </c>
      <c r="G122" s="229">
        <v>26</v>
      </c>
      <c r="H122" s="148">
        <v>372</v>
      </c>
      <c r="I122" s="162">
        <v>31</v>
      </c>
      <c r="J122" s="181">
        <v>31</v>
      </c>
      <c r="K122" s="182">
        <v>12</v>
      </c>
      <c r="L122" s="183">
        <v>1791896.5</v>
      </c>
      <c r="M122" s="181">
        <v>182081</v>
      </c>
      <c r="N122" s="267">
        <v>9.841205287756548</v>
      </c>
      <c r="O122" s="303"/>
    </row>
    <row r="123" spans="1:15" ht="15">
      <c r="A123" s="39">
        <v>120</v>
      </c>
      <c r="B123" s="265" t="s">
        <v>58</v>
      </c>
      <c r="C123" s="31">
        <v>40165</v>
      </c>
      <c r="D123" s="27" t="s">
        <v>242</v>
      </c>
      <c r="E123" s="229">
        <v>125</v>
      </c>
      <c r="F123" s="229">
        <v>2</v>
      </c>
      <c r="G123" s="229">
        <v>36</v>
      </c>
      <c r="H123" s="161">
        <v>1045</v>
      </c>
      <c r="I123" s="150">
        <v>113</v>
      </c>
      <c r="J123" s="152">
        <v>28</v>
      </c>
      <c r="K123" s="154">
        <v>8</v>
      </c>
      <c r="L123" s="156">
        <f>26351050.5+1782+1045</f>
        <v>26353877.5</v>
      </c>
      <c r="M123" s="152">
        <f>2457871+446+113</f>
        <v>2458430</v>
      </c>
      <c r="N123" s="267">
        <v>10.72108768116797</v>
      </c>
      <c r="O123" s="349"/>
    </row>
    <row r="124" spans="1:15" ht="15">
      <c r="A124" s="39">
        <v>121</v>
      </c>
      <c r="B124" s="265" t="s">
        <v>58</v>
      </c>
      <c r="C124" s="31">
        <v>40165</v>
      </c>
      <c r="D124" s="27" t="s">
        <v>242</v>
      </c>
      <c r="E124" s="229">
        <v>125</v>
      </c>
      <c r="F124" s="229">
        <v>1</v>
      </c>
      <c r="G124" s="229">
        <v>35</v>
      </c>
      <c r="H124" s="161">
        <v>1782</v>
      </c>
      <c r="I124" s="150">
        <v>446</v>
      </c>
      <c r="J124" s="152">
        <v>28</v>
      </c>
      <c r="K124" s="154">
        <v>8</v>
      </c>
      <c r="L124" s="156">
        <f>26351050.5+1782</f>
        <v>26352832.5</v>
      </c>
      <c r="M124" s="152">
        <f>2457871+446</f>
        <v>2458317</v>
      </c>
      <c r="N124" s="267">
        <v>10.72108768116797</v>
      </c>
      <c r="O124" s="312"/>
    </row>
    <row r="125" spans="1:15" ht="15">
      <c r="A125" s="39">
        <v>122</v>
      </c>
      <c r="B125" s="268" t="s">
        <v>58</v>
      </c>
      <c r="C125" s="31">
        <v>40165</v>
      </c>
      <c r="D125" s="27" t="s">
        <v>242</v>
      </c>
      <c r="E125" s="229">
        <v>125</v>
      </c>
      <c r="F125" s="229">
        <v>1</v>
      </c>
      <c r="G125" s="229">
        <v>34</v>
      </c>
      <c r="H125" s="148">
        <v>224</v>
      </c>
      <c r="I125" s="162">
        <v>28</v>
      </c>
      <c r="J125" s="181">
        <v>28</v>
      </c>
      <c r="K125" s="182">
        <v>8</v>
      </c>
      <c r="L125" s="183">
        <v>26351050.5</v>
      </c>
      <c r="M125" s="181">
        <v>2457871</v>
      </c>
      <c r="N125" s="267">
        <v>10.72108768116797</v>
      </c>
      <c r="O125" s="307"/>
    </row>
    <row r="126" spans="1:15" ht="15">
      <c r="A126" s="39">
        <v>123</v>
      </c>
      <c r="B126" s="265" t="s">
        <v>58</v>
      </c>
      <c r="C126" s="31">
        <v>40165</v>
      </c>
      <c r="D126" s="27" t="s">
        <v>261</v>
      </c>
      <c r="E126" s="229">
        <v>125</v>
      </c>
      <c r="F126" s="229">
        <v>5</v>
      </c>
      <c r="G126" s="229">
        <v>33</v>
      </c>
      <c r="H126" s="161">
        <f>1690+1440.5</f>
        <v>3130.5</v>
      </c>
      <c r="I126" s="150">
        <f>338+83</f>
        <v>421</v>
      </c>
      <c r="J126" s="152">
        <f aca="true" t="shared" si="19" ref="J126:J134">(I126/F126)</f>
        <v>84.2</v>
      </c>
      <c r="K126" s="154">
        <f aca="true" t="shared" si="20" ref="K126:K131">H126/I126</f>
        <v>7.435866983372922</v>
      </c>
      <c r="L126" s="156">
        <f>4033069.5+3582182.5+3469556.5+3099545+3107521.5+2751160+2297667.5+1520298+788693.5+562184.5+348660.5+276467.5+182912.5+83992.5+49671.5+34864+44685+34334+3879.5+2808.5+2736+5711.5+5766+2541+1542+835+676+14538+9150+13254.5+8780.5+8011.5+3130.5</f>
        <v>26350826.5</v>
      </c>
      <c r="M126" s="152">
        <f>383242+338340+309119+280170+290777+261753+222617+140396+74659+50484+29496+23353+15006+11893+4985+3244+4321+2421+508+237+230+636+1071+618+170+166+146+926+1340+2328+1474+1296+421</f>
        <v>2457843</v>
      </c>
      <c r="N126" s="267">
        <f aca="true" t="shared" si="21" ref="N126:N134">L126/M126</f>
        <v>10.721118680078426</v>
      </c>
      <c r="O126" s="309"/>
    </row>
    <row r="127" spans="1:15" ht="15">
      <c r="A127" s="39">
        <v>124</v>
      </c>
      <c r="B127" s="265" t="s">
        <v>58</v>
      </c>
      <c r="C127" s="31">
        <v>40165</v>
      </c>
      <c r="D127" s="27" t="s">
        <v>242</v>
      </c>
      <c r="E127" s="229">
        <v>125</v>
      </c>
      <c r="F127" s="229">
        <v>4</v>
      </c>
      <c r="G127" s="229">
        <v>32</v>
      </c>
      <c r="H127" s="161">
        <v>8011.5</v>
      </c>
      <c r="I127" s="150">
        <v>1296</v>
      </c>
      <c r="J127" s="152">
        <f t="shared" si="19"/>
        <v>324</v>
      </c>
      <c r="K127" s="154">
        <f t="shared" si="20"/>
        <v>6.181712962962963</v>
      </c>
      <c r="L127" s="156">
        <f>4033069.5+3582182.5+3469556.5+3099545+3107521.5+2751160+2297667.5+1520298+788693.5+562184.5+348660.5+276467.5+182912.5+83992.5+49671.5+34864+44685+34334+3879.5+2808.5+2736+5711.5+5766+2541+1542+835+676+14538+9150+13254.5+8780.5+8011.5</f>
        <v>26347696</v>
      </c>
      <c r="M127" s="152">
        <f>383242+338340+309119+280170+290777+261753+222617+140396+74659+50484+29496+23353+15006+11893+4985+3244+4321+2421+508+237+230+636+1071+618+170+166+146+926+1340+2328+1474+1296</f>
        <v>2457422</v>
      </c>
      <c r="N127" s="267">
        <f t="shared" si="21"/>
        <v>10.721681501996809</v>
      </c>
      <c r="O127" s="308"/>
    </row>
    <row r="128" spans="1:15" ht="15">
      <c r="A128" s="39">
        <v>125</v>
      </c>
      <c r="B128" s="268" t="s">
        <v>58</v>
      </c>
      <c r="C128" s="31">
        <v>40165</v>
      </c>
      <c r="D128" s="32" t="s">
        <v>242</v>
      </c>
      <c r="E128" s="56">
        <v>125</v>
      </c>
      <c r="F128" s="56">
        <v>156</v>
      </c>
      <c r="G128" s="56">
        <v>3</v>
      </c>
      <c r="H128" s="159">
        <v>3469556.5</v>
      </c>
      <c r="I128" s="160">
        <v>309119</v>
      </c>
      <c r="J128" s="177">
        <f t="shared" si="19"/>
        <v>1981.5320512820513</v>
      </c>
      <c r="K128" s="155">
        <f t="shared" si="20"/>
        <v>11.224015670340549</v>
      </c>
      <c r="L128" s="178">
        <f>4033069.5+3582182.5+3469556.5</f>
        <v>11084808.5</v>
      </c>
      <c r="M128" s="179">
        <f>383242+338340+309119</f>
        <v>1030701</v>
      </c>
      <c r="N128" s="266">
        <f t="shared" si="21"/>
        <v>10.754630586367918</v>
      </c>
      <c r="O128" s="303"/>
    </row>
    <row r="129" spans="1:15" ht="15">
      <c r="A129" s="39">
        <v>126</v>
      </c>
      <c r="B129" s="269" t="s">
        <v>58</v>
      </c>
      <c r="C129" s="34">
        <v>40165</v>
      </c>
      <c r="D129" s="32" t="s">
        <v>242</v>
      </c>
      <c r="E129" s="57">
        <v>125</v>
      </c>
      <c r="F129" s="57">
        <v>156</v>
      </c>
      <c r="G129" s="57">
        <v>5</v>
      </c>
      <c r="H129" s="159">
        <v>3107541.5</v>
      </c>
      <c r="I129" s="151">
        <v>290779</v>
      </c>
      <c r="J129" s="153">
        <f t="shared" si="19"/>
        <v>1863.9679487179487</v>
      </c>
      <c r="K129" s="155">
        <f t="shared" si="20"/>
        <v>10.686952978034865</v>
      </c>
      <c r="L129" s="178">
        <f>4033069.5+3582182.5+3469556.5+3099545+3107541.5</f>
        <v>17291895</v>
      </c>
      <c r="M129" s="158">
        <f>383242+338340+309119+280170+290779</f>
        <v>1601650</v>
      </c>
      <c r="N129" s="266">
        <f t="shared" si="21"/>
        <v>10.796300689913526</v>
      </c>
      <c r="O129" s="303"/>
    </row>
    <row r="130" spans="1:15" ht="15">
      <c r="A130" s="39">
        <v>127</v>
      </c>
      <c r="B130" s="268" t="s">
        <v>58</v>
      </c>
      <c r="C130" s="31">
        <v>40165</v>
      </c>
      <c r="D130" s="32" t="s">
        <v>242</v>
      </c>
      <c r="E130" s="56">
        <v>125</v>
      </c>
      <c r="F130" s="56">
        <v>158</v>
      </c>
      <c r="G130" s="56">
        <v>4</v>
      </c>
      <c r="H130" s="159">
        <v>3099545</v>
      </c>
      <c r="I130" s="160">
        <v>280170</v>
      </c>
      <c r="J130" s="177">
        <f t="shared" si="19"/>
        <v>1773.2278481012659</v>
      </c>
      <c r="K130" s="180">
        <f t="shared" si="20"/>
        <v>11.063086697362316</v>
      </c>
      <c r="L130" s="178">
        <f>4033069.5+3582182.5+3469556.5+3099545</f>
        <v>14184353.5</v>
      </c>
      <c r="M130" s="179">
        <f>383242+338340+309119+280170</f>
        <v>1310871</v>
      </c>
      <c r="N130" s="266">
        <f t="shared" si="21"/>
        <v>10.820556332392737</v>
      </c>
      <c r="O130" s="308">
        <v>1</v>
      </c>
    </row>
    <row r="131" spans="1:15" ht="15">
      <c r="A131" s="39">
        <v>128</v>
      </c>
      <c r="B131" s="268" t="s">
        <v>58</v>
      </c>
      <c r="C131" s="31">
        <v>40165</v>
      </c>
      <c r="D131" s="32" t="s">
        <v>242</v>
      </c>
      <c r="E131" s="56">
        <v>125</v>
      </c>
      <c r="F131" s="56">
        <v>146</v>
      </c>
      <c r="G131" s="56">
        <v>6</v>
      </c>
      <c r="H131" s="149">
        <v>2751160</v>
      </c>
      <c r="I131" s="151">
        <v>261753</v>
      </c>
      <c r="J131" s="153">
        <f t="shared" si="19"/>
        <v>1792.8287671232877</v>
      </c>
      <c r="K131" s="155">
        <f t="shared" si="20"/>
        <v>10.510519459184804</v>
      </c>
      <c r="L131" s="157">
        <f>4033069.5+3582182.5+3469556.5+3099545+3107521.5+2751160</f>
        <v>20043035</v>
      </c>
      <c r="M131" s="158">
        <f>383242+338340+309119+280170+290777+261753</f>
        <v>1863401</v>
      </c>
      <c r="N131" s="266">
        <f t="shared" si="21"/>
        <v>10.756157692305628</v>
      </c>
      <c r="O131" s="301">
        <v>1</v>
      </c>
    </row>
    <row r="132" spans="1:15" ht="15">
      <c r="A132" s="39">
        <v>129</v>
      </c>
      <c r="B132" s="269" t="s">
        <v>58</v>
      </c>
      <c r="C132" s="34">
        <v>40165</v>
      </c>
      <c r="D132" s="32" t="s">
        <v>242</v>
      </c>
      <c r="E132" s="57">
        <v>125</v>
      </c>
      <c r="F132" s="57">
        <v>147</v>
      </c>
      <c r="G132" s="57">
        <v>7</v>
      </c>
      <c r="H132" s="149">
        <v>2297673.5</v>
      </c>
      <c r="I132" s="151">
        <v>222617</v>
      </c>
      <c r="J132" s="153">
        <f t="shared" si="19"/>
        <v>1514.4013605442176</v>
      </c>
      <c r="K132" s="154">
        <f>+H132/I132</f>
        <v>10.32119514682167</v>
      </c>
      <c r="L132" s="157">
        <f>4033069.5+3582182.5+3469556.5+3099545+3107521.5+2751160+2297673.5</f>
        <v>22340708.5</v>
      </c>
      <c r="M132" s="158">
        <f>383242+338340+309119+280170+290777+261753+222617</f>
        <v>2086018</v>
      </c>
      <c r="N132" s="266">
        <f t="shared" si="21"/>
        <v>10.709739081829591</v>
      </c>
      <c r="O132" s="331"/>
    </row>
    <row r="133" spans="1:15" ht="15">
      <c r="A133" s="39">
        <v>130</v>
      </c>
      <c r="B133" s="268" t="s">
        <v>58</v>
      </c>
      <c r="C133" s="31">
        <v>40165</v>
      </c>
      <c r="D133" s="32" t="s">
        <v>242</v>
      </c>
      <c r="E133" s="56">
        <v>125</v>
      </c>
      <c r="F133" s="56">
        <v>147</v>
      </c>
      <c r="G133" s="56">
        <v>8</v>
      </c>
      <c r="H133" s="161">
        <v>1520298</v>
      </c>
      <c r="I133" s="150">
        <v>140396</v>
      </c>
      <c r="J133" s="152">
        <f t="shared" si="19"/>
        <v>955.0748299319728</v>
      </c>
      <c r="K133" s="154">
        <f>(J133/G133)</f>
        <v>119.3843537414966</v>
      </c>
      <c r="L133" s="156">
        <f>4033069.5+3582182.5+3469556.5+3099545+3107521.5+2751160+2297673.5+1520298</f>
        <v>23861006.5</v>
      </c>
      <c r="M133" s="152">
        <f>383242+338340+309119+280170+290777+261753+222617+140396</f>
        <v>2226414</v>
      </c>
      <c r="N133" s="267">
        <f t="shared" si="21"/>
        <v>10.717237000845305</v>
      </c>
      <c r="O133" s="331"/>
    </row>
    <row r="134" spans="1:15" ht="15">
      <c r="A134" s="39">
        <v>131</v>
      </c>
      <c r="B134" s="268" t="s">
        <v>58</v>
      </c>
      <c r="C134" s="31">
        <v>40165</v>
      </c>
      <c r="D134" s="32" t="s">
        <v>242</v>
      </c>
      <c r="E134" s="56">
        <v>125</v>
      </c>
      <c r="F134" s="56">
        <v>122</v>
      </c>
      <c r="G134" s="56">
        <v>9</v>
      </c>
      <c r="H134" s="148">
        <v>778693.5</v>
      </c>
      <c r="I134" s="162">
        <v>74659</v>
      </c>
      <c r="J134" s="181">
        <f t="shared" si="19"/>
        <v>611.9590163934427</v>
      </c>
      <c r="K134" s="182">
        <f>(J134/G134)</f>
        <v>67.99544626593807</v>
      </c>
      <c r="L134" s="183">
        <f>4033069.5+3582182.5+3469556.5+3099545+3107521.5+2751160+2297667.5+1520298+788693.5</f>
        <v>24649694</v>
      </c>
      <c r="M134" s="181">
        <f>383242+338340+309119+280170+290777+261753+222617+140396+74659</f>
        <v>2301073</v>
      </c>
      <c r="N134" s="267">
        <f t="shared" si="21"/>
        <v>10.712260758350562</v>
      </c>
      <c r="O134" s="331"/>
    </row>
    <row r="135" spans="1:15" ht="15">
      <c r="A135" s="39">
        <v>132</v>
      </c>
      <c r="B135" s="268" t="s">
        <v>58</v>
      </c>
      <c r="C135" s="31">
        <v>40165</v>
      </c>
      <c r="D135" s="32" t="s">
        <v>242</v>
      </c>
      <c r="E135" s="56">
        <v>125</v>
      </c>
      <c r="F135" s="56">
        <v>106</v>
      </c>
      <c r="G135" s="56">
        <v>10</v>
      </c>
      <c r="H135" s="148">
        <v>562184.5</v>
      </c>
      <c r="I135" s="162">
        <v>50484</v>
      </c>
      <c r="J135" s="181">
        <f>I135/F135</f>
        <v>476.2641509433962</v>
      </c>
      <c r="K135" s="182">
        <f aca="true" t="shared" si="22" ref="K135:K148">H135/I135</f>
        <v>11.135894540844625</v>
      </c>
      <c r="L135" s="183">
        <f>4033069.5+3582182.5+3469556.5+3099545+3107521.5+2751160+2297667.5+1520298+788693.5+562184.5</f>
        <v>25211878.5</v>
      </c>
      <c r="M135" s="181">
        <f>383242+338340+309119+280170+290777+261753+222617+140396+74659+50484</f>
        <v>2351557</v>
      </c>
      <c r="N135" s="267">
        <f>+L135/M135</f>
        <v>10.721355467887872</v>
      </c>
      <c r="O135" s="331"/>
    </row>
    <row r="136" spans="1:15" ht="15">
      <c r="A136" s="39">
        <v>133</v>
      </c>
      <c r="B136" s="268" t="s">
        <v>58</v>
      </c>
      <c r="C136" s="46">
        <v>40165</v>
      </c>
      <c r="D136" s="32" t="s">
        <v>242</v>
      </c>
      <c r="E136" s="54">
        <v>125</v>
      </c>
      <c r="F136" s="54">
        <v>64</v>
      </c>
      <c r="G136" s="54">
        <v>11</v>
      </c>
      <c r="H136" s="163">
        <v>348660.5</v>
      </c>
      <c r="I136" s="164">
        <v>29496</v>
      </c>
      <c r="J136" s="181">
        <f>(I136/F136)</f>
        <v>460.875</v>
      </c>
      <c r="K136" s="182">
        <f t="shared" si="22"/>
        <v>11.820602793599132</v>
      </c>
      <c r="L136" s="183">
        <f>4033069.5+3582182.5+3469556.5+3099545+3107521.5+2751160+2297667.5+1520298+788693.5+562184.5+348660.5</f>
        <v>25560539</v>
      </c>
      <c r="M136" s="181">
        <f>383242+338340+309119+280170+290777+261753+222617+140396+74659+50484+29496</f>
        <v>2381053</v>
      </c>
      <c r="N136" s="267">
        <f>L136/M136</f>
        <v>10.73497272005285</v>
      </c>
      <c r="O136" s="301">
        <v>1</v>
      </c>
    </row>
    <row r="137" spans="1:15" ht="15">
      <c r="A137" s="39">
        <v>134</v>
      </c>
      <c r="B137" s="268" t="s">
        <v>58</v>
      </c>
      <c r="C137" s="46">
        <v>40165</v>
      </c>
      <c r="D137" s="32" t="s">
        <v>242</v>
      </c>
      <c r="E137" s="54">
        <v>125</v>
      </c>
      <c r="F137" s="54">
        <v>53</v>
      </c>
      <c r="G137" s="54">
        <v>12</v>
      </c>
      <c r="H137" s="163">
        <v>276467.5</v>
      </c>
      <c r="I137" s="164">
        <v>23353</v>
      </c>
      <c r="J137" s="181">
        <f>(I137/F137)</f>
        <v>440.62264150943395</v>
      </c>
      <c r="K137" s="182">
        <f t="shared" si="22"/>
        <v>11.838628869952469</v>
      </c>
      <c r="L137" s="183">
        <f>4033069.5+3582182.5+3469556.5+3099545+3107521.5+2751160+2297667.5+1520298+788693.5+562184.5+348660.5+276467.5</f>
        <v>25837006.5</v>
      </c>
      <c r="M137" s="181">
        <f>383242+338340+309119+280170+290777+261753+222617+140396+74659+50484+29496+23353</f>
        <v>2404406</v>
      </c>
      <c r="N137" s="267">
        <f>+L137/M137</f>
        <v>10.74569207529843</v>
      </c>
      <c r="O137" s="303">
        <v>1</v>
      </c>
    </row>
    <row r="138" spans="1:15" ht="15">
      <c r="A138" s="39">
        <v>135</v>
      </c>
      <c r="B138" s="275" t="s">
        <v>58</v>
      </c>
      <c r="C138" s="46">
        <v>40165</v>
      </c>
      <c r="D138" s="32" t="s">
        <v>242</v>
      </c>
      <c r="E138" s="54">
        <v>125</v>
      </c>
      <c r="F138" s="54">
        <v>40</v>
      </c>
      <c r="G138" s="54">
        <v>13</v>
      </c>
      <c r="H138" s="163">
        <v>182912.5</v>
      </c>
      <c r="I138" s="164">
        <v>15006</v>
      </c>
      <c r="J138" s="181">
        <f>I138/F138</f>
        <v>375.15</v>
      </c>
      <c r="K138" s="182">
        <f t="shared" si="22"/>
        <v>12.189290950286551</v>
      </c>
      <c r="L138" s="183">
        <f>4033069.5+3582182.5+3469556.5+3099545+3107521.5+2751160+2297667.5+1520298+788693.5+562184.5+348660.5+276467.5+182912.5</f>
        <v>26019919</v>
      </c>
      <c r="M138" s="181">
        <f>383242+338340+309119+280170+290777+261753+222617+140396+74659+50484+29496+23353+15006</f>
        <v>2419412</v>
      </c>
      <c r="N138" s="267">
        <f>+L138/M138</f>
        <v>10.754645756902917</v>
      </c>
      <c r="O138" s="303">
        <v>1</v>
      </c>
    </row>
    <row r="139" spans="1:15" ht="15">
      <c r="A139" s="39">
        <v>136</v>
      </c>
      <c r="B139" s="275" t="s">
        <v>58</v>
      </c>
      <c r="C139" s="46">
        <v>40165</v>
      </c>
      <c r="D139" s="32" t="s">
        <v>242</v>
      </c>
      <c r="E139" s="54">
        <v>125</v>
      </c>
      <c r="F139" s="54">
        <v>7</v>
      </c>
      <c r="G139" s="54">
        <v>14</v>
      </c>
      <c r="H139" s="163">
        <v>83992.5</v>
      </c>
      <c r="I139" s="164">
        <v>11893</v>
      </c>
      <c r="J139" s="181">
        <f>I139/F139</f>
        <v>1699</v>
      </c>
      <c r="K139" s="182">
        <f t="shared" si="22"/>
        <v>7.062347599428235</v>
      </c>
      <c r="L139" s="183">
        <f>4033069.5+3582182.5+3469556.5+3099545+3107521.5+2751160+2297667.5+1520298+788693.5+562184.5+348660.5+276467.5+182912.5+83992.5</f>
        <v>26103911.5</v>
      </c>
      <c r="M139" s="181">
        <f>383242+338340+309119+280170+290777+261753+222617+140396+74659+50484+29496+23353+15006+11893</f>
        <v>2431305</v>
      </c>
      <c r="N139" s="267">
        <f>+L139/M139</f>
        <v>10.736584468012035</v>
      </c>
      <c r="O139" s="303">
        <v>1</v>
      </c>
    </row>
    <row r="140" spans="1:15" ht="15">
      <c r="A140" s="39">
        <v>137</v>
      </c>
      <c r="B140" s="265" t="s">
        <v>58</v>
      </c>
      <c r="C140" s="26">
        <v>40165</v>
      </c>
      <c r="D140" s="32" t="s">
        <v>242</v>
      </c>
      <c r="E140" s="55">
        <v>125</v>
      </c>
      <c r="F140" s="55">
        <v>5</v>
      </c>
      <c r="G140" s="55">
        <v>15</v>
      </c>
      <c r="H140" s="159">
        <v>49671.5</v>
      </c>
      <c r="I140" s="151">
        <v>4985</v>
      </c>
      <c r="J140" s="153">
        <f>(I140/F140)</f>
        <v>997</v>
      </c>
      <c r="K140" s="155">
        <f t="shared" si="22"/>
        <v>9.964192577733199</v>
      </c>
      <c r="L140" s="178">
        <f>4033069.5+3582182.5+3469556.5+3099545+3107521.5+2751160+2297667.5+1520298+788693.5+562184.5+348660.5+276467.5+182912.5+83992.5+49671.5</f>
        <v>26153583</v>
      </c>
      <c r="M140" s="158">
        <f>383242+338340+309119+280170+290777+261753+222617+140396+74659+50484+29496+23353+15006+11893+4985</f>
        <v>2436290</v>
      </c>
      <c r="N140" s="266">
        <f>L140/M140</f>
        <v>10.735004043032644</v>
      </c>
      <c r="O140" s="301">
        <v>1</v>
      </c>
    </row>
    <row r="141" spans="1:15" ht="15">
      <c r="A141" s="39">
        <v>138</v>
      </c>
      <c r="B141" s="275" t="s">
        <v>58</v>
      </c>
      <c r="C141" s="31">
        <v>40165</v>
      </c>
      <c r="D141" s="32" t="s">
        <v>242</v>
      </c>
      <c r="E141" s="54">
        <v>125</v>
      </c>
      <c r="F141" s="54">
        <v>7</v>
      </c>
      <c r="G141" s="54">
        <v>17</v>
      </c>
      <c r="H141" s="163">
        <v>44685</v>
      </c>
      <c r="I141" s="164">
        <v>4321</v>
      </c>
      <c r="J141" s="181">
        <f>(I141/F141)</f>
        <v>617.2857142857143</v>
      </c>
      <c r="K141" s="182">
        <f t="shared" si="22"/>
        <v>10.341356167553807</v>
      </c>
      <c r="L141" s="183">
        <f>4033069.5+3582182.5+3469556.5+3099545+3107521.5+2751160+2297667.5+1520298+788693.5+562184.5+348660.5+276467.5+182912.5+83992.5+49671.5+34864+44685</f>
        <v>26233132</v>
      </c>
      <c r="M141" s="181">
        <f>383242+338340+309119+280170+290777+261753+222617+140396+74659+50484+29496+23353+15006+11893+4985+3244+4321</f>
        <v>2443855</v>
      </c>
      <c r="N141" s="270">
        <f>L141/M141</f>
        <v>10.734324254098546</v>
      </c>
      <c r="O141" s="309">
        <v>1</v>
      </c>
    </row>
    <row r="142" spans="1:15" ht="15">
      <c r="A142" s="39">
        <v>139</v>
      </c>
      <c r="B142" s="265" t="s">
        <v>58</v>
      </c>
      <c r="C142" s="26">
        <v>40165</v>
      </c>
      <c r="D142" s="32" t="s">
        <v>242</v>
      </c>
      <c r="E142" s="55">
        <v>125</v>
      </c>
      <c r="F142" s="55">
        <v>6</v>
      </c>
      <c r="G142" s="55">
        <v>16</v>
      </c>
      <c r="H142" s="159">
        <v>34864</v>
      </c>
      <c r="I142" s="151">
        <v>3244</v>
      </c>
      <c r="J142" s="153">
        <f>(I142/F142)</f>
        <v>540.6666666666666</v>
      </c>
      <c r="K142" s="155">
        <f t="shared" si="22"/>
        <v>10.747225647348952</v>
      </c>
      <c r="L142" s="178">
        <f>4033069.5+3582182.5+3469556.5+3099545+3107521.5+2751160+2297667.5+1520298+788693.5+562184.5+348660.5+276467.5+182912.5+83992.5+49671.5+34864</f>
        <v>26188447</v>
      </c>
      <c r="M142" s="158">
        <f>383242+338340+309119+280170+290777+261753+222617+140396+74659+50484+29496+23353+15006+11893+4985+3244</f>
        <v>2439534</v>
      </c>
      <c r="N142" s="266">
        <f>IF(L142&lt;&gt;0,L142/M142,"")</f>
        <v>10.735020294859591</v>
      </c>
      <c r="O142" s="305">
        <v>1</v>
      </c>
    </row>
    <row r="143" spans="1:15" ht="15">
      <c r="A143" s="39">
        <v>140</v>
      </c>
      <c r="B143" s="275" t="s">
        <v>58</v>
      </c>
      <c r="C143" s="31">
        <v>40165</v>
      </c>
      <c r="D143" s="32" t="s">
        <v>242</v>
      </c>
      <c r="E143" s="54">
        <v>125</v>
      </c>
      <c r="F143" s="54">
        <v>5</v>
      </c>
      <c r="G143" s="54">
        <v>18</v>
      </c>
      <c r="H143" s="163">
        <v>34334</v>
      </c>
      <c r="I143" s="164">
        <v>2421</v>
      </c>
      <c r="J143" s="181">
        <f>I143/F143</f>
        <v>484.2</v>
      </c>
      <c r="K143" s="182">
        <f t="shared" si="22"/>
        <v>14.181743081371334</v>
      </c>
      <c r="L143" s="183">
        <f>4033069.5+3582182.5+3469556.5+3099545+3107521.5+2751160+2297667.5+1520298+788693.5+562184.5+348660.5+276467.5+182912.5+83992.5+49671.5+36300+44685+34334</f>
        <v>26268902</v>
      </c>
      <c r="M143" s="181">
        <f>383242+338340+309119+280170+290777+261753+222617+140396+74659+50484+29496+23353+15006+11893+4985+3385+4321+2421</f>
        <v>2446417</v>
      </c>
      <c r="N143" s="270">
        <f>+L143/M143</f>
        <v>10.73770416081968</v>
      </c>
      <c r="O143" s="301"/>
    </row>
    <row r="144" spans="1:15" ht="15">
      <c r="A144" s="39">
        <v>141</v>
      </c>
      <c r="B144" s="271" t="s">
        <v>58</v>
      </c>
      <c r="C144" s="31">
        <v>40165</v>
      </c>
      <c r="D144" s="32" t="s">
        <v>242</v>
      </c>
      <c r="E144" s="229">
        <v>125</v>
      </c>
      <c r="F144" s="229">
        <v>2</v>
      </c>
      <c r="G144" s="229">
        <v>28</v>
      </c>
      <c r="H144" s="159">
        <v>14538</v>
      </c>
      <c r="I144" s="160">
        <v>926</v>
      </c>
      <c r="J144" s="177">
        <f>(I144/F144)</f>
        <v>463</v>
      </c>
      <c r="K144" s="155">
        <f t="shared" si="22"/>
        <v>15.699784017278617</v>
      </c>
      <c r="L144" s="178">
        <f>4033069.5+3582182.5+3469556.5+3099545+3107521.5+2751160+2297667.5+1520298+788693.5+562184.5+348660.5+276467.5+182912.5+83992.5+49671.5+34864+44685+34334+3879.5+2808.5+2736+5711.5+5766+2541+1542+835+676+14538</f>
        <v>26308499.5</v>
      </c>
      <c r="M144" s="179">
        <f>383242+338340+309119+280170+290777+261753+222617+140396+74659+50484+29496+23353+15006+11893+4985+3244+4321+2421+508+237+230+636+1071+618+170+166+146+926</f>
        <v>2450984</v>
      </c>
      <c r="N144" s="266">
        <f>L144/M144</f>
        <v>10.733851995769863</v>
      </c>
      <c r="O144" s="303"/>
    </row>
    <row r="145" spans="1:15" ht="15">
      <c r="A145" s="39">
        <v>142</v>
      </c>
      <c r="B145" s="265" t="s">
        <v>58</v>
      </c>
      <c r="C145" s="26">
        <v>40165</v>
      </c>
      <c r="D145" s="27" t="s">
        <v>242</v>
      </c>
      <c r="E145" s="230">
        <v>125</v>
      </c>
      <c r="F145" s="230">
        <v>7</v>
      </c>
      <c r="G145" s="230">
        <v>30</v>
      </c>
      <c r="H145" s="149">
        <v>13254.5</v>
      </c>
      <c r="I145" s="151">
        <v>2328</v>
      </c>
      <c r="J145" s="153">
        <f>(I145/F145)</f>
        <v>332.57142857142856</v>
      </c>
      <c r="K145" s="155">
        <f t="shared" si="22"/>
        <v>5.693513745704467</v>
      </c>
      <c r="L145" s="157">
        <f>4033069.5+3582182.5+3469556.5+3099545+3107521.5+2751160+2297667.5+1520298+788693.5+562184.5+348660.5+276467.5+182912.5+83992.5+49671.5+34864+44685+34334+3879.5+2808.5+2736+5711.5+5766+2541+1542+835+676+14538+9150+13254.5</f>
        <v>26330904</v>
      </c>
      <c r="M145" s="158">
        <f>383242+338340+309119+280170+290777+261753+222617+140396+74659+50484+29496+23353+15006+11893+4985+3244+4321+2421+508+237+230+636+1071+618+170+166+146+926+1340+2328</f>
        <v>2454652</v>
      </c>
      <c r="N145" s="266">
        <f>L145/M145</f>
        <v>10.726939704691338</v>
      </c>
      <c r="O145" s="301"/>
    </row>
    <row r="146" spans="1:15" ht="15">
      <c r="A146" s="39">
        <v>143</v>
      </c>
      <c r="B146" s="265" t="s">
        <v>58</v>
      </c>
      <c r="C146" s="26">
        <v>40165</v>
      </c>
      <c r="D146" s="27" t="s">
        <v>242</v>
      </c>
      <c r="E146" s="55">
        <v>125</v>
      </c>
      <c r="F146" s="55">
        <v>5</v>
      </c>
      <c r="G146" s="55">
        <v>31</v>
      </c>
      <c r="H146" s="159">
        <v>8780.5</v>
      </c>
      <c r="I146" s="160">
        <v>1474</v>
      </c>
      <c r="J146" s="177">
        <f>(I146/F146)</f>
        <v>294.8</v>
      </c>
      <c r="K146" s="155">
        <f t="shared" si="22"/>
        <v>5.956919945725915</v>
      </c>
      <c r="L146" s="178">
        <f>4033069.5+3582182.5+3469556.5+3099545+3107521.5+2751160+2297667.5+1520298+788693.5+562184.5+348660.5+276467.5+182912.5+83992.5+49671.5+34864+44685+34334+3879.5+2808.5+2736+5711.5+5766+2541+1542+835+676+14538+9150+13254.5+8780.5</f>
        <v>26339684.5</v>
      </c>
      <c r="M146" s="179">
        <f>383242+338340+309119+280170+290777+261753+222617+140396+74659+50484+29496+23353+15006+11893+4985+3244+4321+2421+508+237+230+636+1071+618+170+166+146+926+1340+2328+1474</f>
        <v>2456126</v>
      </c>
      <c r="N146" s="266">
        <f>L146/M146</f>
        <v>10.724077062821696</v>
      </c>
      <c r="O146" s="303"/>
    </row>
    <row r="147" spans="1:15" ht="15">
      <c r="A147" s="39">
        <v>144</v>
      </c>
      <c r="B147" s="276" t="s">
        <v>58</v>
      </c>
      <c r="C147" s="31">
        <v>40165</v>
      </c>
      <c r="D147" s="32" t="s">
        <v>242</v>
      </c>
      <c r="E147" s="56">
        <v>125</v>
      </c>
      <c r="F147" s="56">
        <v>4</v>
      </c>
      <c r="G147" s="56">
        <v>23</v>
      </c>
      <c r="H147" s="149">
        <v>5766</v>
      </c>
      <c r="I147" s="151">
        <v>1071</v>
      </c>
      <c r="J147" s="152">
        <f>(I147/F147)</f>
        <v>267.75</v>
      </c>
      <c r="K147" s="154">
        <f t="shared" si="22"/>
        <v>5.383753501400561</v>
      </c>
      <c r="L147" s="156">
        <f>4033069.5+3582182.5+3469556.5+3099545+3107521.5+2751160+2297667.5+1520298+788693.5+562184.5+348660.5+276467.5+182912.5+83992.5+49671.5+34864+44685+34334+3879.5+2808.5+2736+5711.5+5766</f>
        <v>26288367.5</v>
      </c>
      <c r="M147" s="152">
        <f>383242+338340+309119+280170+290777+261753+222617+140396+74659+50484+29496+23353+15006+11893+4985+3244+4321+2421+508+237+230+636+1071</f>
        <v>2448958</v>
      </c>
      <c r="N147" s="267">
        <f>L147/M147</f>
        <v>10.73451137177526</v>
      </c>
      <c r="O147" s="305"/>
    </row>
    <row r="148" spans="1:15" ht="15">
      <c r="A148" s="39">
        <v>145</v>
      </c>
      <c r="B148" s="276" t="s">
        <v>58</v>
      </c>
      <c r="C148" s="31">
        <v>40165</v>
      </c>
      <c r="D148" s="32" t="s">
        <v>242</v>
      </c>
      <c r="E148" s="56">
        <v>125</v>
      </c>
      <c r="F148" s="56">
        <v>4</v>
      </c>
      <c r="G148" s="56">
        <v>22</v>
      </c>
      <c r="H148" s="149">
        <v>5711.5</v>
      </c>
      <c r="I148" s="151">
        <v>636</v>
      </c>
      <c r="J148" s="153">
        <f>(I148/F148)</f>
        <v>159</v>
      </c>
      <c r="K148" s="155">
        <f t="shared" si="22"/>
        <v>8.980345911949685</v>
      </c>
      <c r="L148" s="157">
        <f>4033069.5+3582182.5+3469556.5+3099545+3107521.5+2751160+2297667.5+1520298+788693.5+562184.5+348660.5+276467.5+182912.5+83992.5+49671.5+36300+44685+34334+3879.5+3304.5+2736+5711.5</f>
        <v>26284533.5</v>
      </c>
      <c r="M148" s="158">
        <f>383242+338340+309119+280170+290777+261753+222617+140396+74659+50484+29496+23353+15006+11893+4985+3385+4321+2421+508+281+230+636</f>
        <v>2448072</v>
      </c>
      <c r="N148" s="266">
        <f>L148/M148</f>
        <v>10.736830248456744</v>
      </c>
      <c r="O148" s="303"/>
    </row>
    <row r="149" spans="1:15" ht="15">
      <c r="A149" s="39">
        <v>146</v>
      </c>
      <c r="B149" s="265" t="s">
        <v>58</v>
      </c>
      <c r="C149" s="31">
        <v>40165</v>
      </c>
      <c r="D149" s="32" t="s">
        <v>242</v>
      </c>
      <c r="E149" s="54">
        <v>125</v>
      </c>
      <c r="F149" s="54">
        <v>4</v>
      </c>
      <c r="G149" s="54">
        <v>19</v>
      </c>
      <c r="H149" s="163">
        <v>3879.5</v>
      </c>
      <c r="I149" s="164">
        <v>508</v>
      </c>
      <c r="J149" s="181">
        <f>I149/F149</f>
        <v>127</v>
      </c>
      <c r="K149" s="182">
        <f>+H149/I149</f>
        <v>7.636811023622047</v>
      </c>
      <c r="L149" s="183">
        <f>4033069.5+3582182.5+3469556.5+3099545+3107521.5+2751160+2297667.5+1520298+788693.5+562184.5+348660.5+276467.5+182912.5+83992.5+49671.5+36300+44685+34334+3879.5</f>
        <v>26272781.5</v>
      </c>
      <c r="M149" s="181">
        <f>383242+338340+309119+280170+290777+261753+222617+140396+74659+50484+29496+23353+15006+11893+4985+3385+4321+2421+508</f>
        <v>2446925</v>
      </c>
      <c r="N149" s="270">
        <f>+L149/M149</f>
        <v>10.73706039212481</v>
      </c>
      <c r="O149" s="301"/>
    </row>
    <row r="150" spans="1:15" ht="15">
      <c r="A150" s="39">
        <v>147</v>
      </c>
      <c r="B150" s="265" t="s">
        <v>58</v>
      </c>
      <c r="C150" s="31">
        <v>40165</v>
      </c>
      <c r="D150" s="32" t="s">
        <v>242</v>
      </c>
      <c r="E150" s="54">
        <v>125</v>
      </c>
      <c r="F150" s="54">
        <v>2</v>
      </c>
      <c r="G150" s="54">
        <v>20</v>
      </c>
      <c r="H150" s="163">
        <v>2808.5</v>
      </c>
      <c r="I150" s="164">
        <v>237</v>
      </c>
      <c r="J150" s="181">
        <f>(I150/F150)</f>
        <v>118.5</v>
      </c>
      <c r="K150" s="182">
        <f aca="true" t="shared" si="23" ref="K150:K155">H150/I150</f>
        <v>11.850210970464135</v>
      </c>
      <c r="L150" s="183">
        <f>4033069.5+3582182.5+3469556.5+3099545+3107521.5+2751160+2297667.5+1520298+788693.5+562184.5+348660.5+276467.5+182912.5+83992.5+49671.5+36300+44685+34334+3879.5+2808.5</f>
        <v>26275590</v>
      </c>
      <c r="M150" s="181">
        <f>383242+338340+309119+280170+290777+261753+222617+140396+74659+50484+29496+23353+15006+11893+4985+3385+4321+2421+508+237</f>
        <v>2447162</v>
      </c>
      <c r="N150" s="270">
        <f>L150/M150</f>
        <v>10.73716819728322</v>
      </c>
      <c r="O150" s="303"/>
    </row>
    <row r="151" spans="1:15" ht="15">
      <c r="A151" s="39">
        <v>148</v>
      </c>
      <c r="B151" s="265" t="s">
        <v>58</v>
      </c>
      <c r="C151" s="31">
        <v>40165</v>
      </c>
      <c r="D151" s="32" t="s">
        <v>242</v>
      </c>
      <c r="E151" s="54">
        <v>125</v>
      </c>
      <c r="F151" s="54">
        <v>4</v>
      </c>
      <c r="G151" s="54">
        <v>21</v>
      </c>
      <c r="H151" s="163">
        <v>2736</v>
      </c>
      <c r="I151" s="165">
        <v>230</v>
      </c>
      <c r="J151" s="152">
        <f>(I151/F151)</f>
        <v>57.5</v>
      </c>
      <c r="K151" s="154">
        <f t="shared" si="23"/>
        <v>11.895652173913044</v>
      </c>
      <c r="L151" s="156">
        <f>4033069.5+3582182.5+3469556.5+3099545+3107521.5+2751160+2297667.5+1520298+788693.5+562184.5+348660.5+276467.5+182912.5+83992.5+49671.5+36300+44685+34334+3879.5+3304.5+2736</f>
        <v>26278822</v>
      </c>
      <c r="M151" s="152">
        <f>383242+338340+309119+280170+290777+261753+222617+140396+74659+50484+29496+23353+15006+11893+4985+3385+4321+2421+508+281+230</f>
        <v>2447436</v>
      </c>
      <c r="N151" s="267">
        <f>L151/M151</f>
        <v>10.737286695137279</v>
      </c>
      <c r="O151" s="310"/>
    </row>
    <row r="152" spans="1:15" ht="15">
      <c r="A152" s="39">
        <v>149</v>
      </c>
      <c r="B152" s="265" t="s">
        <v>58</v>
      </c>
      <c r="C152" s="26">
        <v>40165</v>
      </c>
      <c r="D152" s="27" t="s">
        <v>242</v>
      </c>
      <c r="E152" s="55">
        <v>125</v>
      </c>
      <c r="F152" s="55">
        <v>2</v>
      </c>
      <c r="G152" s="55">
        <v>24</v>
      </c>
      <c r="H152" s="159">
        <v>2541</v>
      </c>
      <c r="I152" s="160">
        <v>618</v>
      </c>
      <c r="J152" s="177">
        <f>(I152/F152)</f>
        <v>309</v>
      </c>
      <c r="K152" s="180">
        <f t="shared" si="23"/>
        <v>4.111650485436893</v>
      </c>
      <c r="L152" s="178">
        <f>4033069.5+3582182.5+3469556.5+3099545+3107521.5+2751160+2297667.5+1520298+788693.5+562184.5+348660.5+276467.5+182912.5+83992.5+49671.5+34864+44685+34334+3879.5+2808.5+2736+5711.5+5766+2541</f>
        <v>26290908.5</v>
      </c>
      <c r="M152" s="179">
        <f>383242+338340+309119+280170+290777+261753+222617+140396+74659+50484+29496+23353+15006+11893+4985+3244+4321+2421+508+237+230+636+1071+618</f>
        <v>2449576</v>
      </c>
      <c r="N152" s="266">
        <f>L152/M152</f>
        <v>10.732840499743629</v>
      </c>
      <c r="O152" s="303"/>
    </row>
    <row r="153" spans="1:15" ht="15">
      <c r="A153" s="39">
        <v>150</v>
      </c>
      <c r="B153" s="265" t="s">
        <v>58</v>
      </c>
      <c r="C153" s="31">
        <v>40165</v>
      </c>
      <c r="D153" s="32" t="s">
        <v>242</v>
      </c>
      <c r="E153" s="56">
        <v>125</v>
      </c>
      <c r="F153" s="56">
        <v>3</v>
      </c>
      <c r="G153" s="56">
        <v>25</v>
      </c>
      <c r="H153" s="149">
        <v>1542</v>
      </c>
      <c r="I153" s="151">
        <v>170</v>
      </c>
      <c r="J153" s="152">
        <f>I153/F153</f>
        <v>56.666666666666664</v>
      </c>
      <c r="K153" s="154">
        <f t="shared" si="23"/>
        <v>9.070588235294117</v>
      </c>
      <c r="L153" s="156">
        <f>4033069.5+3582182.5+3469556.5+3099545+3107521.5+2751160+2297667.5+1520298+788693.5+562184.5+348660.5+276467.5+182912.5+83992.5+49671.5+34864+44685+34334+3879.5+2808.5+2736+5711.5+5766+2541+1542</f>
        <v>26292450.5</v>
      </c>
      <c r="M153" s="152">
        <f>383242+338340+309119+280170+290777+261753+222617+140396+74659+50484+29496+23353+15006+11893+4985+3244+4321+2421+508+237+230+636+1071+618+170</f>
        <v>2449746</v>
      </c>
      <c r="N153" s="267">
        <f>+L153/M153</f>
        <v>10.732725147831653</v>
      </c>
      <c r="O153" s="304"/>
    </row>
    <row r="154" spans="1:15" ht="15">
      <c r="A154" s="39">
        <v>151</v>
      </c>
      <c r="B154" s="268" t="s">
        <v>58</v>
      </c>
      <c r="C154" s="31">
        <v>40165</v>
      </c>
      <c r="D154" s="32" t="s">
        <v>261</v>
      </c>
      <c r="E154" s="229">
        <v>125</v>
      </c>
      <c r="F154" s="229">
        <v>3</v>
      </c>
      <c r="G154" s="229">
        <v>26</v>
      </c>
      <c r="H154" s="149">
        <v>835</v>
      </c>
      <c r="I154" s="151">
        <v>166</v>
      </c>
      <c r="J154" s="153">
        <f>(I154/F154)</f>
        <v>55.333333333333336</v>
      </c>
      <c r="K154" s="155">
        <f t="shared" si="23"/>
        <v>5.030120481927711</v>
      </c>
      <c r="L154" s="157">
        <f>4033069.5+3582182.5+3469556.5+3099545+3107521.5+2751160+2297667.5+1520298+788693.5+562184.5+348660.5+276467.5+182912.5+83992.5+49671.5+34864+44685+34334+3879.5+2808.5+2736+5711.5+5766+2541+1542+835</f>
        <v>26293285.5</v>
      </c>
      <c r="M154" s="158">
        <f>383242+338340+309119+280170+290777+261753+222617+140396+74659+50484+29496+23353+15006+11893+4985+3244+4321+2421+508+237+230+636+1071+618+170+166</f>
        <v>2449912</v>
      </c>
      <c r="N154" s="266">
        <f>L154/M154</f>
        <v>10.732338753391959</v>
      </c>
      <c r="O154" s="331"/>
    </row>
    <row r="155" spans="1:15" ht="15">
      <c r="A155" s="39">
        <v>152</v>
      </c>
      <c r="B155" s="265" t="s">
        <v>58</v>
      </c>
      <c r="C155" s="26">
        <v>40165</v>
      </c>
      <c r="D155" s="27" t="s">
        <v>261</v>
      </c>
      <c r="E155" s="55">
        <v>125</v>
      </c>
      <c r="F155" s="55">
        <v>2</v>
      </c>
      <c r="G155" s="55">
        <v>27</v>
      </c>
      <c r="H155" s="159">
        <v>676</v>
      </c>
      <c r="I155" s="160">
        <v>146</v>
      </c>
      <c r="J155" s="177">
        <f>I155/F155</f>
        <v>73</v>
      </c>
      <c r="K155" s="155">
        <f t="shared" si="23"/>
        <v>4.63013698630137</v>
      </c>
      <c r="L155" s="178">
        <f>4033069.5+3582182.5+3469556.5+3099545+3107521.5+2751160+2297667.5+1520298+788693.5+562184.5+348660.5+276467.5+182912.5+83992.5+49671.5+34864+44685+34334+3879.5+2808.5+2736+5711.5+5766+2541+1542+835+676</f>
        <v>26293961.5</v>
      </c>
      <c r="M155" s="179">
        <f>383242+338340+309119+280170+290777+261753+222617+140396+74659+50484+29496+23353+15006+11893+4985+3244+4321+2421+508+237+230+636+1071+618+170+166+146</f>
        <v>2450058</v>
      </c>
      <c r="N155" s="266">
        <f>+L155/M155</f>
        <v>10.731975120588983</v>
      </c>
      <c r="O155" s="302"/>
    </row>
    <row r="156" spans="1:15" ht="15">
      <c r="A156" s="39">
        <v>153</v>
      </c>
      <c r="B156" s="265" t="s">
        <v>307</v>
      </c>
      <c r="C156" s="26">
        <v>40165</v>
      </c>
      <c r="D156" s="27" t="s">
        <v>101</v>
      </c>
      <c r="E156" s="230">
        <v>38</v>
      </c>
      <c r="F156" s="230">
        <v>1</v>
      </c>
      <c r="G156" s="230">
        <v>27</v>
      </c>
      <c r="H156" s="149">
        <v>182</v>
      </c>
      <c r="I156" s="151">
        <v>34</v>
      </c>
      <c r="J156" s="153">
        <f aca="true" t="shared" si="24" ref="J156:J164">IF(H156&lt;&gt;0,I156/F156,"")</f>
        <v>34</v>
      </c>
      <c r="K156" s="155">
        <f aca="true" t="shared" si="25" ref="K156:K164">IF(H156&lt;&gt;0,H156/I156,"")</f>
        <v>5.352941176470588</v>
      </c>
      <c r="L156" s="157">
        <v>1133841</v>
      </c>
      <c r="M156" s="158">
        <v>138560</v>
      </c>
      <c r="N156" s="266">
        <f>IF(L156&lt;&gt;0,L156/M156,"")</f>
        <v>8.183032621247113</v>
      </c>
      <c r="O156" s="313"/>
    </row>
    <row r="157" spans="1:15" ht="15">
      <c r="A157" s="39">
        <v>154</v>
      </c>
      <c r="B157" s="265" t="s">
        <v>395</v>
      </c>
      <c r="C157" s="31">
        <v>40165</v>
      </c>
      <c r="D157" s="27" t="s">
        <v>101</v>
      </c>
      <c r="E157" s="229">
        <v>38</v>
      </c>
      <c r="F157" s="229">
        <v>1</v>
      </c>
      <c r="G157" s="229">
        <v>32</v>
      </c>
      <c r="H157" s="161">
        <v>295</v>
      </c>
      <c r="I157" s="150">
        <v>59</v>
      </c>
      <c r="J157" s="152">
        <f t="shared" si="24"/>
        <v>59</v>
      </c>
      <c r="K157" s="154">
        <f t="shared" si="25"/>
        <v>5</v>
      </c>
      <c r="L157" s="156">
        <f>1135116+H157</f>
        <v>1135411</v>
      </c>
      <c r="M157" s="152">
        <f>138804+I157</f>
        <v>138863</v>
      </c>
      <c r="N157" s="267">
        <f>IF(L157&lt;&gt;0,L157/M157,"")</f>
        <v>8.176483296486465</v>
      </c>
      <c r="O157" s="303"/>
    </row>
    <row r="158" spans="1:15" ht="15">
      <c r="A158" s="39">
        <v>155</v>
      </c>
      <c r="B158" s="265" t="s">
        <v>340</v>
      </c>
      <c r="C158" s="26">
        <v>40165</v>
      </c>
      <c r="D158" s="27" t="s">
        <v>101</v>
      </c>
      <c r="E158" s="230">
        <v>38</v>
      </c>
      <c r="F158" s="230">
        <v>1</v>
      </c>
      <c r="G158" s="230">
        <v>29</v>
      </c>
      <c r="H158" s="149">
        <v>146</v>
      </c>
      <c r="I158" s="151">
        <v>28</v>
      </c>
      <c r="J158" s="153">
        <f t="shared" si="24"/>
        <v>28</v>
      </c>
      <c r="K158" s="155">
        <f t="shared" si="25"/>
        <v>5.214285714285714</v>
      </c>
      <c r="L158" s="157">
        <v>1134291</v>
      </c>
      <c r="M158" s="158">
        <v>138646</v>
      </c>
      <c r="N158" s="266">
        <f>IF(L158&lt;&gt;0,L158/M158,"")</f>
        <v>8.181202486909106</v>
      </c>
      <c r="O158" s="311"/>
    </row>
    <row r="159" spans="1:15" ht="15">
      <c r="A159" s="39">
        <v>156</v>
      </c>
      <c r="B159" s="265" t="s">
        <v>371</v>
      </c>
      <c r="C159" s="31">
        <v>40165</v>
      </c>
      <c r="D159" s="27" t="s">
        <v>101</v>
      </c>
      <c r="E159" s="229">
        <v>38</v>
      </c>
      <c r="F159" s="229">
        <v>1</v>
      </c>
      <c r="G159" s="229">
        <v>33</v>
      </c>
      <c r="H159" s="161">
        <v>255</v>
      </c>
      <c r="I159" s="150">
        <v>51</v>
      </c>
      <c r="J159" s="152">
        <f t="shared" si="24"/>
        <v>51</v>
      </c>
      <c r="K159" s="154">
        <f t="shared" si="25"/>
        <v>5</v>
      </c>
      <c r="L159" s="156">
        <f>1135411+H159</f>
        <v>1135666</v>
      </c>
      <c r="M159" s="152">
        <f>138863+J159</f>
        <v>138914</v>
      </c>
      <c r="N159" s="267">
        <f>+L159/M159</f>
        <v>8.175317102667838</v>
      </c>
      <c r="O159" s="349">
        <v>1</v>
      </c>
    </row>
    <row r="160" spans="1:15" ht="15">
      <c r="A160" s="39">
        <v>157</v>
      </c>
      <c r="B160" s="265" t="s">
        <v>0</v>
      </c>
      <c r="C160" s="31">
        <v>40165</v>
      </c>
      <c r="D160" s="27" t="s">
        <v>101</v>
      </c>
      <c r="E160" s="229">
        <v>38</v>
      </c>
      <c r="F160" s="229">
        <v>1</v>
      </c>
      <c r="G160" s="229">
        <v>31</v>
      </c>
      <c r="H160" s="161">
        <v>185</v>
      </c>
      <c r="I160" s="150">
        <v>37</v>
      </c>
      <c r="J160" s="152">
        <f t="shared" si="24"/>
        <v>37</v>
      </c>
      <c r="K160" s="154">
        <f t="shared" si="25"/>
        <v>5</v>
      </c>
      <c r="L160" s="156">
        <v>1135116</v>
      </c>
      <c r="M160" s="152">
        <f>138767+I160</f>
        <v>138804</v>
      </c>
      <c r="N160" s="267">
        <f>IF(L160&lt;&gt;0,L160/M160,"")</f>
        <v>8.177833491830206</v>
      </c>
      <c r="O160" s="303"/>
    </row>
    <row r="161" spans="1:15" ht="15">
      <c r="A161" s="39">
        <v>158</v>
      </c>
      <c r="B161" s="268" t="s">
        <v>371</v>
      </c>
      <c r="C161" s="31">
        <v>40165</v>
      </c>
      <c r="D161" s="27" t="s">
        <v>101</v>
      </c>
      <c r="E161" s="229">
        <v>38</v>
      </c>
      <c r="F161" s="229">
        <v>3</v>
      </c>
      <c r="G161" s="229">
        <v>30</v>
      </c>
      <c r="H161" s="148">
        <v>640</v>
      </c>
      <c r="I161" s="162">
        <v>121</v>
      </c>
      <c r="J161" s="181">
        <f t="shared" si="24"/>
        <v>40.333333333333336</v>
      </c>
      <c r="K161" s="182">
        <f t="shared" si="25"/>
        <v>5.289256198347108</v>
      </c>
      <c r="L161" s="183">
        <v>1134931</v>
      </c>
      <c r="M161" s="181">
        <v>138767</v>
      </c>
      <c r="N161" s="267">
        <f>IF(L161&lt;&gt;0,L161/M161,"")</f>
        <v>8.1786808102791</v>
      </c>
      <c r="O161" s="311"/>
    </row>
    <row r="162" spans="1:15" ht="15">
      <c r="A162" s="39">
        <v>159</v>
      </c>
      <c r="B162" s="265" t="s">
        <v>65</v>
      </c>
      <c r="C162" s="26">
        <v>40165</v>
      </c>
      <c r="D162" s="28" t="s">
        <v>154</v>
      </c>
      <c r="E162" s="55">
        <v>38</v>
      </c>
      <c r="F162" s="55">
        <v>40</v>
      </c>
      <c r="G162" s="55">
        <v>4</v>
      </c>
      <c r="H162" s="166">
        <v>118129</v>
      </c>
      <c r="I162" s="168">
        <v>14601</v>
      </c>
      <c r="J162" s="187">
        <f t="shared" si="24"/>
        <v>365.025</v>
      </c>
      <c r="K162" s="188">
        <f t="shared" si="25"/>
        <v>8.090473255256489</v>
      </c>
      <c r="L162" s="186">
        <v>736893.5</v>
      </c>
      <c r="M162" s="181">
        <v>81207</v>
      </c>
      <c r="N162" s="272">
        <f>IF(L163&lt;&gt;0,L163/M163,"")</f>
        <v>8.780278434192951</v>
      </c>
      <c r="O162" s="308"/>
    </row>
    <row r="163" spans="1:15" ht="15">
      <c r="A163" s="39">
        <v>160</v>
      </c>
      <c r="B163" s="265" t="s">
        <v>0</v>
      </c>
      <c r="C163" s="26">
        <v>40165</v>
      </c>
      <c r="D163" s="28" t="s">
        <v>154</v>
      </c>
      <c r="E163" s="55">
        <v>38</v>
      </c>
      <c r="F163" s="55">
        <v>39</v>
      </c>
      <c r="G163" s="55">
        <v>5</v>
      </c>
      <c r="H163" s="166">
        <v>117691</v>
      </c>
      <c r="I163" s="167">
        <v>16123</v>
      </c>
      <c r="J163" s="184">
        <f t="shared" si="24"/>
        <v>413.4102564102564</v>
      </c>
      <c r="K163" s="185">
        <f t="shared" si="25"/>
        <v>7.299572039942938</v>
      </c>
      <c r="L163" s="186">
        <v>854584.5</v>
      </c>
      <c r="M163" s="152">
        <v>97330</v>
      </c>
      <c r="N163" s="272">
        <f>IF(L164&lt;&gt;0,L164/M164,"")</f>
        <v>9.289921328408852</v>
      </c>
      <c r="O163" s="309"/>
    </row>
    <row r="164" spans="1:15" ht="15">
      <c r="A164" s="39">
        <v>161</v>
      </c>
      <c r="B164" s="265" t="s">
        <v>0</v>
      </c>
      <c r="C164" s="26">
        <v>40165</v>
      </c>
      <c r="D164" s="30" t="s">
        <v>154</v>
      </c>
      <c r="E164" s="55">
        <v>38</v>
      </c>
      <c r="F164" s="55">
        <v>29</v>
      </c>
      <c r="G164" s="55">
        <v>3</v>
      </c>
      <c r="H164" s="166">
        <v>96495.25</v>
      </c>
      <c r="I164" s="168">
        <v>11131</v>
      </c>
      <c r="J164" s="187">
        <f t="shared" si="24"/>
        <v>383.82758620689657</v>
      </c>
      <c r="K164" s="185">
        <f t="shared" si="25"/>
        <v>8.669054891743778</v>
      </c>
      <c r="L164" s="186">
        <v>618764.5</v>
      </c>
      <c r="M164" s="181">
        <v>66606</v>
      </c>
      <c r="N164" s="267">
        <f>L165/M165</f>
        <v>8.562424341286263</v>
      </c>
      <c r="O164" s="303"/>
    </row>
    <row r="165" spans="1:15" ht="15">
      <c r="A165" s="39">
        <v>162</v>
      </c>
      <c r="B165" s="268" t="s">
        <v>65</v>
      </c>
      <c r="C165" s="31">
        <v>40165</v>
      </c>
      <c r="D165" s="28" t="s">
        <v>154</v>
      </c>
      <c r="E165" s="56">
        <v>38</v>
      </c>
      <c r="F165" s="56">
        <v>39</v>
      </c>
      <c r="G165" s="56">
        <v>7</v>
      </c>
      <c r="H165" s="161">
        <v>75701.5</v>
      </c>
      <c r="I165" s="150">
        <v>9938</v>
      </c>
      <c r="J165" s="152">
        <f>I165/F165</f>
        <v>254.82051282051282</v>
      </c>
      <c r="K165" s="154">
        <f>H165/I165</f>
        <v>7.617377742000403</v>
      </c>
      <c r="L165" s="156">
        <v>997325.5</v>
      </c>
      <c r="M165" s="152">
        <v>116477</v>
      </c>
      <c r="N165" s="266">
        <f>IF(L166&lt;&gt;0,L166/M166,"")</f>
        <v>8.650578661335286</v>
      </c>
      <c r="O165" s="304">
        <v>1</v>
      </c>
    </row>
    <row r="166" spans="1:15" ht="15">
      <c r="A166" s="39">
        <v>163</v>
      </c>
      <c r="B166" s="268" t="s">
        <v>65</v>
      </c>
      <c r="C166" s="31">
        <v>40165</v>
      </c>
      <c r="D166" s="33" t="s">
        <v>154</v>
      </c>
      <c r="E166" s="56">
        <v>38</v>
      </c>
      <c r="F166" s="56">
        <v>40</v>
      </c>
      <c r="G166" s="56">
        <v>6</v>
      </c>
      <c r="H166" s="149">
        <v>67039.5</v>
      </c>
      <c r="I166" s="151">
        <v>9209</v>
      </c>
      <c r="J166" s="153">
        <f>IF(H166&lt;&gt;0,I166/F166,"")</f>
        <v>230.225</v>
      </c>
      <c r="K166" s="155">
        <f>IF(H166&lt;&gt;0,H166/I166,"")</f>
        <v>7.279780649364752</v>
      </c>
      <c r="L166" s="157">
        <v>921624</v>
      </c>
      <c r="M166" s="158">
        <v>106539</v>
      </c>
      <c r="N166" s="267">
        <f>IF(L167&lt;&gt;0,L167/M167,"")</f>
        <v>8.473079284052726</v>
      </c>
      <c r="O166" s="331">
        <v>1</v>
      </c>
    </row>
    <row r="167" spans="1:15" ht="15">
      <c r="A167" s="39">
        <v>164</v>
      </c>
      <c r="B167" s="268" t="s">
        <v>0</v>
      </c>
      <c r="C167" s="31">
        <v>40165</v>
      </c>
      <c r="D167" s="28" t="s">
        <v>154</v>
      </c>
      <c r="E167" s="56">
        <v>38</v>
      </c>
      <c r="F167" s="56">
        <v>39</v>
      </c>
      <c r="G167" s="56">
        <v>8</v>
      </c>
      <c r="H167" s="161">
        <v>51709.5</v>
      </c>
      <c r="I167" s="150">
        <v>7331</v>
      </c>
      <c r="J167" s="152">
        <f>I167/F167</f>
        <v>187.97435897435898</v>
      </c>
      <c r="K167" s="154">
        <f>+H167/I167</f>
        <v>7.053539762651753</v>
      </c>
      <c r="L167" s="156">
        <v>1049035</v>
      </c>
      <c r="M167" s="152">
        <v>123808</v>
      </c>
      <c r="N167" s="267">
        <f>IF(L168&lt;&gt;0,L168/M168,"")</f>
        <v>8.390757320083747</v>
      </c>
      <c r="O167" s="349">
        <v>1</v>
      </c>
    </row>
    <row r="168" spans="1:15" ht="15">
      <c r="A168" s="39">
        <v>165</v>
      </c>
      <c r="B168" s="268" t="s">
        <v>0</v>
      </c>
      <c r="C168" s="31">
        <v>40165</v>
      </c>
      <c r="D168" s="28" t="s">
        <v>154</v>
      </c>
      <c r="E168" s="56">
        <v>38</v>
      </c>
      <c r="F168" s="56">
        <v>17</v>
      </c>
      <c r="G168" s="56">
        <v>9</v>
      </c>
      <c r="H168" s="148">
        <v>25015.5</v>
      </c>
      <c r="I168" s="162">
        <v>4196</v>
      </c>
      <c r="J168" s="181">
        <f>IF(H168&lt;&gt;0,I168/F168,"")</f>
        <v>246.8235294117647</v>
      </c>
      <c r="K168" s="182">
        <f>IF(H168&lt;&gt;0,H168/I168,"")</f>
        <v>5.961749285033365</v>
      </c>
      <c r="L168" s="183">
        <v>1074050.5</v>
      </c>
      <c r="M168" s="181">
        <v>128004</v>
      </c>
      <c r="N168" s="267">
        <f>+L169/M169</f>
        <v>8.353917733704122</v>
      </c>
      <c r="O168" s="349">
        <v>1</v>
      </c>
    </row>
    <row r="169" spans="1:15" ht="15">
      <c r="A169" s="39">
        <v>166</v>
      </c>
      <c r="B169" s="268" t="s">
        <v>0</v>
      </c>
      <c r="C169" s="31">
        <v>40165</v>
      </c>
      <c r="D169" s="28" t="s">
        <v>154</v>
      </c>
      <c r="E169" s="56">
        <v>38</v>
      </c>
      <c r="F169" s="56">
        <v>14</v>
      </c>
      <c r="G169" s="56">
        <v>10</v>
      </c>
      <c r="H169" s="148">
        <v>19410.5</v>
      </c>
      <c r="I169" s="162">
        <v>2888</v>
      </c>
      <c r="J169" s="181">
        <f>I169/F169</f>
        <v>206.28571428571428</v>
      </c>
      <c r="K169" s="182">
        <f>H169/I169</f>
        <v>6.721087257617729</v>
      </c>
      <c r="L169" s="183">
        <v>1093461</v>
      </c>
      <c r="M169" s="181">
        <v>130892</v>
      </c>
      <c r="N169" s="267">
        <f>+L170/M170</f>
        <v>8.217427508197929</v>
      </c>
      <c r="O169" s="303"/>
    </row>
    <row r="170" spans="1:15" ht="15">
      <c r="A170" s="39">
        <v>167</v>
      </c>
      <c r="B170" s="268" t="s">
        <v>0</v>
      </c>
      <c r="C170" s="46">
        <v>40165</v>
      </c>
      <c r="D170" s="47" t="s">
        <v>154</v>
      </c>
      <c r="E170" s="54">
        <v>38</v>
      </c>
      <c r="F170" s="54">
        <v>8</v>
      </c>
      <c r="G170" s="54">
        <v>12</v>
      </c>
      <c r="H170" s="163">
        <v>12339</v>
      </c>
      <c r="I170" s="164">
        <v>2784</v>
      </c>
      <c r="J170" s="181">
        <f>IF(H170&lt;&gt;0,I170/F170,"")</f>
        <v>348</v>
      </c>
      <c r="K170" s="182">
        <f>H170/I170</f>
        <v>4.432112068965517</v>
      </c>
      <c r="L170" s="183">
        <v>1115146</v>
      </c>
      <c r="M170" s="181">
        <v>135705</v>
      </c>
      <c r="N170" s="267">
        <f>+L171/M171</f>
        <v>8.29671007590975</v>
      </c>
      <c r="O170" s="312"/>
    </row>
    <row r="171" spans="1:15" ht="15">
      <c r="A171" s="39">
        <v>168</v>
      </c>
      <c r="B171" s="268" t="s">
        <v>0</v>
      </c>
      <c r="C171" s="46">
        <v>40165</v>
      </c>
      <c r="D171" s="28" t="s">
        <v>154</v>
      </c>
      <c r="E171" s="54">
        <v>38</v>
      </c>
      <c r="F171" s="54">
        <v>7</v>
      </c>
      <c r="G171" s="54">
        <v>11</v>
      </c>
      <c r="H171" s="163">
        <v>9346</v>
      </c>
      <c r="I171" s="164">
        <v>2029</v>
      </c>
      <c r="J171" s="181">
        <f>I171/F171</f>
        <v>289.85714285714283</v>
      </c>
      <c r="K171" s="182">
        <f>H171/I171</f>
        <v>4.606209955643174</v>
      </c>
      <c r="L171" s="183">
        <v>1102807</v>
      </c>
      <c r="M171" s="181">
        <v>132921</v>
      </c>
      <c r="N171" s="267">
        <f>+L172/M172</f>
        <v>8.208025836998933</v>
      </c>
      <c r="O171" s="303"/>
    </row>
    <row r="172" spans="1:15" ht="15">
      <c r="A172" s="39">
        <v>169</v>
      </c>
      <c r="B172" s="265" t="s">
        <v>0</v>
      </c>
      <c r="C172" s="26">
        <v>40165</v>
      </c>
      <c r="D172" s="29" t="s">
        <v>154</v>
      </c>
      <c r="E172" s="55">
        <v>38</v>
      </c>
      <c r="F172" s="55">
        <v>3</v>
      </c>
      <c r="G172" s="55">
        <v>15</v>
      </c>
      <c r="H172" s="159">
        <v>7930</v>
      </c>
      <c r="I172" s="151">
        <v>1093</v>
      </c>
      <c r="J172" s="153">
        <f>IF(H172&lt;&gt;0,I172/F172,"")</f>
        <v>364.3333333333333</v>
      </c>
      <c r="K172" s="155">
        <f>IF(H172&lt;&gt;0,H172/I172,"")</f>
        <v>7.255260750228728</v>
      </c>
      <c r="L172" s="178">
        <v>1123334</v>
      </c>
      <c r="M172" s="158">
        <v>136858</v>
      </c>
      <c r="N172" s="267">
        <f>+L173/M173</f>
        <v>8.195389960325807</v>
      </c>
      <c r="O172" s="308"/>
    </row>
    <row r="173" spans="1:15" ht="15">
      <c r="A173" s="39">
        <v>170</v>
      </c>
      <c r="B173" s="265" t="s">
        <v>65</v>
      </c>
      <c r="C173" s="31">
        <v>40165</v>
      </c>
      <c r="D173" s="32" t="s">
        <v>154</v>
      </c>
      <c r="E173" s="56">
        <v>38</v>
      </c>
      <c r="F173" s="56">
        <v>2</v>
      </c>
      <c r="G173" s="56">
        <v>20</v>
      </c>
      <c r="H173" s="148">
        <v>1398</v>
      </c>
      <c r="I173" s="150">
        <v>223</v>
      </c>
      <c r="J173" s="152">
        <f>I173/F173</f>
        <v>111.5</v>
      </c>
      <c r="K173" s="154">
        <f>H173/I173</f>
        <v>6.2690582959641254</v>
      </c>
      <c r="L173" s="156">
        <v>1129923</v>
      </c>
      <c r="M173" s="152">
        <v>137873</v>
      </c>
      <c r="N173" s="267">
        <f>+L173/M173</f>
        <v>8.195389960325807</v>
      </c>
      <c r="O173" s="307"/>
    </row>
    <row r="174" spans="1:15" ht="15">
      <c r="A174" s="39">
        <v>171</v>
      </c>
      <c r="B174" s="275" t="s">
        <v>65</v>
      </c>
      <c r="C174" s="31">
        <v>40165</v>
      </c>
      <c r="D174" s="47" t="s">
        <v>154</v>
      </c>
      <c r="E174" s="56">
        <v>38</v>
      </c>
      <c r="F174" s="56">
        <v>1</v>
      </c>
      <c r="G174" s="54">
        <v>16</v>
      </c>
      <c r="H174" s="163">
        <v>1366</v>
      </c>
      <c r="I174" s="164">
        <v>217</v>
      </c>
      <c r="J174" s="181">
        <f>I174/F174</f>
        <v>217</v>
      </c>
      <c r="K174" s="182">
        <f>H174/I174</f>
        <v>6.2949308755760365</v>
      </c>
      <c r="L174" s="183">
        <v>1124700</v>
      </c>
      <c r="M174" s="181">
        <v>137075</v>
      </c>
      <c r="N174" s="270">
        <f>+L174/M174</f>
        <v>8.204997264271384</v>
      </c>
      <c r="O174" s="303"/>
    </row>
    <row r="175" spans="1:15" ht="15">
      <c r="A175" s="39">
        <v>172</v>
      </c>
      <c r="B175" s="265" t="s">
        <v>65</v>
      </c>
      <c r="C175" s="31">
        <v>40165</v>
      </c>
      <c r="D175" s="47" t="s">
        <v>154</v>
      </c>
      <c r="E175" s="54">
        <v>38</v>
      </c>
      <c r="F175" s="54">
        <v>2</v>
      </c>
      <c r="G175" s="54">
        <v>18</v>
      </c>
      <c r="H175" s="163">
        <v>1330</v>
      </c>
      <c r="I175" s="164">
        <v>186</v>
      </c>
      <c r="J175" s="181">
        <f>IF(H175&lt;&gt;0,I175/F175,"")</f>
        <v>93</v>
      </c>
      <c r="K175" s="182">
        <f>IF(H175&lt;&gt;0,H175/I175,"")</f>
        <v>7.150537634408602</v>
      </c>
      <c r="L175" s="183">
        <v>1127286</v>
      </c>
      <c r="M175" s="181">
        <v>137459</v>
      </c>
      <c r="N175" s="270">
        <f>IF(L175&lt;&gt;0,L175/M175,"")</f>
        <v>8.200888992354084</v>
      </c>
      <c r="O175" s="301">
        <v>1</v>
      </c>
    </row>
    <row r="176" spans="1:15" ht="15">
      <c r="A176" s="39">
        <v>173</v>
      </c>
      <c r="B176" s="275" t="s">
        <v>65</v>
      </c>
      <c r="C176" s="31">
        <v>40165</v>
      </c>
      <c r="D176" s="47" t="s">
        <v>154</v>
      </c>
      <c r="E176" s="54">
        <v>38</v>
      </c>
      <c r="F176" s="54">
        <v>1</v>
      </c>
      <c r="G176" s="54">
        <v>17</v>
      </c>
      <c r="H176" s="163">
        <v>1256</v>
      </c>
      <c r="I176" s="164">
        <v>198</v>
      </c>
      <c r="J176" s="181">
        <f>I176/F176</f>
        <v>198</v>
      </c>
      <c r="K176" s="182">
        <f>H176/I176</f>
        <v>6.343434343434343</v>
      </c>
      <c r="L176" s="183">
        <v>1125956</v>
      </c>
      <c r="M176" s="181">
        <v>137273</v>
      </c>
      <c r="N176" s="270">
        <f>+L176/M176</f>
        <v>8.202312180836726</v>
      </c>
      <c r="O176" s="305">
        <v>1</v>
      </c>
    </row>
    <row r="177" spans="1:15" ht="15">
      <c r="A177" s="39">
        <v>174</v>
      </c>
      <c r="B177" s="265" t="s">
        <v>65</v>
      </c>
      <c r="C177" s="31">
        <v>40165</v>
      </c>
      <c r="D177" s="47" t="s">
        <v>154</v>
      </c>
      <c r="E177" s="54">
        <v>38</v>
      </c>
      <c r="F177" s="54">
        <v>3</v>
      </c>
      <c r="G177" s="54">
        <v>19</v>
      </c>
      <c r="H177" s="163">
        <v>1239</v>
      </c>
      <c r="I177" s="165">
        <v>191</v>
      </c>
      <c r="J177" s="152">
        <f>IF(H177&lt;&gt;0,I177/F177,"")</f>
        <v>63.666666666666664</v>
      </c>
      <c r="K177" s="154">
        <f>IF(H177&lt;&gt;0,H177/I177,"")</f>
        <v>6.486910994764398</v>
      </c>
      <c r="L177" s="156">
        <v>1128525</v>
      </c>
      <c r="M177" s="152">
        <v>137650</v>
      </c>
      <c r="N177" s="267">
        <f>IF(L177&lt;&gt;0,L177/M177,"")</f>
        <v>8.198510715583</v>
      </c>
      <c r="O177" s="303">
        <v>1</v>
      </c>
    </row>
    <row r="178" spans="1:15" ht="15">
      <c r="A178" s="39">
        <v>175</v>
      </c>
      <c r="B178" s="265" t="s">
        <v>65</v>
      </c>
      <c r="C178" s="31">
        <v>40165</v>
      </c>
      <c r="D178" s="32" t="s">
        <v>154</v>
      </c>
      <c r="E178" s="56">
        <v>38</v>
      </c>
      <c r="F178" s="56">
        <v>2</v>
      </c>
      <c r="G178" s="56">
        <v>21</v>
      </c>
      <c r="H178" s="149">
        <v>914</v>
      </c>
      <c r="I178" s="151">
        <v>173</v>
      </c>
      <c r="J178" s="152">
        <f>IF(H178&lt;&gt;0,I178/F178,"")</f>
        <v>86.5</v>
      </c>
      <c r="K178" s="154">
        <f>IF(H178&lt;&gt;0,H178/I178,"")</f>
        <v>5.283236994219653</v>
      </c>
      <c r="L178" s="156">
        <f>1129923+914</f>
        <v>1130837</v>
      </c>
      <c r="M178" s="152">
        <f>137873+173</f>
        <v>138046</v>
      </c>
      <c r="N178" s="267">
        <f>IF(L178&lt;&gt;0,L178/M178,"")</f>
        <v>8.19174043434797</v>
      </c>
      <c r="O178" s="303">
        <v>1</v>
      </c>
    </row>
    <row r="179" spans="1:15" ht="15">
      <c r="A179" s="39">
        <v>176</v>
      </c>
      <c r="B179" s="265" t="s">
        <v>65</v>
      </c>
      <c r="C179" s="31">
        <v>40165</v>
      </c>
      <c r="D179" s="32" t="s">
        <v>154</v>
      </c>
      <c r="E179" s="56">
        <v>38</v>
      </c>
      <c r="F179" s="56">
        <v>2</v>
      </c>
      <c r="G179" s="56">
        <v>22</v>
      </c>
      <c r="H179" s="149">
        <v>892</v>
      </c>
      <c r="I179" s="151">
        <v>138</v>
      </c>
      <c r="J179" s="152">
        <f>I179/F179</f>
        <v>69</v>
      </c>
      <c r="K179" s="154">
        <f>H179/I179</f>
        <v>6.463768115942029</v>
      </c>
      <c r="L179" s="156">
        <v>1131729</v>
      </c>
      <c r="M179" s="152">
        <v>138184</v>
      </c>
      <c r="N179" s="267">
        <f>+L179/M179</f>
        <v>8.190014762924797</v>
      </c>
      <c r="O179" s="301">
        <v>1</v>
      </c>
    </row>
    <row r="180" spans="1:15" ht="15">
      <c r="A180" s="39">
        <v>177</v>
      </c>
      <c r="B180" s="275" t="s">
        <v>65</v>
      </c>
      <c r="C180" s="26">
        <v>40165</v>
      </c>
      <c r="D180" s="28" t="s">
        <v>101</v>
      </c>
      <c r="E180" s="230">
        <v>38</v>
      </c>
      <c r="F180" s="230">
        <v>81</v>
      </c>
      <c r="G180" s="230">
        <v>25</v>
      </c>
      <c r="H180" s="166">
        <v>677</v>
      </c>
      <c r="I180" s="168">
        <v>118</v>
      </c>
      <c r="J180" s="187">
        <f>IF(H180&lt;&gt;0,I180/F180,"")</f>
        <v>1.4567901234567902</v>
      </c>
      <c r="K180" s="185">
        <f>IF(H180&lt;&gt;0,H180/I180,"")</f>
        <v>5.737288135593221</v>
      </c>
      <c r="L180" s="186">
        <v>1133475</v>
      </c>
      <c r="M180" s="181">
        <v>138497</v>
      </c>
      <c r="N180" s="272">
        <f>IF(L180&lt;&gt;0,L180/M180,"")</f>
        <v>8.184112291240966</v>
      </c>
      <c r="O180" s="302">
        <v>1</v>
      </c>
    </row>
    <row r="181" spans="1:15" ht="15">
      <c r="A181" s="39">
        <v>178</v>
      </c>
      <c r="B181" s="265" t="s">
        <v>272</v>
      </c>
      <c r="C181" s="26">
        <v>40165</v>
      </c>
      <c r="D181" s="27" t="s">
        <v>101</v>
      </c>
      <c r="E181" s="55">
        <v>38</v>
      </c>
      <c r="F181" s="55">
        <v>3</v>
      </c>
      <c r="G181" s="55">
        <v>24</v>
      </c>
      <c r="H181" s="159">
        <v>638</v>
      </c>
      <c r="I181" s="160">
        <v>116</v>
      </c>
      <c r="J181" s="177">
        <f>I181/F181</f>
        <v>38.666666666666664</v>
      </c>
      <c r="K181" s="155">
        <f>H181/I181</f>
        <v>5.5</v>
      </c>
      <c r="L181" s="178">
        <v>1132798</v>
      </c>
      <c r="M181" s="179">
        <v>138379</v>
      </c>
      <c r="N181" s="266">
        <f>+L181/M181</f>
        <v>8.1861987729352</v>
      </c>
      <c r="O181" s="303">
        <v>1</v>
      </c>
    </row>
    <row r="182" spans="1:15" ht="15">
      <c r="A182" s="39">
        <v>179</v>
      </c>
      <c r="B182" s="265" t="s">
        <v>273</v>
      </c>
      <c r="C182" s="26">
        <v>40165</v>
      </c>
      <c r="D182" s="28" t="s">
        <v>101</v>
      </c>
      <c r="E182" s="230">
        <v>38</v>
      </c>
      <c r="F182" s="230">
        <v>2</v>
      </c>
      <c r="G182" s="230">
        <v>23</v>
      </c>
      <c r="H182" s="231">
        <v>431</v>
      </c>
      <c r="I182" s="167">
        <v>79</v>
      </c>
      <c r="J182" s="184">
        <f>IF(H182&lt;&gt;0,I182/F182,"")</f>
        <v>39.5</v>
      </c>
      <c r="K182" s="185">
        <f>IF(H182&lt;&gt;0,H182/I182,"")</f>
        <v>5.455696202531645</v>
      </c>
      <c r="L182" s="232">
        <v>1132160</v>
      </c>
      <c r="M182" s="152">
        <v>138263</v>
      </c>
      <c r="N182" s="272">
        <f>IF(L182&lt;&gt;0,L182/M182,"")</f>
        <v>8.188452442085012</v>
      </c>
      <c r="O182" s="310">
        <v>1</v>
      </c>
    </row>
    <row r="183" spans="1:15" ht="15">
      <c r="A183" s="39">
        <v>180</v>
      </c>
      <c r="B183" s="265" t="s">
        <v>315</v>
      </c>
      <c r="C183" s="26">
        <v>40165</v>
      </c>
      <c r="D183" s="27" t="s">
        <v>101</v>
      </c>
      <c r="E183" s="55">
        <v>38</v>
      </c>
      <c r="F183" s="55">
        <v>1</v>
      </c>
      <c r="G183" s="55">
        <v>28</v>
      </c>
      <c r="H183" s="159">
        <v>304</v>
      </c>
      <c r="I183" s="160">
        <v>58</v>
      </c>
      <c r="J183" s="177">
        <f>IF(H183&lt;&gt;0,I183/F183,"")</f>
        <v>58</v>
      </c>
      <c r="K183" s="155">
        <f>IF(H183&lt;&gt;0,H183/I183,"")</f>
        <v>5.241379310344827</v>
      </c>
      <c r="L183" s="178">
        <v>1134145</v>
      </c>
      <c r="M183" s="179">
        <v>138618</v>
      </c>
      <c r="N183" s="266">
        <f>IF(L183&lt;&gt;0,L183/M183,"")</f>
        <v>8.181801786203811</v>
      </c>
      <c r="O183" s="302">
        <v>1</v>
      </c>
    </row>
    <row r="184" spans="1:15" ht="15">
      <c r="A184" s="39">
        <v>181</v>
      </c>
      <c r="B184" s="275" t="s">
        <v>0</v>
      </c>
      <c r="C184" s="46">
        <v>40165</v>
      </c>
      <c r="D184" s="28" t="s">
        <v>154</v>
      </c>
      <c r="E184" s="54">
        <v>38</v>
      </c>
      <c r="F184" s="54">
        <v>2</v>
      </c>
      <c r="G184" s="54">
        <v>14</v>
      </c>
      <c r="H184" s="163">
        <v>158</v>
      </c>
      <c r="I184" s="164">
        <v>37</v>
      </c>
      <c r="J184" s="181">
        <f>I184/F184</f>
        <v>18.5</v>
      </c>
      <c r="K184" s="182">
        <f>H184/I184</f>
        <v>4.27027027027027</v>
      </c>
      <c r="L184" s="183">
        <f>1115246+158</f>
        <v>1115404</v>
      </c>
      <c r="M184" s="181">
        <f>135728+37</f>
        <v>135765</v>
      </c>
      <c r="N184" s="266">
        <f>IF(L185&lt;&gt;0,L185/M185,"")</f>
        <v>8.216771778851822</v>
      </c>
      <c r="O184" s="305">
        <v>1</v>
      </c>
    </row>
    <row r="185" spans="1:15" ht="15">
      <c r="A185" s="39">
        <v>182</v>
      </c>
      <c r="B185" s="275" t="s">
        <v>0</v>
      </c>
      <c r="C185" s="46">
        <v>40165</v>
      </c>
      <c r="D185" s="47" t="s">
        <v>154</v>
      </c>
      <c r="E185" s="54">
        <v>38</v>
      </c>
      <c r="F185" s="54">
        <v>1</v>
      </c>
      <c r="G185" s="54">
        <v>13</v>
      </c>
      <c r="H185" s="163">
        <v>100</v>
      </c>
      <c r="I185" s="164">
        <v>23</v>
      </c>
      <c r="J185" s="181">
        <f>I185/F185</f>
        <v>23</v>
      </c>
      <c r="K185" s="182">
        <f>H185/I185</f>
        <v>4.3478260869565215</v>
      </c>
      <c r="L185" s="183">
        <v>1115246</v>
      </c>
      <c r="M185" s="181">
        <v>135728</v>
      </c>
      <c r="N185" s="267">
        <f>+L186/M186</f>
        <v>9.157536880021045</v>
      </c>
      <c r="O185" s="301">
        <v>1</v>
      </c>
    </row>
    <row r="186" spans="1:15" ht="15">
      <c r="A186" s="39">
        <v>183</v>
      </c>
      <c r="B186" s="268" t="s">
        <v>25</v>
      </c>
      <c r="C186" s="31">
        <v>39850</v>
      </c>
      <c r="D186" s="35" t="s">
        <v>240</v>
      </c>
      <c r="E186" s="56">
        <v>78</v>
      </c>
      <c r="F186" s="56">
        <v>1</v>
      </c>
      <c r="G186" s="56">
        <v>48</v>
      </c>
      <c r="H186" s="148">
        <v>609</v>
      </c>
      <c r="I186" s="162">
        <v>280</v>
      </c>
      <c r="J186" s="181">
        <f>I186/F186</f>
        <v>280</v>
      </c>
      <c r="K186" s="182">
        <f>+H186/I186</f>
        <v>2.175</v>
      </c>
      <c r="L186" s="183">
        <v>905076</v>
      </c>
      <c r="M186" s="181">
        <v>98834</v>
      </c>
      <c r="N186" s="266">
        <f>IF(L187&lt;&gt;0,L187/M187,"")</f>
        <v>7.210571439817754</v>
      </c>
      <c r="O186" s="309">
        <v>1</v>
      </c>
    </row>
    <row r="187" spans="1:15" ht="15">
      <c r="A187" s="39">
        <v>184</v>
      </c>
      <c r="B187" s="265" t="s">
        <v>347</v>
      </c>
      <c r="C187" s="31">
        <v>39402</v>
      </c>
      <c r="D187" s="27" t="s">
        <v>101</v>
      </c>
      <c r="E187" s="229">
        <v>165</v>
      </c>
      <c r="F187" s="229">
        <v>1</v>
      </c>
      <c r="G187" s="229">
        <v>51</v>
      </c>
      <c r="H187" s="161">
        <v>2376</v>
      </c>
      <c r="I187" s="150">
        <v>475</v>
      </c>
      <c r="J187" s="152">
        <f>IF(H187&lt;&gt;0,I187/F187,"")</f>
        <v>475</v>
      </c>
      <c r="K187" s="154">
        <f>IF(H187&lt;&gt;0,H187/I187,"")</f>
        <v>5.002105263157895</v>
      </c>
      <c r="L187" s="156">
        <v>14654837.5</v>
      </c>
      <c r="M187" s="152">
        <v>2032410</v>
      </c>
      <c r="N187" s="267">
        <f>IF(L187&lt;&gt;0,L187/M187,"")</f>
        <v>7.210571439817754</v>
      </c>
      <c r="O187" s="305">
        <v>1</v>
      </c>
    </row>
    <row r="188" spans="1:15" ht="15">
      <c r="A188" s="39">
        <v>185</v>
      </c>
      <c r="B188" s="265" t="s">
        <v>204</v>
      </c>
      <c r="C188" s="31">
        <v>40053</v>
      </c>
      <c r="D188" s="35" t="s">
        <v>240</v>
      </c>
      <c r="E188" s="54">
        <v>82</v>
      </c>
      <c r="F188" s="54">
        <v>1</v>
      </c>
      <c r="G188" s="54">
        <v>34</v>
      </c>
      <c r="H188" s="163">
        <v>630</v>
      </c>
      <c r="I188" s="164">
        <v>210</v>
      </c>
      <c r="J188" s="181">
        <f>I188/F188</f>
        <v>210</v>
      </c>
      <c r="K188" s="182">
        <f>H188/I188</f>
        <v>3</v>
      </c>
      <c r="L188" s="183">
        <v>519086</v>
      </c>
      <c r="M188" s="181">
        <v>63156</v>
      </c>
      <c r="N188" s="270">
        <f>+L188/M188</f>
        <v>8.219108239913863</v>
      </c>
      <c r="O188" s="303">
        <v>1</v>
      </c>
    </row>
    <row r="189" spans="1:15" ht="15">
      <c r="A189" s="39">
        <v>186</v>
      </c>
      <c r="B189" s="265" t="s">
        <v>204</v>
      </c>
      <c r="C189" s="26">
        <v>40053</v>
      </c>
      <c r="D189" s="35" t="s">
        <v>240</v>
      </c>
      <c r="E189" s="55">
        <v>82</v>
      </c>
      <c r="F189" s="55">
        <v>1</v>
      </c>
      <c r="G189" s="55">
        <v>32</v>
      </c>
      <c r="H189" s="159">
        <v>609</v>
      </c>
      <c r="I189" s="160">
        <v>280</v>
      </c>
      <c r="J189" s="177">
        <f>I189/F189</f>
        <v>280</v>
      </c>
      <c r="K189" s="180">
        <f>+H189/I189</f>
        <v>2.175</v>
      </c>
      <c r="L189" s="178">
        <v>518456</v>
      </c>
      <c r="M189" s="179">
        <v>62946</v>
      </c>
      <c r="N189" s="267">
        <f>+L190/M190</f>
        <v>9.45266514098822</v>
      </c>
      <c r="O189" s="305">
        <v>1</v>
      </c>
    </row>
    <row r="190" spans="1:15" ht="15">
      <c r="A190" s="39">
        <v>187</v>
      </c>
      <c r="B190" s="268" t="s">
        <v>117</v>
      </c>
      <c r="C190" s="31">
        <v>39808</v>
      </c>
      <c r="D190" s="35" t="s">
        <v>240</v>
      </c>
      <c r="E190" s="56">
        <v>112</v>
      </c>
      <c r="F190" s="56">
        <v>1</v>
      </c>
      <c r="G190" s="56">
        <v>58</v>
      </c>
      <c r="H190" s="161">
        <v>608</v>
      </c>
      <c r="I190" s="150">
        <v>280</v>
      </c>
      <c r="J190" s="152">
        <f>I190/F190</f>
        <v>280</v>
      </c>
      <c r="K190" s="154">
        <f>+H190/I190</f>
        <v>2.1714285714285713</v>
      </c>
      <c r="L190" s="156">
        <v>2069368</v>
      </c>
      <c r="M190" s="152">
        <v>218919</v>
      </c>
      <c r="N190" s="266">
        <f>L191/M191</f>
        <v>9.448968039114536</v>
      </c>
      <c r="O190" s="331">
        <v>1</v>
      </c>
    </row>
    <row r="191" spans="1:15" ht="15">
      <c r="A191" s="39">
        <v>188</v>
      </c>
      <c r="B191" s="265" t="s">
        <v>117</v>
      </c>
      <c r="C191" s="31">
        <v>39808</v>
      </c>
      <c r="D191" s="35" t="s">
        <v>240</v>
      </c>
      <c r="E191" s="56">
        <v>112</v>
      </c>
      <c r="F191" s="56">
        <v>1</v>
      </c>
      <c r="G191" s="56">
        <v>74</v>
      </c>
      <c r="H191" s="149">
        <v>608</v>
      </c>
      <c r="I191" s="151">
        <v>280</v>
      </c>
      <c r="J191" s="152">
        <f>I191/F191</f>
        <v>280</v>
      </c>
      <c r="K191" s="154">
        <f>+H191/I191</f>
        <v>2.1714285714285713</v>
      </c>
      <c r="L191" s="156">
        <v>2069787</v>
      </c>
      <c r="M191" s="152">
        <v>219049</v>
      </c>
      <c r="N191" s="267">
        <f>+L191/M191</f>
        <v>9.448968039114536</v>
      </c>
      <c r="O191" s="312">
        <v>1</v>
      </c>
    </row>
    <row r="192" spans="1:15" ht="15">
      <c r="A192" s="39">
        <v>189</v>
      </c>
      <c r="B192" s="265" t="s">
        <v>317</v>
      </c>
      <c r="C192" s="31">
        <v>40130</v>
      </c>
      <c r="D192" s="27" t="s">
        <v>242</v>
      </c>
      <c r="E192" s="229">
        <v>13</v>
      </c>
      <c r="F192" s="229">
        <v>1</v>
      </c>
      <c r="G192" s="229">
        <v>20</v>
      </c>
      <c r="H192" s="161">
        <v>2376</v>
      </c>
      <c r="I192" s="150">
        <v>594</v>
      </c>
      <c r="J192" s="152">
        <f>(I192/F192)</f>
        <v>594</v>
      </c>
      <c r="K192" s="154">
        <f>H192/I192</f>
        <v>4</v>
      </c>
      <c r="L192" s="156">
        <f>61012+24426+6122+10040+4081+228+2698+1216+1678.5+1457+452+472+1209.4+1001.04+947+262+901+178+4160+2376</f>
        <v>124916.93999999999</v>
      </c>
      <c r="M192" s="152">
        <f>5982+2401+678+1620+879+42+433+305+334+339+195+86+256+229+130+31+125+25+1040+594</f>
        <v>15724</v>
      </c>
      <c r="N192" s="267">
        <f>L192/M192</f>
        <v>7.944348766217247</v>
      </c>
      <c r="O192" s="349">
        <v>1</v>
      </c>
    </row>
    <row r="193" spans="1:15" ht="15">
      <c r="A193" s="39">
        <v>190</v>
      </c>
      <c r="B193" s="265" t="s">
        <v>333</v>
      </c>
      <c r="C193" s="31">
        <v>40130</v>
      </c>
      <c r="D193" s="27" t="s">
        <v>242</v>
      </c>
      <c r="E193" s="229">
        <v>13</v>
      </c>
      <c r="F193" s="229">
        <v>1</v>
      </c>
      <c r="G193" s="229">
        <v>19</v>
      </c>
      <c r="H193" s="161">
        <v>4160</v>
      </c>
      <c r="I193" s="150">
        <v>1040</v>
      </c>
      <c r="J193" s="152">
        <f>(I193/F193)</f>
        <v>1040</v>
      </c>
      <c r="K193" s="154">
        <f>H193/I193</f>
        <v>4</v>
      </c>
      <c r="L193" s="156">
        <f>61012+24426+6122+10040+4081+228+2698+1216+1678.5+1457+452+472+1209.4+1001.04+947+262+901+178+4160</f>
        <v>122540.93999999999</v>
      </c>
      <c r="M193" s="152">
        <f>5982+2401+678+1620+879+42+433+305+334+339+195+86+256+229+130+31+125+25+1040</f>
        <v>15130</v>
      </c>
      <c r="N193" s="267">
        <f>L193/M193</f>
        <v>8.099202908129543</v>
      </c>
      <c r="O193" s="308">
        <v>1</v>
      </c>
    </row>
    <row r="194" spans="1:15" ht="15">
      <c r="A194" s="39">
        <v>191</v>
      </c>
      <c r="B194" s="268" t="s">
        <v>88</v>
      </c>
      <c r="C194" s="31">
        <v>40130</v>
      </c>
      <c r="D194" s="32" t="s">
        <v>242</v>
      </c>
      <c r="E194" s="56">
        <v>13</v>
      </c>
      <c r="F194" s="56">
        <v>4</v>
      </c>
      <c r="G194" s="56">
        <v>9</v>
      </c>
      <c r="H194" s="159">
        <v>1678.5</v>
      </c>
      <c r="I194" s="160">
        <v>334</v>
      </c>
      <c r="J194" s="177">
        <f>(I194/F194)</f>
        <v>83.5</v>
      </c>
      <c r="K194" s="180">
        <f>H194/I194</f>
        <v>5.025449101796407</v>
      </c>
      <c r="L194" s="178">
        <f>61012+24426+6122+10040+4081+228+2698+1216+1678.5</f>
        <v>111501.5</v>
      </c>
      <c r="M194" s="179">
        <f>5982+2401+678+1620+879+42+433+305+334</f>
        <v>12674</v>
      </c>
      <c r="N194" s="266">
        <f>L195/M195</f>
        <v>8.680434949665718</v>
      </c>
      <c r="O194" s="308">
        <v>1</v>
      </c>
    </row>
    <row r="195" spans="1:15" ht="15">
      <c r="A195" s="39">
        <v>192</v>
      </c>
      <c r="B195" s="269" t="s">
        <v>88</v>
      </c>
      <c r="C195" s="34">
        <v>40130</v>
      </c>
      <c r="D195" s="32" t="s">
        <v>242</v>
      </c>
      <c r="E195" s="57">
        <v>13</v>
      </c>
      <c r="F195" s="57">
        <v>2</v>
      </c>
      <c r="G195" s="57">
        <v>10</v>
      </c>
      <c r="H195" s="159">
        <v>1457</v>
      </c>
      <c r="I195" s="151">
        <v>339</v>
      </c>
      <c r="J195" s="153">
        <f>(I195/F195)</f>
        <v>169.5</v>
      </c>
      <c r="K195" s="155">
        <f>H195/I195</f>
        <v>4.297935103244837</v>
      </c>
      <c r="L195" s="178">
        <f>61012+24426+6122+10040+4081+228+2698+1216+1678.5+1457</f>
        <v>112958.5</v>
      </c>
      <c r="M195" s="158">
        <f>5982+2401+678+1620+879+42+433+305+334+339</f>
        <v>13013</v>
      </c>
      <c r="N195" s="266">
        <f>L196/M196</f>
        <v>8.899756888168557</v>
      </c>
      <c r="O195" s="344">
        <v>1</v>
      </c>
    </row>
    <row r="196" spans="1:15" ht="15">
      <c r="A196" s="39">
        <v>193</v>
      </c>
      <c r="B196" s="268" t="s">
        <v>88</v>
      </c>
      <c r="C196" s="31">
        <v>40130</v>
      </c>
      <c r="D196" s="32" t="s">
        <v>242</v>
      </c>
      <c r="E196" s="56">
        <v>13</v>
      </c>
      <c r="F196" s="56">
        <v>2</v>
      </c>
      <c r="G196" s="56">
        <v>8</v>
      </c>
      <c r="H196" s="159">
        <v>1216</v>
      </c>
      <c r="I196" s="160">
        <v>305</v>
      </c>
      <c r="J196" s="177">
        <f>(I196/F196)</f>
        <v>152.5</v>
      </c>
      <c r="K196" s="155">
        <f>H196/I196</f>
        <v>3.9868852459016395</v>
      </c>
      <c r="L196" s="178">
        <f>61012+24426+6122+10040+4081+228+2698+1216</f>
        <v>109823</v>
      </c>
      <c r="M196" s="179">
        <f>5982+2401+678+1620+879+42+433+305</f>
        <v>12340</v>
      </c>
      <c r="N196" s="267">
        <f>L197/M197</f>
        <v>8.493867158671586</v>
      </c>
      <c r="O196" s="314">
        <v>1</v>
      </c>
    </row>
    <row r="197" spans="1:15" ht="15">
      <c r="A197" s="39">
        <v>194</v>
      </c>
      <c r="B197" s="265" t="s">
        <v>88</v>
      </c>
      <c r="C197" s="31">
        <v>40130</v>
      </c>
      <c r="D197" s="32" t="s">
        <v>242</v>
      </c>
      <c r="E197" s="54">
        <v>13</v>
      </c>
      <c r="F197" s="54">
        <v>1</v>
      </c>
      <c r="G197" s="54">
        <v>13</v>
      </c>
      <c r="H197" s="163">
        <v>1209.4</v>
      </c>
      <c r="I197" s="164">
        <v>256</v>
      </c>
      <c r="J197" s="181">
        <f>I197/F197</f>
        <v>256</v>
      </c>
      <c r="K197" s="182">
        <f>+H197/I197</f>
        <v>4.72421875</v>
      </c>
      <c r="L197" s="183">
        <f>61012+24426+6122+10040+4081+228+2698+1216+1678.5+1457+452+472+1209.4</f>
        <v>115091.9</v>
      </c>
      <c r="M197" s="181">
        <f>5982+2401+678+1620+879+42+433+305+334+339+195+86+256</f>
        <v>13550</v>
      </c>
      <c r="N197" s="270">
        <f>+L197/M197</f>
        <v>8.493867158671586</v>
      </c>
      <c r="O197" s="303">
        <v>1</v>
      </c>
    </row>
    <row r="198" spans="1:15" ht="15">
      <c r="A198" s="39">
        <v>195</v>
      </c>
      <c r="B198" s="265" t="s">
        <v>88</v>
      </c>
      <c r="C198" s="31">
        <v>40130</v>
      </c>
      <c r="D198" s="32" t="s">
        <v>242</v>
      </c>
      <c r="E198" s="54">
        <v>13</v>
      </c>
      <c r="F198" s="54">
        <v>1</v>
      </c>
      <c r="G198" s="54">
        <v>14</v>
      </c>
      <c r="H198" s="163">
        <v>1001.04</v>
      </c>
      <c r="I198" s="164">
        <v>229</v>
      </c>
      <c r="J198" s="181">
        <f>(I198/F198)</f>
        <v>229</v>
      </c>
      <c r="K198" s="182">
        <f aca="true" t="shared" si="26" ref="K198:K204">H198/I198</f>
        <v>4.371353711790393</v>
      </c>
      <c r="L198" s="183">
        <f>61012+24426+6122+10040+4081+228+2698+1216+1678.5+1457+452+472+1209.4+1001.04</f>
        <v>116092.93999999999</v>
      </c>
      <c r="M198" s="181">
        <f>5982+2401+678+1620+879+42+433+305+334+339+195+86+256+229</f>
        <v>13779</v>
      </c>
      <c r="N198" s="270">
        <f>L198/M198</f>
        <v>8.425353073517671</v>
      </c>
      <c r="O198" s="315">
        <v>1</v>
      </c>
    </row>
    <row r="199" spans="1:15" ht="15">
      <c r="A199" s="39">
        <v>196</v>
      </c>
      <c r="B199" s="265" t="s">
        <v>88</v>
      </c>
      <c r="C199" s="31">
        <v>40130</v>
      </c>
      <c r="D199" s="32" t="s">
        <v>242</v>
      </c>
      <c r="E199" s="54">
        <v>13</v>
      </c>
      <c r="F199" s="54">
        <v>3</v>
      </c>
      <c r="G199" s="54">
        <v>15</v>
      </c>
      <c r="H199" s="163">
        <v>947</v>
      </c>
      <c r="I199" s="165">
        <v>130</v>
      </c>
      <c r="J199" s="152">
        <f>(I199/F199)</f>
        <v>43.333333333333336</v>
      </c>
      <c r="K199" s="154">
        <f t="shared" si="26"/>
        <v>7.2846153846153845</v>
      </c>
      <c r="L199" s="156">
        <f>61012+24426+6122+10040+4081+228+2698+1216+1678.5+1457+452+472+1209.4+1001.04+947</f>
        <v>117039.93999999999</v>
      </c>
      <c r="M199" s="152">
        <f>5982+2401+678+1620+879+42+433+305+334+339+195+86+256+229+130</f>
        <v>13909</v>
      </c>
      <c r="N199" s="267">
        <f>L199/M199</f>
        <v>8.414691207132073</v>
      </c>
      <c r="O199" s="303">
        <v>1</v>
      </c>
    </row>
    <row r="200" spans="1:15" ht="15">
      <c r="A200" s="39">
        <v>197</v>
      </c>
      <c r="B200" s="265" t="s">
        <v>283</v>
      </c>
      <c r="C200" s="26">
        <v>40130</v>
      </c>
      <c r="D200" s="27" t="s">
        <v>261</v>
      </c>
      <c r="E200" s="55">
        <v>13</v>
      </c>
      <c r="F200" s="55">
        <v>1</v>
      </c>
      <c r="G200" s="55">
        <v>17</v>
      </c>
      <c r="H200" s="159">
        <v>901</v>
      </c>
      <c r="I200" s="160">
        <v>125</v>
      </c>
      <c r="J200" s="177">
        <f>I200/F200</f>
        <v>125</v>
      </c>
      <c r="K200" s="155">
        <f t="shared" si="26"/>
        <v>7.208</v>
      </c>
      <c r="L200" s="178">
        <f>61012+24426+6122+10040+4081+228+2698+1216+1678.5+1457+452+472+1209.4+1001.04+947+262+901</f>
        <v>118202.93999999999</v>
      </c>
      <c r="M200" s="179">
        <f>5982+2401+678+1620+879+42+433+305+334+339+195+86+256+229+130+31+125</f>
        <v>14065</v>
      </c>
      <c r="N200" s="266">
        <f>+L200/M200</f>
        <v>8.40404834696054</v>
      </c>
      <c r="O200" s="331">
        <v>1</v>
      </c>
    </row>
    <row r="201" spans="1:15" ht="15">
      <c r="A201" s="39">
        <v>198</v>
      </c>
      <c r="B201" s="268" t="s">
        <v>88</v>
      </c>
      <c r="C201" s="46">
        <v>40130</v>
      </c>
      <c r="D201" s="32" t="s">
        <v>242</v>
      </c>
      <c r="E201" s="54">
        <v>13</v>
      </c>
      <c r="F201" s="54">
        <v>1</v>
      </c>
      <c r="G201" s="54">
        <v>12</v>
      </c>
      <c r="H201" s="163">
        <v>472</v>
      </c>
      <c r="I201" s="164">
        <v>86</v>
      </c>
      <c r="J201" s="181">
        <f>(I201/F201)</f>
        <v>86</v>
      </c>
      <c r="K201" s="182">
        <f t="shared" si="26"/>
        <v>5.488372093023256</v>
      </c>
      <c r="L201" s="183">
        <f>61012+24426+6122+10040+4081+228+2698+1216+1678.5+1457+452+472</f>
        <v>113882.5</v>
      </c>
      <c r="M201" s="181">
        <f>5982+2401+678+1620+879+42+433+305+334+339+195+86</f>
        <v>13294</v>
      </c>
      <c r="N201" s="266">
        <f>L202/M202</f>
        <v>8.58650060569352</v>
      </c>
      <c r="O201" s="303"/>
    </row>
    <row r="202" spans="1:15" ht="15">
      <c r="A202" s="39">
        <v>199</v>
      </c>
      <c r="B202" s="268" t="s">
        <v>88</v>
      </c>
      <c r="C202" s="31">
        <v>40130</v>
      </c>
      <c r="D202" s="32" t="s">
        <v>242</v>
      </c>
      <c r="E202" s="56">
        <v>13</v>
      </c>
      <c r="F202" s="56">
        <v>1</v>
      </c>
      <c r="G202" s="56">
        <v>11</v>
      </c>
      <c r="H202" s="149">
        <v>452</v>
      </c>
      <c r="I202" s="151">
        <v>195</v>
      </c>
      <c r="J202" s="153">
        <f>(I202/F202)</f>
        <v>195</v>
      </c>
      <c r="K202" s="155">
        <f t="shared" si="26"/>
        <v>2.317948717948718</v>
      </c>
      <c r="L202" s="157">
        <f>61012+24426+6122+10040+4081+228+2698+1216+1678.5+1457+452</f>
        <v>113410.5</v>
      </c>
      <c r="M202" s="158">
        <f>5982+2401+678+1620+879+42+433+305+334+339+195</f>
        <v>13208</v>
      </c>
      <c r="N202" s="272">
        <f>IF(L203&lt;&gt;0,L203/M203,"")</f>
        <v>8.41477331420373</v>
      </c>
      <c r="O202" s="316"/>
    </row>
    <row r="203" spans="1:15" ht="15">
      <c r="A203" s="39">
        <v>200</v>
      </c>
      <c r="B203" s="276" t="s">
        <v>234</v>
      </c>
      <c r="C203" s="31">
        <v>40130</v>
      </c>
      <c r="D203" s="32" t="s">
        <v>242</v>
      </c>
      <c r="E203" s="56">
        <v>13</v>
      </c>
      <c r="F203" s="56">
        <v>1</v>
      </c>
      <c r="G203" s="56">
        <v>16</v>
      </c>
      <c r="H203" s="149">
        <v>262</v>
      </c>
      <c r="I203" s="151">
        <v>31</v>
      </c>
      <c r="J203" s="153">
        <f>(I203/F203)</f>
        <v>31</v>
      </c>
      <c r="K203" s="155">
        <f t="shared" si="26"/>
        <v>8.451612903225806</v>
      </c>
      <c r="L203" s="157">
        <f>61012+24426+6122+10040+4081+228+2698+1216+1678.5+1457+452+472+1209.4+1001.04+947+262</f>
        <v>117301.93999999999</v>
      </c>
      <c r="M203" s="158">
        <f>5982+2401+678+1620+879+42+433+305+334+339+195+86+256+229+130+31</f>
        <v>13940</v>
      </c>
      <c r="N203" s="266">
        <f>L203/M203</f>
        <v>8.41477331420373</v>
      </c>
      <c r="O203" s="303"/>
    </row>
    <row r="204" spans="1:15" ht="15">
      <c r="A204" s="39">
        <v>201</v>
      </c>
      <c r="B204" s="265" t="s">
        <v>317</v>
      </c>
      <c r="C204" s="26">
        <v>40130</v>
      </c>
      <c r="D204" s="27" t="s">
        <v>242</v>
      </c>
      <c r="E204" s="55">
        <v>13</v>
      </c>
      <c r="F204" s="55">
        <v>1</v>
      </c>
      <c r="G204" s="55">
        <v>18</v>
      </c>
      <c r="H204" s="159">
        <v>178</v>
      </c>
      <c r="I204" s="160">
        <v>25</v>
      </c>
      <c r="J204" s="177">
        <f>(I204/F204)</f>
        <v>25</v>
      </c>
      <c r="K204" s="155">
        <f t="shared" si="26"/>
        <v>7.12</v>
      </c>
      <c r="L204" s="178">
        <f>61012+24426+6122+10040+4081+228+2698+1216+1678.5+1457+452+472+1209.4+1001.04+947+262+901+178</f>
        <v>118380.93999999999</v>
      </c>
      <c r="M204" s="179">
        <f>5982+2401+678+1620+879+42+433+305+334+339+195+86+256+229+130+31+125+25</f>
        <v>14090</v>
      </c>
      <c r="N204" s="266">
        <f>L204/M204</f>
        <v>8.401770049680623</v>
      </c>
      <c r="O204" s="301"/>
    </row>
    <row r="205" spans="1:15" ht="15">
      <c r="A205" s="39">
        <v>202</v>
      </c>
      <c r="B205" s="265" t="s">
        <v>94</v>
      </c>
      <c r="C205" s="26">
        <v>40158</v>
      </c>
      <c r="D205" s="27" t="s">
        <v>101</v>
      </c>
      <c r="E205" s="55">
        <v>6</v>
      </c>
      <c r="F205" s="55">
        <v>1</v>
      </c>
      <c r="G205" s="55">
        <v>10</v>
      </c>
      <c r="H205" s="159">
        <v>2376</v>
      </c>
      <c r="I205" s="160">
        <v>475</v>
      </c>
      <c r="J205" s="177">
        <f>IF(H205&lt;&gt;0,I205/F205,"")</f>
        <v>475</v>
      </c>
      <c r="K205" s="155">
        <f>IF(H205&lt;&gt;0,H205/I205,"")</f>
        <v>5.002105263157895</v>
      </c>
      <c r="L205" s="178">
        <v>55074.5</v>
      </c>
      <c r="M205" s="179">
        <v>5549</v>
      </c>
      <c r="N205" s="266">
        <f>IF(L205&lt;&gt;0,L205/M205,"")</f>
        <v>9.925121643539377</v>
      </c>
      <c r="O205" s="308"/>
    </row>
    <row r="206" spans="1:15" ht="15">
      <c r="A206" s="39">
        <v>203</v>
      </c>
      <c r="B206" s="265" t="s">
        <v>94</v>
      </c>
      <c r="C206" s="31">
        <v>40158</v>
      </c>
      <c r="D206" s="47" t="s">
        <v>154</v>
      </c>
      <c r="E206" s="54">
        <v>6</v>
      </c>
      <c r="F206" s="54">
        <v>1</v>
      </c>
      <c r="G206" s="54">
        <v>9</v>
      </c>
      <c r="H206" s="163">
        <v>1782</v>
      </c>
      <c r="I206" s="165">
        <v>356</v>
      </c>
      <c r="J206" s="152">
        <f>IF(H206&lt;&gt;0,I206/F206,"")</f>
        <v>356</v>
      </c>
      <c r="K206" s="154">
        <f>IF(H206&lt;&gt;0,H206/I206,"")</f>
        <v>5.00561797752809</v>
      </c>
      <c r="L206" s="156">
        <v>52698.5</v>
      </c>
      <c r="M206" s="152">
        <v>5074</v>
      </c>
      <c r="N206" s="267">
        <f>IF(L206&lt;&gt;0,L206/M206,"")</f>
        <v>10.385987386677177</v>
      </c>
      <c r="O206" s="310">
        <v>1</v>
      </c>
    </row>
    <row r="207" spans="1:15" ht="15">
      <c r="A207" s="39">
        <v>204</v>
      </c>
      <c r="B207" s="265" t="s">
        <v>94</v>
      </c>
      <c r="C207" s="26">
        <v>40158</v>
      </c>
      <c r="D207" s="28" t="s">
        <v>154</v>
      </c>
      <c r="E207" s="55">
        <v>6</v>
      </c>
      <c r="F207" s="55">
        <v>3</v>
      </c>
      <c r="G207" s="55">
        <v>4</v>
      </c>
      <c r="H207" s="166">
        <v>1098</v>
      </c>
      <c r="I207" s="168">
        <v>177</v>
      </c>
      <c r="J207" s="187">
        <f>IF(H207&lt;&gt;0,I207/F207,"")</f>
        <v>59</v>
      </c>
      <c r="K207" s="188">
        <f>IF(H207&lt;&gt;0,H207/I207,"")</f>
        <v>6.203389830508475</v>
      </c>
      <c r="L207" s="186">
        <v>48973</v>
      </c>
      <c r="M207" s="181">
        <v>4330</v>
      </c>
      <c r="N207" s="267">
        <f>+L208/M208</f>
        <v>10.791966935142009</v>
      </c>
      <c r="O207" s="303">
        <v>1</v>
      </c>
    </row>
    <row r="208" spans="1:15" ht="15">
      <c r="A208" s="39">
        <v>205</v>
      </c>
      <c r="B208" s="275" t="s">
        <v>94</v>
      </c>
      <c r="C208" s="46">
        <v>40158</v>
      </c>
      <c r="D208" s="47" t="s">
        <v>154</v>
      </c>
      <c r="E208" s="54">
        <v>6</v>
      </c>
      <c r="F208" s="54">
        <v>1</v>
      </c>
      <c r="G208" s="54">
        <v>8</v>
      </c>
      <c r="H208" s="163">
        <v>750</v>
      </c>
      <c r="I208" s="164">
        <v>125</v>
      </c>
      <c r="J208" s="181">
        <f>I208/F208</f>
        <v>125</v>
      </c>
      <c r="K208" s="182">
        <f>H208/I208</f>
        <v>6</v>
      </c>
      <c r="L208" s="183">
        <v>50916.5</v>
      </c>
      <c r="M208" s="181">
        <v>4718</v>
      </c>
      <c r="N208" s="272">
        <f>IF(L209&lt;&gt;0,L209/M209,"")</f>
        <v>10.9223818854779</v>
      </c>
      <c r="O208" s="302">
        <v>1</v>
      </c>
    </row>
    <row r="209" spans="1:15" ht="15">
      <c r="A209" s="39">
        <v>206</v>
      </c>
      <c r="B209" s="268" t="s">
        <v>94</v>
      </c>
      <c r="C209" s="31">
        <v>40158</v>
      </c>
      <c r="D209" s="28" t="s">
        <v>154</v>
      </c>
      <c r="E209" s="56">
        <v>6</v>
      </c>
      <c r="F209" s="56">
        <v>1</v>
      </c>
      <c r="G209" s="56">
        <v>7</v>
      </c>
      <c r="H209" s="148">
        <v>629.5</v>
      </c>
      <c r="I209" s="162">
        <v>173</v>
      </c>
      <c r="J209" s="181">
        <f>I209/F209</f>
        <v>173</v>
      </c>
      <c r="K209" s="182">
        <f>H209/I209</f>
        <v>3.638728323699422</v>
      </c>
      <c r="L209" s="183">
        <v>50166.5</v>
      </c>
      <c r="M209" s="181">
        <v>4593</v>
      </c>
      <c r="N209" s="272">
        <f>IF(L210&lt;&gt;0,L210/M210,"")</f>
        <v>11.23323482609684</v>
      </c>
      <c r="O209" s="303">
        <v>1</v>
      </c>
    </row>
    <row r="210" spans="1:15" ht="15">
      <c r="A210" s="39">
        <v>207</v>
      </c>
      <c r="B210" s="265" t="s">
        <v>94</v>
      </c>
      <c r="C210" s="26">
        <v>40158</v>
      </c>
      <c r="D210" s="28" t="s">
        <v>154</v>
      </c>
      <c r="E210" s="55">
        <v>6</v>
      </c>
      <c r="F210" s="55">
        <v>4</v>
      </c>
      <c r="G210" s="55">
        <v>5</v>
      </c>
      <c r="H210" s="166">
        <v>442</v>
      </c>
      <c r="I210" s="167">
        <v>69</v>
      </c>
      <c r="J210" s="184">
        <f>IF(H210&lt;&gt;0,I210/F210,"")</f>
        <v>17.25</v>
      </c>
      <c r="K210" s="185">
        <f>IF(H210&lt;&gt;0,H210/I210,"")</f>
        <v>6.405797101449275</v>
      </c>
      <c r="L210" s="186">
        <v>49415</v>
      </c>
      <c r="M210" s="152">
        <v>4399</v>
      </c>
      <c r="N210" s="267">
        <f>IF(L211&lt;&gt;0,L211/M211,"")</f>
        <v>11.207466063348416</v>
      </c>
      <c r="O210" s="303">
        <v>1</v>
      </c>
    </row>
    <row r="211" spans="1:15" ht="15">
      <c r="A211" s="39">
        <v>208</v>
      </c>
      <c r="B211" s="268" t="s">
        <v>94</v>
      </c>
      <c r="C211" s="31">
        <v>40158</v>
      </c>
      <c r="D211" s="28" t="s">
        <v>154</v>
      </c>
      <c r="E211" s="56">
        <v>6</v>
      </c>
      <c r="F211" s="56">
        <v>1</v>
      </c>
      <c r="G211" s="56">
        <v>6</v>
      </c>
      <c r="H211" s="161">
        <v>122</v>
      </c>
      <c r="I211" s="150">
        <v>21</v>
      </c>
      <c r="J211" s="152">
        <f>IF(H211&lt;&gt;0,I211/F211,"")</f>
        <v>21</v>
      </c>
      <c r="K211" s="154">
        <f>IF(H211&lt;&gt;0,H211/I211,"")</f>
        <v>5.809523809523809</v>
      </c>
      <c r="L211" s="156">
        <v>49537</v>
      </c>
      <c r="M211" s="152">
        <v>4420</v>
      </c>
      <c r="N211" s="267">
        <f>+L212/M212</f>
        <v>8.968447185072476</v>
      </c>
      <c r="O211" s="331">
        <v>1</v>
      </c>
    </row>
    <row r="212" spans="1:15" ht="15">
      <c r="A212" s="39">
        <v>209</v>
      </c>
      <c r="B212" s="265" t="s">
        <v>21</v>
      </c>
      <c r="C212" s="31">
        <v>40074</v>
      </c>
      <c r="D212" s="47" t="s">
        <v>154</v>
      </c>
      <c r="E212" s="54">
        <v>65</v>
      </c>
      <c r="F212" s="54">
        <v>1</v>
      </c>
      <c r="G212" s="54">
        <v>13</v>
      </c>
      <c r="H212" s="163">
        <v>539</v>
      </c>
      <c r="I212" s="164">
        <v>73</v>
      </c>
      <c r="J212" s="181">
        <f>I212/F212</f>
        <v>73</v>
      </c>
      <c r="K212" s="182">
        <f>+H212/I212</f>
        <v>7.383561643835616</v>
      </c>
      <c r="L212" s="183">
        <v>559945</v>
      </c>
      <c r="M212" s="181">
        <v>62435</v>
      </c>
      <c r="N212" s="270">
        <f>+L212/M212</f>
        <v>8.968447185072476</v>
      </c>
      <c r="O212" s="331"/>
    </row>
    <row r="213" spans="1:15" ht="15">
      <c r="A213" s="39">
        <v>210</v>
      </c>
      <c r="B213" s="265" t="s">
        <v>21</v>
      </c>
      <c r="C213" s="26">
        <v>40074</v>
      </c>
      <c r="D213" s="28" t="s">
        <v>154</v>
      </c>
      <c r="E213" s="55">
        <v>65</v>
      </c>
      <c r="F213" s="55">
        <v>2</v>
      </c>
      <c r="G213" s="55">
        <v>11</v>
      </c>
      <c r="H213" s="166">
        <v>448</v>
      </c>
      <c r="I213" s="167">
        <v>83</v>
      </c>
      <c r="J213" s="184">
        <f>IF(H213&lt;&gt;0,I213/F213,"")</f>
        <v>41.5</v>
      </c>
      <c r="K213" s="185">
        <f>IF(H213&lt;&gt;0,H213/I213,"")</f>
        <v>5.397590361445783</v>
      </c>
      <c r="L213" s="186">
        <v>558893</v>
      </c>
      <c r="M213" s="152">
        <v>62285</v>
      </c>
      <c r="N213" s="267">
        <f>IF(L214&lt;&gt;0,L214/M214,"")</f>
        <v>8.970302427760496</v>
      </c>
      <c r="O213" s="312">
        <v>1</v>
      </c>
    </row>
    <row r="214" spans="1:15" ht="15">
      <c r="A214" s="39">
        <v>211</v>
      </c>
      <c r="B214" s="268" t="s">
        <v>21</v>
      </c>
      <c r="C214" s="31">
        <v>40074</v>
      </c>
      <c r="D214" s="28" t="s">
        <v>154</v>
      </c>
      <c r="E214" s="56">
        <v>65</v>
      </c>
      <c r="F214" s="56">
        <v>1</v>
      </c>
      <c r="G214" s="56">
        <v>12</v>
      </c>
      <c r="H214" s="148">
        <v>433</v>
      </c>
      <c r="I214" s="162">
        <v>61</v>
      </c>
      <c r="J214" s="181">
        <f>IF(H214&lt;&gt;0,I214/F214,"")</f>
        <v>61</v>
      </c>
      <c r="K214" s="182">
        <f>IF(H214&lt;&gt;0,H214/I214,"")</f>
        <v>7.098360655737705</v>
      </c>
      <c r="L214" s="183">
        <v>559406</v>
      </c>
      <c r="M214" s="181">
        <v>62362</v>
      </c>
      <c r="N214" s="267">
        <f>+L215/M215</f>
        <v>7.235833056815249</v>
      </c>
      <c r="O214" s="302">
        <v>1</v>
      </c>
    </row>
    <row r="215" spans="1:15" ht="15">
      <c r="A215" s="39">
        <v>212</v>
      </c>
      <c r="B215" s="275" t="s">
        <v>211</v>
      </c>
      <c r="C215" s="31">
        <v>39682</v>
      </c>
      <c r="D215" s="32" t="s">
        <v>47</v>
      </c>
      <c r="E215" s="54"/>
      <c r="F215" s="54">
        <v>2</v>
      </c>
      <c r="G215" s="54">
        <v>16</v>
      </c>
      <c r="H215" s="163">
        <v>4320</v>
      </c>
      <c r="I215" s="164">
        <v>783</v>
      </c>
      <c r="J215" s="181">
        <f aca="true" t="shared" si="27" ref="J215:J251">I215/F215</f>
        <v>391.5</v>
      </c>
      <c r="K215" s="182">
        <f>H215/I215</f>
        <v>5.517241379310345</v>
      </c>
      <c r="L215" s="183">
        <f>111737+37434.5+11042+9412+0.5+6921+5282+0.5+1449+105+269+162+117+442+7259+305+4320</f>
        <v>196257.5</v>
      </c>
      <c r="M215" s="181">
        <f>13345+4357+1377+1694+1346+1248+225+18+64+40+37+108+2420+61+783</f>
        <v>27123</v>
      </c>
      <c r="N215" s="270">
        <f>+L215/M215</f>
        <v>7.235833056815249</v>
      </c>
      <c r="O215" s="303">
        <v>1</v>
      </c>
    </row>
    <row r="216" spans="1:15" ht="15">
      <c r="A216" s="39">
        <v>213</v>
      </c>
      <c r="B216" s="268" t="s">
        <v>52</v>
      </c>
      <c r="C216" s="31">
        <v>40137</v>
      </c>
      <c r="D216" s="35" t="s">
        <v>240</v>
      </c>
      <c r="E216" s="56">
        <v>61</v>
      </c>
      <c r="F216" s="56">
        <v>4</v>
      </c>
      <c r="G216" s="56">
        <v>8</v>
      </c>
      <c r="H216" s="148">
        <v>2148</v>
      </c>
      <c r="I216" s="162">
        <v>594</v>
      </c>
      <c r="J216" s="181">
        <f t="shared" si="27"/>
        <v>148.5</v>
      </c>
      <c r="K216" s="182">
        <f>+H216/I216</f>
        <v>3.6161616161616164</v>
      </c>
      <c r="L216" s="183">
        <v>458401</v>
      </c>
      <c r="M216" s="181">
        <v>42433</v>
      </c>
      <c r="N216" s="267">
        <f>+L217/M217</f>
        <v>10.786334820380372</v>
      </c>
      <c r="O216" s="309">
        <v>1</v>
      </c>
    </row>
    <row r="217" spans="1:15" ht="15">
      <c r="A217" s="39">
        <v>214</v>
      </c>
      <c r="B217" s="268" t="s">
        <v>52</v>
      </c>
      <c r="C217" s="31">
        <v>40137</v>
      </c>
      <c r="D217" s="35" t="s">
        <v>240</v>
      </c>
      <c r="E217" s="56">
        <v>61</v>
      </c>
      <c r="F217" s="56">
        <v>1</v>
      </c>
      <c r="G217" s="56">
        <v>9</v>
      </c>
      <c r="H217" s="148">
        <v>989</v>
      </c>
      <c r="I217" s="150">
        <v>157</v>
      </c>
      <c r="J217" s="152">
        <f t="shared" si="27"/>
        <v>157</v>
      </c>
      <c r="K217" s="154">
        <f>+H217/I217</f>
        <v>6.2993630573248405</v>
      </c>
      <c r="L217" s="183">
        <v>459390</v>
      </c>
      <c r="M217" s="152">
        <v>42590</v>
      </c>
      <c r="N217" s="277">
        <f>+L218/M218</f>
        <v>10.9049690480174</v>
      </c>
      <c r="O217" s="303">
        <v>1</v>
      </c>
    </row>
    <row r="218" spans="1:15" ht="15">
      <c r="A218" s="39">
        <v>215</v>
      </c>
      <c r="B218" s="278" t="s">
        <v>52</v>
      </c>
      <c r="C218" s="36">
        <v>40137</v>
      </c>
      <c r="D218" s="35" t="s">
        <v>240</v>
      </c>
      <c r="E218" s="59">
        <v>61</v>
      </c>
      <c r="F218" s="59">
        <v>1</v>
      </c>
      <c r="G218" s="59">
        <v>7</v>
      </c>
      <c r="H218" s="172">
        <v>768</v>
      </c>
      <c r="I218" s="173">
        <v>63</v>
      </c>
      <c r="J218" s="197">
        <f t="shared" si="27"/>
        <v>63</v>
      </c>
      <c r="K218" s="196">
        <f>+H218/I218</f>
        <v>12.19047619047619</v>
      </c>
      <c r="L218" s="198">
        <v>456253</v>
      </c>
      <c r="M218" s="197">
        <v>41839</v>
      </c>
      <c r="N218" s="267">
        <f>+L219/M219</f>
        <v>11.89100638271339</v>
      </c>
      <c r="O218" s="312"/>
    </row>
    <row r="219" spans="1:15" ht="15">
      <c r="A219" s="39">
        <v>216</v>
      </c>
      <c r="B219" s="265" t="s">
        <v>53</v>
      </c>
      <c r="C219" s="31">
        <v>40137</v>
      </c>
      <c r="D219" s="27" t="s">
        <v>241</v>
      </c>
      <c r="E219" s="229">
        <v>20</v>
      </c>
      <c r="F219" s="229">
        <v>1</v>
      </c>
      <c r="G219" s="229">
        <v>38</v>
      </c>
      <c r="H219" s="161">
        <v>211</v>
      </c>
      <c r="I219" s="150">
        <v>31</v>
      </c>
      <c r="J219" s="152">
        <f t="shared" si="27"/>
        <v>31</v>
      </c>
      <c r="K219" s="154">
        <f aca="true" t="shared" si="28" ref="K219:K226">H219/I219</f>
        <v>6.806451612903226</v>
      </c>
      <c r="L219" s="156">
        <v>1048870</v>
      </c>
      <c r="M219" s="152">
        <v>88207</v>
      </c>
      <c r="N219" s="267">
        <f>+L219/M219</f>
        <v>11.89100638271339</v>
      </c>
      <c r="O219" s="303"/>
    </row>
    <row r="220" spans="1:15" ht="15">
      <c r="A220" s="39">
        <v>217</v>
      </c>
      <c r="B220" s="268" t="s">
        <v>53</v>
      </c>
      <c r="C220" s="31">
        <v>40137</v>
      </c>
      <c r="D220" s="27" t="s">
        <v>241</v>
      </c>
      <c r="E220" s="229">
        <v>20</v>
      </c>
      <c r="F220" s="229">
        <v>1</v>
      </c>
      <c r="G220" s="229">
        <v>36</v>
      </c>
      <c r="H220" s="148">
        <v>172</v>
      </c>
      <c r="I220" s="162">
        <v>30</v>
      </c>
      <c r="J220" s="181">
        <f t="shared" si="27"/>
        <v>30</v>
      </c>
      <c r="K220" s="182">
        <f t="shared" si="28"/>
        <v>5.733333333333333</v>
      </c>
      <c r="L220" s="183">
        <v>1048453</v>
      </c>
      <c r="M220" s="181">
        <v>88147</v>
      </c>
      <c r="N220" s="267">
        <f>+L220/M220</f>
        <v>11.894369632545635</v>
      </c>
      <c r="O220" s="303"/>
    </row>
    <row r="221" spans="1:15" ht="15">
      <c r="A221" s="39">
        <v>218</v>
      </c>
      <c r="B221" s="265" t="s">
        <v>53</v>
      </c>
      <c r="C221" s="31">
        <v>40137</v>
      </c>
      <c r="D221" s="27" t="s">
        <v>241</v>
      </c>
      <c r="E221" s="229">
        <v>20</v>
      </c>
      <c r="F221" s="229">
        <v>1</v>
      </c>
      <c r="G221" s="229">
        <v>35</v>
      </c>
      <c r="H221" s="161">
        <v>300</v>
      </c>
      <c r="I221" s="150">
        <v>60</v>
      </c>
      <c r="J221" s="152">
        <f t="shared" si="27"/>
        <v>60</v>
      </c>
      <c r="K221" s="154">
        <f t="shared" si="28"/>
        <v>5</v>
      </c>
      <c r="L221" s="156">
        <v>1048281</v>
      </c>
      <c r="M221" s="152">
        <v>88117</v>
      </c>
      <c r="N221" s="267">
        <f>+L221/M221</f>
        <v>11.89646719702214</v>
      </c>
      <c r="O221" s="303"/>
    </row>
    <row r="222" spans="1:15" ht="15">
      <c r="A222" s="39">
        <v>219</v>
      </c>
      <c r="B222" s="265" t="s">
        <v>53</v>
      </c>
      <c r="C222" s="26">
        <v>40137</v>
      </c>
      <c r="D222" s="27" t="s">
        <v>241</v>
      </c>
      <c r="E222" s="230">
        <v>20</v>
      </c>
      <c r="F222" s="230">
        <v>1</v>
      </c>
      <c r="G222" s="230">
        <v>34</v>
      </c>
      <c r="H222" s="149">
        <v>150</v>
      </c>
      <c r="I222" s="151">
        <v>30</v>
      </c>
      <c r="J222" s="153">
        <f t="shared" si="27"/>
        <v>30</v>
      </c>
      <c r="K222" s="155">
        <f t="shared" si="28"/>
        <v>5</v>
      </c>
      <c r="L222" s="157">
        <v>1047981</v>
      </c>
      <c r="M222" s="158">
        <v>88057</v>
      </c>
      <c r="N222" s="266">
        <f>+L222/M222</f>
        <v>11.901166290016693</v>
      </c>
      <c r="O222" s="301"/>
    </row>
    <row r="223" spans="1:15" ht="15">
      <c r="A223" s="39">
        <v>220</v>
      </c>
      <c r="B223" s="265" t="s">
        <v>53</v>
      </c>
      <c r="C223" s="31">
        <v>40137</v>
      </c>
      <c r="D223" s="27" t="s">
        <v>241</v>
      </c>
      <c r="E223" s="56">
        <v>20</v>
      </c>
      <c r="F223" s="56">
        <v>2</v>
      </c>
      <c r="G223" s="56">
        <v>11</v>
      </c>
      <c r="H223" s="161">
        <v>12778</v>
      </c>
      <c r="I223" s="150">
        <v>1094</v>
      </c>
      <c r="J223" s="152">
        <f t="shared" si="27"/>
        <v>547</v>
      </c>
      <c r="K223" s="154">
        <f t="shared" si="28"/>
        <v>11.680073126142595</v>
      </c>
      <c r="L223" s="156">
        <f>997860+4193+617+10063+7010+12778</f>
        <v>1032521</v>
      </c>
      <c r="M223" s="152">
        <f>81544+595+106+1265+874+1094</f>
        <v>85478</v>
      </c>
      <c r="N223" s="266">
        <f>+L224/M224</f>
        <v>12.12708657645791</v>
      </c>
      <c r="O223" s="302"/>
    </row>
    <row r="224" spans="1:15" ht="15">
      <c r="A224" s="39">
        <v>221</v>
      </c>
      <c r="B224" s="265" t="s">
        <v>53</v>
      </c>
      <c r="C224" s="26">
        <v>40137</v>
      </c>
      <c r="D224" s="27" t="s">
        <v>241</v>
      </c>
      <c r="E224" s="55">
        <v>20</v>
      </c>
      <c r="F224" s="55">
        <v>2</v>
      </c>
      <c r="G224" s="55">
        <v>9</v>
      </c>
      <c r="H224" s="159">
        <v>10063</v>
      </c>
      <c r="I224" s="151">
        <v>1265</v>
      </c>
      <c r="J224" s="153">
        <f t="shared" si="27"/>
        <v>632.5</v>
      </c>
      <c r="K224" s="155">
        <f t="shared" si="28"/>
        <v>7.95494071146245</v>
      </c>
      <c r="L224" s="178">
        <f>997860+4193+617+10063</f>
        <v>1012733</v>
      </c>
      <c r="M224" s="158">
        <f>81544+595+106+1265</f>
        <v>83510</v>
      </c>
      <c r="N224" s="266">
        <f>+L225/M225</f>
        <v>12.084553943875616</v>
      </c>
      <c r="O224" s="303"/>
    </row>
    <row r="225" spans="1:15" ht="15">
      <c r="A225" s="39">
        <v>222</v>
      </c>
      <c r="B225" s="265" t="s">
        <v>53</v>
      </c>
      <c r="C225" s="26">
        <v>40137</v>
      </c>
      <c r="D225" s="27" t="s">
        <v>241</v>
      </c>
      <c r="E225" s="55">
        <v>20</v>
      </c>
      <c r="F225" s="55">
        <v>2</v>
      </c>
      <c r="G225" s="55">
        <v>10</v>
      </c>
      <c r="H225" s="149">
        <v>7010</v>
      </c>
      <c r="I225" s="151">
        <v>874</v>
      </c>
      <c r="J225" s="153">
        <f t="shared" si="27"/>
        <v>437</v>
      </c>
      <c r="K225" s="155">
        <f t="shared" si="28"/>
        <v>8.020594965675057</v>
      </c>
      <c r="L225" s="157">
        <f>997860+4193+617+10063+7010</f>
        <v>1019743</v>
      </c>
      <c r="M225" s="158">
        <f>81544+595+106+1265+874</f>
        <v>84384</v>
      </c>
      <c r="N225" s="266">
        <f>+L226/M226</f>
        <v>12.1994789320542</v>
      </c>
      <c r="O225" s="301"/>
    </row>
    <row r="226" spans="1:15" ht="15">
      <c r="A226" s="39">
        <v>223</v>
      </c>
      <c r="B226" s="265" t="s">
        <v>53</v>
      </c>
      <c r="C226" s="26">
        <v>40137</v>
      </c>
      <c r="D226" s="27" t="s">
        <v>241</v>
      </c>
      <c r="E226" s="55">
        <v>20</v>
      </c>
      <c r="F226" s="55">
        <v>1</v>
      </c>
      <c r="G226" s="55">
        <v>7</v>
      </c>
      <c r="H226" s="159">
        <v>4193</v>
      </c>
      <c r="I226" s="160">
        <v>595</v>
      </c>
      <c r="J226" s="177">
        <f t="shared" si="27"/>
        <v>595</v>
      </c>
      <c r="K226" s="155">
        <f t="shared" si="28"/>
        <v>7.047058823529412</v>
      </c>
      <c r="L226" s="178">
        <f>997860+4193</f>
        <v>1002053</v>
      </c>
      <c r="M226" s="179">
        <f>81544+595</f>
        <v>82139</v>
      </c>
      <c r="N226" s="267">
        <f>+L227/M227</f>
        <v>11.964738696755088</v>
      </c>
      <c r="O226" s="331"/>
    </row>
    <row r="227" spans="1:15" ht="15">
      <c r="A227" s="39">
        <v>224</v>
      </c>
      <c r="B227" s="265" t="s">
        <v>53</v>
      </c>
      <c r="C227" s="31">
        <v>40137</v>
      </c>
      <c r="D227" s="27" t="s">
        <v>241</v>
      </c>
      <c r="E227" s="54">
        <v>20</v>
      </c>
      <c r="F227" s="54">
        <v>1</v>
      </c>
      <c r="G227" s="54">
        <v>23</v>
      </c>
      <c r="H227" s="163">
        <v>1659</v>
      </c>
      <c r="I227" s="164">
        <v>215</v>
      </c>
      <c r="J227" s="181">
        <f t="shared" si="27"/>
        <v>215</v>
      </c>
      <c r="K227" s="182">
        <f>+H227/I227</f>
        <v>7.716279069767442</v>
      </c>
      <c r="L227" s="183">
        <f>1034595+1595+413+264+1393+81+1190+1190+1659</f>
        <v>1042380</v>
      </c>
      <c r="M227" s="181">
        <f>85844+247+59+36+214+30+238+238+215</f>
        <v>87121</v>
      </c>
      <c r="N227" s="270">
        <f>+L227/M227</f>
        <v>11.964738696755088</v>
      </c>
      <c r="O227" s="331"/>
    </row>
    <row r="228" spans="1:16" ht="15">
      <c r="A228" s="39">
        <v>225</v>
      </c>
      <c r="B228" s="268" t="s">
        <v>53</v>
      </c>
      <c r="C228" s="46">
        <v>40137</v>
      </c>
      <c r="D228" s="27" t="s">
        <v>241</v>
      </c>
      <c r="E228" s="54">
        <v>20</v>
      </c>
      <c r="F228" s="54">
        <v>1</v>
      </c>
      <c r="G228" s="54">
        <v>16</v>
      </c>
      <c r="H228" s="163">
        <v>1595</v>
      </c>
      <c r="I228" s="164">
        <v>247</v>
      </c>
      <c r="J228" s="181">
        <f t="shared" si="27"/>
        <v>247</v>
      </c>
      <c r="K228" s="182">
        <f aca="true" t="shared" si="29" ref="K228:K256">H228/I228</f>
        <v>6.4574898785425106</v>
      </c>
      <c r="L228" s="183">
        <f>1034595+1595</f>
        <v>1036190</v>
      </c>
      <c r="M228" s="181">
        <f>85844+247</f>
        <v>86091</v>
      </c>
      <c r="N228" s="267">
        <f>+L229/M229</f>
        <v>12.016898148148147</v>
      </c>
      <c r="O228" s="331"/>
      <c r="P228" s="10">
        <v>1</v>
      </c>
    </row>
    <row r="229" spans="1:15" ht="15">
      <c r="A229" s="39">
        <v>226</v>
      </c>
      <c r="B229" s="265" t="s">
        <v>53</v>
      </c>
      <c r="C229" s="26">
        <v>40137</v>
      </c>
      <c r="D229" s="27" t="s">
        <v>241</v>
      </c>
      <c r="E229" s="55">
        <v>20</v>
      </c>
      <c r="F229" s="55">
        <v>2</v>
      </c>
      <c r="G229" s="55">
        <v>19</v>
      </c>
      <c r="H229" s="159">
        <v>1393</v>
      </c>
      <c r="I229" s="151">
        <v>214</v>
      </c>
      <c r="J229" s="153">
        <f t="shared" si="27"/>
        <v>107</v>
      </c>
      <c r="K229" s="155">
        <f t="shared" si="29"/>
        <v>6.509345794392523</v>
      </c>
      <c r="L229" s="178">
        <f>1034595+1595+413+264+1393</f>
        <v>1038260</v>
      </c>
      <c r="M229" s="158">
        <f>85844+247+59+36+214</f>
        <v>86400</v>
      </c>
      <c r="N229" s="266">
        <f>IF(L230&lt;&gt;0,L230/M230,"")</f>
        <v>11.922664659733625</v>
      </c>
      <c r="O229" s="305"/>
    </row>
    <row r="230" spans="1:15" ht="15">
      <c r="A230" s="39">
        <v>227</v>
      </c>
      <c r="B230" s="265" t="s">
        <v>53</v>
      </c>
      <c r="C230" s="26">
        <v>40137</v>
      </c>
      <c r="D230" s="28" t="s">
        <v>241</v>
      </c>
      <c r="E230" s="230">
        <v>20</v>
      </c>
      <c r="F230" s="230">
        <v>1</v>
      </c>
      <c r="G230" s="230">
        <v>30</v>
      </c>
      <c r="H230" s="149">
        <v>1190</v>
      </c>
      <c r="I230" s="151">
        <v>238</v>
      </c>
      <c r="J230" s="153">
        <f t="shared" si="27"/>
        <v>238</v>
      </c>
      <c r="K230" s="155">
        <f t="shared" si="29"/>
        <v>5</v>
      </c>
      <c r="L230" s="157">
        <v>1045570</v>
      </c>
      <c r="M230" s="158">
        <v>87696</v>
      </c>
      <c r="N230" s="266">
        <f>+L230/M230</f>
        <v>11.922664659733625</v>
      </c>
      <c r="O230" s="317"/>
    </row>
    <row r="231" spans="1:15" ht="15">
      <c r="A231" s="39">
        <v>228</v>
      </c>
      <c r="B231" s="268" t="s">
        <v>53</v>
      </c>
      <c r="C231" s="31">
        <v>40137</v>
      </c>
      <c r="D231" s="27" t="s">
        <v>241</v>
      </c>
      <c r="E231" s="56">
        <v>20</v>
      </c>
      <c r="F231" s="56">
        <v>1</v>
      </c>
      <c r="G231" s="56">
        <v>14</v>
      </c>
      <c r="H231" s="148">
        <v>1190</v>
      </c>
      <c r="I231" s="162">
        <v>238</v>
      </c>
      <c r="J231" s="181">
        <f t="shared" si="27"/>
        <v>238</v>
      </c>
      <c r="K231" s="182">
        <f t="shared" si="29"/>
        <v>5</v>
      </c>
      <c r="L231" s="183">
        <v>1034451</v>
      </c>
      <c r="M231" s="181">
        <v>85822</v>
      </c>
      <c r="N231" s="266">
        <f>+L232/M232</f>
        <v>11.994403932247197</v>
      </c>
      <c r="O231" s="303"/>
    </row>
    <row r="232" spans="1:15" ht="15">
      <c r="A232" s="39">
        <v>229</v>
      </c>
      <c r="B232" s="275" t="s">
        <v>53</v>
      </c>
      <c r="C232" s="31">
        <v>40137</v>
      </c>
      <c r="D232" s="27" t="s">
        <v>241</v>
      </c>
      <c r="E232" s="54">
        <v>20</v>
      </c>
      <c r="F232" s="54">
        <v>1</v>
      </c>
      <c r="G232" s="54">
        <v>21</v>
      </c>
      <c r="H232" s="163">
        <v>1190</v>
      </c>
      <c r="I232" s="164">
        <v>238</v>
      </c>
      <c r="J232" s="181">
        <f t="shared" si="27"/>
        <v>238</v>
      </c>
      <c r="K232" s="182">
        <f t="shared" si="29"/>
        <v>5</v>
      </c>
      <c r="L232" s="183">
        <f>1034595+1595+413+264+1393+81+1190</f>
        <v>1039531</v>
      </c>
      <c r="M232" s="181">
        <f>85844+247+59+36+214+30+238</f>
        <v>86668</v>
      </c>
      <c r="N232" s="270">
        <f>+L232/M232</f>
        <v>11.994403932247197</v>
      </c>
      <c r="O232" s="303"/>
    </row>
    <row r="233" spans="1:15" ht="15">
      <c r="A233" s="39">
        <v>230</v>
      </c>
      <c r="B233" s="275" t="s">
        <v>53</v>
      </c>
      <c r="C233" s="31">
        <v>40137</v>
      </c>
      <c r="D233" s="27" t="s">
        <v>241</v>
      </c>
      <c r="E233" s="54">
        <v>20</v>
      </c>
      <c r="F233" s="54">
        <v>1</v>
      </c>
      <c r="G233" s="54">
        <v>22</v>
      </c>
      <c r="H233" s="163">
        <v>1190</v>
      </c>
      <c r="I233" s="164">
        <v>238</v>
      </c>
      <c r="J233" s="181">
        <f t="shared" si="27"/>
        <v>238</v>
      </c>
      <c r="K233" s="182">
        <f t="shared" si="29"/>
        <v>5</v>
      </c>
      <c r="L233" s="183">
        <f>1034595+1595+413+264+1393+81+1190+1190</f>
        <v>1040721</v>
      </c>
      <c r="M233" s="181">
        <f>85844+247+59+36+214+30+238+238</f>
        <v>86906</v>
      </c>
      <c r="N233" s="270">
        <f>+L233/M233</f>
        <v>11.975249119738567</v>
      </c>
      <c r="O233" s="301"/>
    </row>
    <row r="234" spans="1:15" ht="15">
      <c r="A234" s="39">
        <v>231</v>
      </c>
      <c r="B234" s="265" t="s">
        <v>53</v>
      </c>
      <c r="C234" s="26">
        <v>40137</v>
      </c>
      <c r="D234" s="27" t="s">
        <v>241</v>
      </c>
      <c r="E234" s="55">
        <v>20</v>
      </c>
      <c r="F234" s="55">
        <v>1</v>
      </c>
      <c r="G234" s="55">
        <v>8</v>
      </c>
      <c r="H234" s="159">
        <v>617</v>
      </c>
      <c r="I234" s="160">
        <v>106</v>
      </c>
      <c r="J234" s="177">
        <f t="shared" si="27"/>
        <v>106</v>
      </c>
      <c r="K234" s="180">
        <f t="shared" si="29"/>
        <v>5.820754716981132</v>
      </c>
      <c r="L234" s="178">
        <f>997860+4193+617</f>
        <v>1002670</v>
      </c>
      <c r="M234" s="179">
        <f>81544+595+106</f>
        <v>82245</v>
      </c>
      <c r="N234" s="267">
        <f>+L235/M235</f>
        <v>11.952075981852344</v>
      </c>
      <c r="O234" s="303"/>
    </row>
    <row r="235" spans="1:15" ht="15">
      <c r="A235" s="39">
        <v>232</v>
      </c>
      <c r="B235" s="265" t="s">
        <v>53</v>
      </c>
      <c r="C235" s="31">
        <v>40137</v>
      </c>
      <c r="D235" s="27" t="s">
        <v>241</v>
      </c>
      <c r="E235" s="54">
        <v>20</v>
      </c>
      <c r="F235" s="54">
        <v>1</v>
      </c>
      <c r="G235" s="54">
        <v>25</v>
      </c>
      <c r="H235" s="163">
        <v>600</v>
      </c>
      <c r="I235" s="165">
        <v>120</v>
      </c>
      <c r="J235" s="152">
        <f t="shared" si="27"/>
        <v>120</v>
      </c>
      <c r="K235" s="154">
        <f t="shared" si="29"/>
        <v>5</v>
      </c>
      <c r="L235" s="156">
        <f>1034595+1595+413+264+1393+81+1190+1190+1659+245+600</f>
        <v>1043225</v>
      </c>
      <c r="M235" s="152">
        <f>85844+247+59+36+214+30+238+238+215+43+120</f>
        <v>87284</v>
      </c>
      <c r="N235" s="267">
        <f>+L235/M235</f>
        <v>11.952075981852344</v>
      </c>
      <c r="O235" s="303"/>
    </row>
    <row r="236" spans="1:15" ht="15">
      <c r="A236" s="39">
        <v>233</v>
      </c>
      <c r="B236" s="265" t="s">
        <v>53</v>
      </c>
      <c r="C236" s="26">
        <v>40137</v>
      </c>
      <c r="D236" s="27" t="s">
        <v>241</v>
      </c>
      <c r="E236" s="55">
        <v>20</v>
      </c>
      <c r="F236" s="55">
        <v>1</v>
      </c>
      <c r="G236" s="55">
        <v>31</v>
      </c>
      <c r="H236" s="159">
        <v>483</v>
      </c>
      <c r="I236" s="160">
        <v>96</v>
      </c>
      <c r="J236" s="177">
        <f t="shared" si="27"/>
        <v>96</v>
      </c>
      <c r="K236" s="155">
        <f t="shared" si="29"/>
        <v>5.03125</v>
      </c>
      <c r="L236" s="178">
        <v>1046053</v>
      </c>
      <c r="M236" s="179">
        <v>87792</v>
      </c>
      <c r="N236" s="266">
        <f>+L236/M236</f>
        <v>11.915128941133588</v>
      </c>
      <c r="O236" s="302"/>
    </row>
    <row r="237" spans="1:15" ht="15">
      <c r="A237" s="39">
        <v>234</v>
      </c>
      <c r="B237" s="268" t="s">
        <v>53</v>
      </c>
      <c r="C237" s="31">
        <v>40137</v>
      </c>
      <c r="D237" s="27" t="s">
        <v>241</v>
      </c>
      <c r="E237" s="56">
        <v>20</v>
      </c>
      <c r="F237" s="56">
        <v>1</v>
      </c>
      <c r="G237" s="56">
        <v>13</v>
      </c>
      <c r="H237" s="148">
        <v>441</v>
      </c>
      <c r="I237" s="162">
        <v>63</v>
      </c>
      <c r="J237" s="181">
        <f t="shared" si="27"/>
        <v>63</v>
      </c>
      <c r="K237" s="182">
        <f t="shared" si="29"/>
        <v>7</v>
      </c>
      <c r="L237" s="183">
        <v>1033263</v>
      </c>
      <c r="M237" s="181">
        <v>85584</v>
      </c>
      <c r="N237" s="267">
        <f>+L238/M238</f>
        <v>11.905553091558346</v>
      </c>
      <c r="O237" s="301"/>
    </row>
    <row r="238" spans="1:15" ht="15">
      <c r="A238" s="39">
        <v>235</v>
      </c>
      <c r="B238" s="265" t="s">
        <v>53</v>
      </c>
      <c r="C238" s="26">
        <v>40137</v>
      </c>
      <c r="D238" s="27" t="s">
        <v>241</v>
      </c>
      <c r="E238" s="55">
        <v>20</v>
      </c>
      <c r="F238" s="55">
        <v>1</v>
      </c>
      <c r="G238" s="55">
        <v>33</v>
      </c>
      <c r="H238" s="159">
        <v>430</v>
      </c>
      <c r="I238" s="160">
        <v>73</v>
      </c>
      <c r="J238" s="177">
        <f t="shared" si="27"/>
        <v>73</v>
      </c>
      <c r="K238" s="155">
        <f t="shared" si="29"/>
        <v>5.890410958904109</v>
      </c>
      <c r="L238" s="178">
        <v>1046891</v>
      </c>
      <c r="M238" s="179">
        <v>87933</v>
      </c>
      <c r="N238" s="266">
        <f>+L238/M238</f>
        <v>11.905553091558346</v>
      </c>
      <c r="O238" s="303"/>
    </row>
    <row r="239" spans="1:15" ht="15">
      <c r="A239" s="39">
        <v>236</v>
      </c>
      <c r="B239" s="275" t="s">
        <v>53</v>
      </c>
      <c r="C239" s="46">
        <v>40137</v>
      </c>
      <c r="D239" s="27" t="s">
        <v>241</v>
      </c>
      <c r="E239" s="54">
        <v>20</v>
      </c>
      <c r="F239" s="54">
        <v>1</v>
      </c>
      <c r="G239" s="54">
        <v>17</v>
      </c>
      <c r="H239" s="163">
        <v>413</v>
      </c>
      <c r="I239" s="164">
        <v>59</v>
      </c>
      <c r="J239" s="181">
        <f t="shared" si="27"/>
        <v>59</v>
      </c>
      <c r="K239" s="182">
        <f t="shared" si="29"/>
        <v>7</v>
      </c>
      <c r="L239" s="183">
        <f>1034595+1595+413</f>
        <v>1036603</v>
      </c>
      <c r="M239" s="181">
        <f>85844+247+59</f>
        <v>86150</v>
      </c>
      <c r="N239" s="267">
        <f>+L240/M240</f>
        <v>11.910550876394264</v>
      </c>
      <c r="O239" s="303"/>
    </row>
    <row r="240" spans="1:15" ht="15">
      <c r="A240" s="39">
        <v>237</v>
      </c>
      <c r="B240" s="265" t="s">
        <v>53</v>
      </c>
      <c r="C240" s="26">
        <v>40137</v>
      </c>
      <c r="D240" s="27" t="s">
        <v>241</v>
      </c>
      <c r="E240" s="230">
        <v>20</v>
      </c>
      <c r="F240" s="230">
        <v>1</v>
      </c>
      <c r="G240" s="230">
        <v>32</v>
      </c>
      <c r="H240" s="149">
        <v>408</v>
      </c>
      <c r="I240" s="151">
        <v>68</v>
      </c>
      <c r="J240" s="153">
        <f t="shared" si="27"/>
        <v>68</v>
      </c>
      <c r="K240" s="155">
        <f t="shared" si="29"/>
        <v>6</v>
      </c>
      <c r="L240" s="157">
        <v>1046461</v>
      </c>
      <c r="M240" s="158">
        <v>87860</v>
      </c>
      <c r="N240" s="266">
        <f>+L240/M240</f>
        <v>11.910550876394264</v>
      </c>
      <c r="O240" s="303"/>
    </row>
    <row r="241" spans="1:15" ht="15">
      <c r="A241" s="39">
        <v>238</v>
      </c>
      <c r="B241" s="265" t="s">
        <v>53</v>
      </c>
      <c r="C241" s="31">
        <v>40137</v>
      </c>
      <c r="D241" s="27" t="s">
        <v>241</v>
      </c>
      <c r="E241" s="56">
        <v>20</v>
      </c>
      <c r="F241" s="56">
        <v>1</v>
      </c>
      <c r="G241" s="56">
        <v>26</v>
      </c>
      <c r="H241" s="148">
        <v>405</v>
      </c>
      <c r="I241" s="150">
        <v>65</v>
      </c>
      <c r="J241" s="152">
        <f t="shared" si="27"/>
        <v>65</v>
      </c>
      <c r="K241" s="154">
        <f t="shared" si="29"/>
        <v>6.230769230769231</v>
      </c>
      <c r="L241" s="156">
        <f>1034595+1595+413+264+1393+81+1190+1190+1659+245+600+405</f>
        <v>1043630</v>
      </c>
      <c r="M241" s="152">
        <f>85844+247+59+36+214+30+238+238+215+43+120+65</f>
        <v>87349</v>
      </c>
      <c r="N241" s="267">
        <f>+L241/M241</f>
        <v>11.947818521104992</v>
      </c>
      <c r="O241" s="306"/>
    </row>
    <row r="242" spans="1:15" ht="15">
      <c r="A242" s="39">
        <v>239</v>
      </c>
      <c r="B242" s="265" t="s">
        <v>53</v>
      </c>
      <c r="C242" s="31">
        <v>40137</v>
      </c>
      <c r="D242" s="27" t="s">
        <v>241</v>
      </c>
      <c r="E242" s="56">
        <v>20</v>
      </c>
      <c r="F242" s="56">
        <v>1</v>
      </c>
      <c r="G242" s="56">
        <v>27</v>
      </c>
      <c r="H242" s="149">
        <v>348</v>
      </c>
      <c r="I242" s="151">
        <v>48</v>
      </c>
      <c r="J242" s="152">
        <f t="shared" si="27"/>
        <v>48</v>
      </c>
      <c r="K242" s="154">
        <f t="shared" si="29"/>
        <v>7.25</v>
      </c>
      <c r="L242" s="156">
        <f>1043630+348</f>
        <v>1043978</v>
      </c>
      <c r="M242" s="152">
        <f>87349+48</f>
        <v>87397</v>
      </c>
      <c r="N242" s="267">
        <f>+L242/M242</f>
        <v>11.94523839491058</v>
      </c>
      <c r="O242" s="310"/>
    </row>
    <row r="243" spans="1:15" ht="15">
      <c r="A243" s="39">
        <v>240</v>
      </c>
      <c r="B243" s="265" t="s">
        <v>53</v>
      </c>
      <c r="C243" s="31">
        <v>40137</v>
      </c>
      <c r="D243" s="32" t="s">
        <v>241</v>
      </c>
      <c r="E243" s="56">
        <v>20</v>
      </c>
      <c r="F243" s="56">
        <v>1</v>
      </c>
      <c r="G243" s="56">
        <v>28</v>
      </c>
      <c r="H243" s="149">
        <v>338</v>
      </c>
      <c r="I243" s="151">
        <v>53</v>
      </c>
      <c r="J243" s="152">
        <f t="shared" si="27"/>
        <v>53</v>
      </c>
      <c r="K243" s="154">
        <f t="shared" si="29"/>
        <v>6.377358490566038</v>
      </c>
      <c r="L243" s="156">
        <v>1044316</v>
      </c>
      <c r="M243" s="152">
        <v>87450</v>
      </c>
      <c r="N243" s="267">
        <f>+L243/M243</f>
        <v>11.94186392224128</v>
      </c>
      <c r="O243" s="303"/>
    </row>
    <row r="244" spans="1:15" ht="15">
      <c r="A244" s="39">
        <v>241</v>
      </c>
      <c r="B244" s="268" t="s">
        <v>53</v>
      </c>
      <c r="C244" s="31">
        <v>40137</v>
      </c>
      <c r="D244" s="27" t="s">
        <v>241</v>
      </c>
      <c r="E244" s="56">
        <v>20</v>
      </c>
      <c r="F244" s="56">
        <v>1</v>
      </c>
      <c r="G244" s="56">
        <v>12</v>
      </c>
      <c r="H244" s="161">
        <v>301</v>
      </c>
      <c r="I244" s="150">
        <v>43</v>
      </c>
      <c r="J244" s="152">
        <f t="shared" si="27"/>
        <v>43</v>
      </c>
      <c r="K244" s="154">
        <f t="shared" si="29"/>
        <v>7</v>
      </c>
      <c r="L244" s="156">
        <f>1032521+301</f>
        <v>1032822</v>
      </c>
      <c r="M244" s="152">
        <f>85478+43</f>
        <v>85521</v>
      </c>
      <c r="N244" s="267">
        <f>+L245/M245</f>
        <v>12.030573410994824</v>
      </c>
      <c r="O244" s="331"/>
    </row>
    <row r="245" spans="1:15" ht="15">
      <c r="A245" s="39">
        <v>242</v>
      </c>
      <c r="B245" s="275" t="s">
        <v>53</v>
      </c>
      <c r="C245" s="46">
        <v>40137</v>
      </c>
      <c r="D245" s="27" t="s">
        <v>241</v>
      </c>
      <c r="E245" s="54">
        <v>20</v>
      </c>
      <c r="F245" s="54">
        <v>1</v>
      </c>
      <c r="G245" s="54">
        <v>18</v>
      </c>
      <c r="H245" s="163">
        <v>264</v>
      </c>
      <c r="I245" s="164">
        <v>36</v>
      </c>
      <c r="J245" s="181">
        <f t="shared" si="27"/>
        <v>36</v>
      </c>
      <c r="K245" s="182">
        <f t="shared" si="29"/>
        <v>7.333333333333333</v>
      </c>
      <c r="L245" s="183">
        <f>1034595+1595+413+264</f>
        <v>1036867</v>
      </c>
      <c r="M245" s="181">
        <f>85844+247+59+36</f>
        <v>86186</v>
      </c>
      <c r="N245" s="266">
        <f>+L246/M246</f>
        <v>11.961647010233582</v>
      </c>
      <c r="O245" s="303"/>
    </row>
    <row r="246" spans="1:15" ht="15">
      <c r="A246" s="39">
        <v>243</v>
      </c>
      <c r="B246" s="265" t="s">
        <v>53</v>
      </c>
      <c r="C246" s="31">
        <v>40137</v>
      </c>
      <c r="D246" s="27" t="s">
        <v>241</v>
      </c>
      <c r="E246" s="54">
        <v>20</v>
      </c>
      <c r="F246" s="54">
        <v>1</v>
      </c>
      <c r="G246" s="54">
        <v>24</v>
      </c>
      <c r="H246" s="163">
        <v>245</v>
      </c>
      <c r="I246" s="164">
        <v>43</v>
      </c>
      <c r="J246" s="181">
        <f t="shared" si="27"/>
        <v>43</v>
      </c>
      <c r="K246" s="182">
        <f t="shared" si="29"/>
        <v>5.6976744186046515</v>
      </c>
      <c r="L246" s="183">
        <f>1034595+1595+413+264+1393+81+1190+1190+1659+245</f>
        <v>1042625</v>
      </c>
      <c r="M246" s="181">
        <f>85844+247+59+36+214+30+238+238+215+43</f>
        <v>87164</v>
      </c>
      <c r="N246" s="270">
        <f>+L246/M246</f>
        <v>11.961647010233582</v>
      </c>
      <c r="O246" s="304"/>
    </row>
    <row r="247" spans="1:15" ht="15">
      <c r="A247" s="39">
        <v>244</v>
      </c>
      <c r="B247" s="268" t="s">
        <v>53</v>
      </c>
      <c r="C247" s="46">
        <v>40137</v>
      </c>
      <c r="D247" s="27" t="s">
        <v>241</v>
      </c>
      <c r="E247" s="54">
        <v>20</v>
      </c>
      <c r="F247" s="54">
        <v>1</v>
      </c>
      <c r="G247" s="54">
        <v>15</v>
      </c>
      <c r="H247" s="163">
        <v>144</v>
      </c>
      <c r="I247" s="164">
        <v>22</v>
      </c>
      <c r="J247" s="181">
        <f t="shared" si="27"/>
        <v>22</v>
      </c>
      <c r="K247" s="182">
        <f t="shared" si="29"/>
        <v>6.545454545454546</v>
      </c>
      <c r="L247" s="183">
        <v>1034595</v>
      </c>
      <c r="M247" s="181">
        <v>85844</v>
      </c>
      <c r="N247" s="267">
        <f>+L248/M248</f>
        <v>12.013664236954762</v>
      </c>
      <c r="O247" s="301"/>
    </row>
    <row r="248" spans="1:15" ht="15">
      <c r="A248" s="39">
        <v>245</v>
      </c>
      <c r="B248" s="265" t="s">
        <v>53</v>
      </c>
      <c r="C248" s="26">
        <v>40137</v>
      </c>
      <c r="D248" s="27" t="s">
        <v>241</v>
      </c>
      <c r="E248" s="55">
        <v>20</v>
      </c>
      <c r="F248" s="55">
        <v>1</v>
      </c>
      <c r="G248" s="55">
        <v>20</v>
      </c>
      <c r="H248" s="159">
        <v>81</v>
      </c>
      <c r="I248" s="160">
        <v>30</v>
      </c>
      <c r="J248" s="177">
        <f t="shared" si="27"/>
        <v>30</v>
      </c>
      <c r="K248" s="180">
        <f t="shared" si="29"/>
        <v>2.7</v>
      </c>
      <c r="L248" s="178">
        <f>1034595+1595+413+264+1393+81</f>
        <v>1038341</v>
      </c>
      <c r="M248" s="179">
        <f>85844+247+59+36+214+30</f>
        <v>86430</v>
      </c>
      <c r="N248" s="267">
        <f>L249/M249</f>
        <v>11.941503350179515</v>
      </c>
      <c r="O248" s="303"/>
    </row>
    <row r="249" spans="1:15" ht="15">
      <c r="A249" s="39">
        <v>246</v>
      </c>
      <c r="B249" s="265" t="s">
        <v>53</v>
      </c>
      <c r="C249" s="31">
        <v>40137</v>
      </c>
      <c r="D249" s="32" t="s">
        <v>241</v>
      </c>
      <c r="E249" s="56">
        <v>20</v>
      </c>
      <c r="F249" s="56">
        <v>1</v>
      </c>
      <c r="G249" s="56">
        <v>29</v>
      </c>
      <c r="H249" s="149">
        <v>64</v>
      </c>
      <c r="I249" s="151">
        <v>8</v>
      </c>
      <c r="J249" s="152">
        <f t="shared" si="27"/>
        <v>8</v>
      </c>
      <c r="K249" s="154">
        <f t="shared" si="29"/>
        <v>8</v>
      </c>
      <c r="L249" s="156">
        <f>1044316+64</f>
        <v>1044380</v>
      </c>
      <c r="M249" s="152">
        <f>87450+8</f>
        <v>87458</v>
      </c>
      <c r="N249" s="267">
        <f>+L249/M249</f>
        <v>11.941503350179515</v>
      </c>
      <c r="O249" s="301"/>
    </row>
    <row r="250" spans="1:15" ht="15">
      <c r="A250" s="39">
        <v>247</v>
      </c>
      <c r="B250" s="265" t="s">
        <v>381</v>
      </c>
      <c r="C250" s="31">
        <v>40137</v>
      </c>
      <c r="D250" s="27" t="s">
        <v>241</v>
      </c>
      <c r="E250" s="229">
        <v>20</v>
      </c>
      <c r="F250" s="229">
        <v>1</v>
      </c>
      <c r="G250" s="229">
        <v>37</v>
      </c>
      <c r="H250" s="161">
        <v>206</v>
      </c>
      <c r="I250" s="150">
        <v>29</v>
      </c>
      <c r="J250" s="152">
        <f t="shared" si="27"/>
        <v>29</v>
      </c>
      <c r="K250" s="154">
        <f t="shared" si="29"/>
        <v>7.103448275862069</v>
      </c>
      <c r="L250" s="156">
        <v>1048659</v>
      </c>
      <c r="M250" s="152">
        <v>88176</v>
      </c>
      <c r="N250" s="267">
        <f>+L250/M250</f>
        <v>11.892793957539466</v>
      </c>
      <c r="O250" s="315"/>
    </row>
    <row r="251" spans="1:15" ht="15">
      <c r="A251" s="39">
        <v>248</v>
      </c>
      <c r="B251" s="268" t="s">
        <v>165</v>
      </c>
      <c r="C251" s="31">
        <v>40123</v>
      </c>
      <c r="D251" s="28" t="s">
        <v>244</v>
      </c>
      <c r="E251" s="56">
        <v>25</v>
      </c>
      <c r="F251" s="56">
        <v>1</v>
      </c>
      <c r="G251" s="56">
        <v>9</v>
      </c>
      <c r="H251" s="148">
        <v>1423</v>
      </c>
      <c r="I251" s="162">
        <v>285</v>
      </c>
      <c r="J251" s="181">
        <f t="shared" si="27"/>
        <v>285</v>
      </c>
      <c r="K251" s="182">
        <f t="shared" si="29"/>
        <v>4.992982456140351</v>
      </c>
      <c r="L251" s="183">
        <v>272726</v>
      </c>
      <c r="M251" s="181">
        <v>22531</v>
      </c>
      <c r="N251" s="266">
        <f>L252/M252</f>
        <v>11.545839801955273</v>
      </c>
      <c r="O251" s="309"/>
    </row>
    <row r="252" spans="1:15" ht="15">
      <c r="A252" s="39">
        <v>249</v>
      </c>
      <c r="B252" s="265" t="s">
        <v>96</v>
      </c>
      <c r="C252" s="31">
        <v>40102</v>
      </c>
      <c r="D252" s="27" t="s">
        <v>261</v>
      </c>
      <c r="E252" s="229">
        <v>22</v>
      </c>
      <c r="F252" s="229">
        <v>1</v>
      </c>
      <c r="G252" s="229">
        <v>10</v>
      </c>
      <c r="H252" s="161">
        <v>404</v>
      </c>
      <c r="I252" s="150">
        <v>69</v>
      </c>
      <c r="J252" s="152">
        <f>(I252/F252)</f>
        <v>69</v>
      </c>
      <c r="K252" s="154">
        <f t="shared" si="29"/>
        <v>5.855072463768116</v>
      </c>
      <c r="L252" s="156">
        <f>129717.5+110957+18478+6527+6853.5+1081.5+738.5+250+165+404</f>
        <v>275172</v>
      </c>
      <c r="M252" s="152">
        <f>10402+8975+1885+691+1109+369+262+48+23+69</f>
        <v>23833</v>
      </c>
      <c r="N252" s="267">
        <f>L252/M252</f>
        <v>11.545839801955273</v>
      </c>
      <c r="O252" s="308"/>
    </row>
    <row r="253" spans="1:15" ht="15">
      <c r="A253" s="39">
        <v>250</v>
      </c>
      <c r="B253" s="268" t="s">
        <v>96</v>
      </c>
      <c r="C253" s="31">
        <v>40102</v>
      </c>
      <c r="D253" s="32" t="s">
        <v>242</v>
      </c>
      <c r="E253" s="56">
        <v>22</v>
      </c>
      <c r="F253" s="56">
        <v>1</v>
      </c>
      <c r="G253" s="56">
        <v>6</v>
      </c>
      <c r="H253" s="159">
        <v>1081.5</v>
      </c>
      <c r="I253" s="160">
        <v>369</v>
      </c>
      <c r="J253" s="177">
        <f>(I253/F253)</f>
        <v>369</v>
      </c>
      <c r="K253" s="180">
        <f t="shared" si="29"/>
        <v>2.930894308943089</v>
      </c>
      <c r="L253" s="178">
        <f>129717.5+110957+18478+6527+6853.5+1081.5</f>
        <v>273614.5</v>
      </c>
      <c r="M253" s="179">
        <f>10402+8975+1885+691+1109+369</f>
        <v>23431</v>
      </c>
      <c r="N253" s="266">
        <f>L254/M254</f>
        <v>11.579496053686743</v>
      </c>
      <c r="O253" s="308"/>
    </row>
    <row r="254" spans="1:15" ht="15">
      <c r="A254" s="39">
        <v>251</v>
      </c>
      <c r="B254" s="269" t="s">
        <v>96</v>
      </c>
      <c r="C254" s="34">
        <v>40102</v>
      </c>
      <c r="D254" s="32" t="s">
        <v>242</v>
      </c>
      <c r="E254" s="57">
        <v>22</v>
      </c>
      <c r="F254" s="57">
        <v>2</v>
      </c>
      <c r="G254" s="57">
        <v>7</v>
      </c>
      <c r="H254" s="159">
        <v>738.5</v>
      </c>
      <c r="I254" s="151">
        <v>262</v>
      </c>
      <c r="J254" s="153">
        <f>(I254/F254)</f>
        <v>131</v>
      </c>
      <c r="K254" s="155">
        <f t="shared" si="29"/>
        <v>2.818702290076336</v>
      </c>
      <c r="L254" s="178">
        <f>129717.5+110957+18478+6527+6853.5+1081.5+738.5</f>
        <v>274353</v>
      </c>
      <c r="M254" s="158">
        <f>10402+8975+1885+691+1109+369+262</f>
        <v>23693</v>
      </c>
      <c r="N254" s="277">
        <f>+L255/M255</f>
        <v>11.566614717155975</v>
      </c>
      <c r="O254" s="303"/>
    </row>
    <row r="255" spans="1:15" ht="15">
      <c r="A255" s="39">
        <v>252</v>
      </c>
      <c r="B255" s="265" t="s">
        <v>96</v>
      </c>
      <c r="C255" s="26">
        <v>40102</v>
      </c>
      <c r="D255" s="27" t="s">
        <v>261</v>
      </c>
      <c r="E255" s="55">
        <v>22</v>
      </c>
      <c r="F255" s="55">
        <v>1</v>
      </c>
      <c r="G255" s="55">
        <v>8</v>
      </c>
      <c r="H255" s="159">
        <v>250</v>
      </c>
      <c r="I255" s="160">
        <v>48</v>
      </c>
      <c r="J255" s="177">
        <f>I255/F255</f>
        <v>48</v>
      </c>
      <c r="K255" s="155">
        <f t="shared" si="29"/>
        <v>5.208333333333333</v>
      </c>
      <c r="L255" s="178">
        <f>129717.5+110957+18478+6527+6853.5+1081.5+738.5+250</f>
        <v>274603</v>
      </c>
      <c r="M255" s="179">
        <f>10402+8975+1885+691+1109+369+262+48</f>
        <v>23741</v>
      </c>
      <c r="N255" s="266">
        <f>+L255/M255</f>
        <v>11.566614717155975</v>
      </c>
      <c r="O255" s="303"/>
    </row>
    <row r="256" spans="1:15" ht="15">
      <c r="A256" s="39">
        <v>253</v>
      </c>
      <c r="B256" s="265" t="s">
        <v>96</v>
      </c>
      <c r="C256" s="26">
        <v>40102</v>
      </c>
      <c r="D256" s="27" t="s">
        <v>242</v>
      </c>
      <c r="E256" s="55">
        <v>22</v>
      </c>
      <c r="F256" s="55">
        <v>1</v>
      </c>
      <c r="G256" s="55">
        <v>9</v>
      </c>
      <c r="H256" s="159">
        <v>165</v>
      </c>
      <c r="I256" s="160">
        <v>23</v>
      </c>
      <c r="J256" s="177">
        <f>(I256/F256)</f>
        <v>23</v>
      </c>
      <c r="K256" s="155">
        <f t="shared" si="29"/>
        <v>7.173913043478261</v>
      </c>
      <c r="L256" s="178">
        <f>129717.5+110957+18478+6527+6853.5+1081.5+738.5+250+165</f>
        <v>274768</v>
      </c>
      <c r="M256" s="179">
        <f>10402+8975+1885+691+1109+369+262+48+23</f>
        <v>23764</v>
      </c>
      <c r="N256" s="266">
        <f>L256/M256</f>
        <v>11.562363238512035</v>
      </c>
      <c r="O256" s="331"/>
    </row>
    <row r="257" spans="1:15" ht="15">
      <c r="A257" s="39">
        <v>254</v>
      </c>
      <c r="B257" s="278" t="s">
        <v>59</v>
      </c>
      <c r="C257" s="36">
        <v>40172</v>
      </c>
      <c r="D257" s="35" t="s">
        <v>240</v>
      </c>
      <c r="E257" s="59">
        <v>51</v>
      </c>
      <c r="F257" s="59">
        <v>51</v>
      </c>
      <c r="G257" s="59">
        <v>2</v>
      </c>
      <c r="H257" s="172">
        <v>175309</v>
      </c>
      <c r="I257" s="173">
        <v>14721</v>
      </c>
      <c r="J257" s="197">
        <f aca="true" t="shared" si="30" ref="J257:J262">I257/F257</f>
        <v>288.6470588235294</v>
      </c>
      <c r="K257" s="196">
        <f>+H257/I257</f>
        <v>11.908769784661368</v>
      </c>
      <c r="L257" s="198">
        <v>448889</v>
      </c>
      <c r="M257" s="197">
        <v>39522</v>
      </c>
      <c r="N257" s="267">
        <f>+L258/M258</f>
        <v>11.335329864906221</v>
      </c>
      <c r="O257" s="303"/>
    </row>
    <row r="258" spans="1:15" ht="15">
      <c r="A258" s="39">
        <v>255</v>
      </c>
      <c r="B258" s="268" t="s">
        <v>59</v>
      </c>
      <c r="C258" s="31">
        <v>40172</v>
      </c>
      <c r="D258" s="35" t="s">
        <v>240</v>
      </c>
      <c r="E258" s="56">
        <v>51</v>
      </c>
      <c r="F258" s="56">
        <v>38</v>
      </c>
      <c r="G258" s="56">
        <v>3</v>
      </c>
      <c r="H258" s="148">
        <v>69657</v>
      </c>
      <c r="I258" s="162">
        <v>6224</v>
      </c>
      <c r="J258" s="181">
        <f t="shared" si="30"/>
        <v>163.78947368421052</v>
      </c>
      <c r="K258" s="182">
        <f>+H258/I258</f>
        <v>11.19167737789203</v>
      </c>
      <c r="L258" s="183">
        <v>518546</v>
      </c>
      <c r="M258" s="181">
        <v>45746</v>
      </c>
      <c r="N258" s="267">
        <f>+L259/M259</f>
        <v>11.211845296345148</v>
      </c>
      <c r="O258" s="331"/>
    </row>
    <row r="259" spans="1:15" ht="15">
      <c r="A259" s="39">
        <v>256</v>
      </c>
      <c r="B259" s="268" t="s">
        <v>59</v>
      </c>
      <c r="C259" s="31">
        <v>40172</v>
      </c>
      <c r="D259" s="35" t="s">
        <v>240</v>
      </c>
      <c r="E259" s="56">
        <v>51</v>
      </c>
      <c r="F259" s="56">
        <v>12</v>
      </c>
      <c r="G259" s="56">
        <v>4</v>
      </c>
      <c r="H259" s="148">
        <v>8478</v>
      </c>
      <c r="I259" s="150">
        <v>1260</v>
      </c>
      <c r="J259" s="152">
        <f t="shared" si="30"/>
        <v>105</v>
      </c>
      <c r="K259" s="154">
        <f>+H259/I259</f>
        <v>6.728571428571429</v>
      </c>
      <c r="L259" s="183">
        <v>527024</v>
      </c>
      <c r="M259" s="152">
        <v>47006</v>
      </c>
      <c r="N259" s="267">
        <f>+L260/M260</f>
        <v>11.19604518576606</v>
      </c>
      <c r="O259" s="301"/>
    </row>
    <row r="260" spans="1:15" ht="15">
      <c r="A260" s="39">
        <v>257</v>
      </c>
      <c r="B260" s="268" t="s">
        <v>59</v>
      </c>
      <c r="C260" s="31">
        <v>40172</v>
      </c>
      <c r="D260" s="35" t="s">
        <v>240</v>
      </c>
      <c r="E260" s="56">
        <v>51</v>
      </c>
      <c r="F260" s="56">
        <v>1</v>
      </c>
      <c r="G260" s="56">
        <v>5</v>
      </c>
      <c r="H260" s="161">
        <v>1239</v>
      </c>
      <c r="I260" s="150">
        <v>177</v>
      </c>
      <c r="J260" s="152">
        <f t="shared" si="30"/>
        <v>177</v>
      </c>
      <c r="K260" s="154">
        <f>+H260/I260</f>
        <v>7</v>
      </c>
      <c r="L260" s="156">
        <v>528263</v>
      </c>
      <c r="M260" s="152">
        <v>47183</v>
      </c>
      <c r="N260" s="272">
        <f>IF(L261&lt;&gt;0,L261/M261,"")</f>
        <v>7.506848730247879</v>
      </c>
      <c r="O260" s="302"/>
    </row>
    <row r="261" spans="1:15" ht="15">
      <c r="A261" s="39">
        <v>258</v>
      </c>
      <c r="B261" s="265" t="s">
        <v>308</v>
      </c>
      <c r="C261" s="26">
        <v>40172</v>
      </c>
      <c r="D261" s="27" t="s">
        <v>259</v>
      </c>
      <c r="E261" s="230">
        <v>196</v>
      </c>
      <c r="F261" s="230">
        <v>1</v>
      </c>
      <c r="G261" s="230">
        <v>13</v>
      </c>
      <c r="H261" s="149">
        <v>145</v>
      </c>
      <c r="I261" s="151">
        <v>29</v>
      </c>
      <c r="J261" s="153">
        <f t="shared" si="30"/>
        <v>29</v>
      </c>
      <c r="K261" s="155">
        <f>H261/I261</f>
        <v>5</v>
      </c>
      <c r="L261" s="157">
        <f>821982.75+546264.5+300546.5+218412+49105+23614+196+9844+340-11+2445+535+1144+3612+145</f>
        <v>1978174.75</v>
      </c>
      <c r="M261" s="158">
        <f>109740+66898+39464+31918+7910+4204-8+1658-1+56+431+18+107+206+886+29</f>
        <v>263516</v>
      </c>
      <c r="N261" s="266">
        <f>+L261/M261</f>
        <v>7.506848730247879</v>
      </c>
      <c r="O261" s="308"/>
    </row>
    <row r="262" spans="1:15" ht="15">
      <c r="A262" s="39">
        <v>259</v>
      </c>
      <c r="B262" s="265" t="s">
        <v>406</v>
      </c>
      <c r="C262" s="31">
        <v>40172</v>
      </c>
      <c r="D262" s="27" t="s">
        <v>47</v>
      </c>
      <c r="E262" s="229">
        <v>196</v>
      </c>
      <c r="F262" s="229">
        <v>1</v>
      </c>
      <c r="G262" s="229">
        <v>15</v>
      </c>
      <c r="H262" s="161">
        <v>3597</v>
      </c>
      <c r="I262" s="150">
        <v>600</v>
      </c>
      <c r="J262" s="152">
        <f t="shared" si="30"/>
        <v>600</v>
      </c>
      <c r="K262" s="154">
        <f>+H262/I262</f>
        <v>5.995</v>
      </c>
      <c r="L262" s="156">
        <f>821982.75+546264.5+300546.5+218412+49105+23614+196+9844+340-11+2445+535+1144+3612+145+369+3597</f>
        <v>1982140.75</v>
      </c>
      <c r="M262" s="152">
        <f>109740+66898+39464+31918+7910+4204-8+1658-1+56+431+18+107+206+886+29+105+600</f>
        <v>264221</v>
      </c>
      <c r="N262" s="267">
        <f>+L262/M262</f>
        <v>7.50182896136189</v>
      </c>
      <c r="O262" s="349">
        <v>1</v>
      </c>
    </row>
    <row r="263" spans="1:15" ht="15">
      <c r="A263" s="39">
        <v>260</v>
      </c>
      <c r="B263" s="268" t="s">
        <v>133</v>
      </c>
      <c r="C263" s="31">
        <v>40172</v>
      </c>
      <c r="D263" s="33" t="s">
        <v>47</v>
      </c>
      <c r="E263" s="56">
        <v>196</v>
      </c>
      <c r="F263" s="56">
        <v>196</v>
      </c>
      <c r="G263" s="56">
        <v>2</v>
      </c>
      <c r="H263" s="148">
        <v>546264.5</v>
      </c>
      <c r="I263" s="162">
        <v>66898</v>
      </c>
      <c r="J263" s="187">
        <f>IF(H263&lt;&gt;0,I263/F263,"")</f>
        <v>341.31632653061223</v>
      </c>
      <c r="K263" s="185">
        <f>IF(H263&lt;&gt;0,H263/I263,"")</f>
        <v>8.165632754342433</v>
      </c>
      <c r="L263" s="183">
        <f>821982.75+546264.5</f>
        <v>1368247.25</v>
      </c>
      <c r="M263" s="181">
        <f>109740+66898</f>
        <v>176638</v>
      </c>
      <c r="N263" s="267">
        <f>+L264/M264</f>
        <v>7.722250372509278</v>
      </c>
      <c r="O263" s="331"/>
    </row>
    <row r="264" spans="1:15" ht="15">
      <c r="A264" s="39">
        <v>261</v>
      </c>
      <c r="B264" s="268" t="s">
        <v>62</v>
      </c>
      <c r="C264" s="31">
        <v>40172</v>
      </c>
      <c r="D264" s="32" t="s">
        <v>47</v>
      </c>
      <c r="E264" s="56">
        <v>196</v>
      </c>
      <c r="F264" s="56">
        <v>183</v>
      </c>
      <c r="G264" s="56">
        <v>3</v>
      </c>
      <c r="H264" s="148">
        <v>300546.5</v>
      </c>
      <c r="I264" s="162">
        <v>39464</v>
      </c>
      <c r="J264" s="181">
        <f>I264/F264</f>
        <v>215.65027322404373</v>
      </c>
      <c r="K264" s="182">
        <f>+H264/I264</f>
        <v>7.615713054936144</v>
      </c>
      <c r="L264" s="183">
        <f>821982.75+546264.5+300546.5</f>
        <v>1668793.75</v>
      </c>
      <c r="M264" s="181">
        <f>109740+66898+39464</f>
        <v>216102</v>
      </c>
      <c r="N264" s="267">
        <f>+L265/M265</f>
        <v>7.609086968792839</v>
      </c>
      <c r="O264" s="303"/>
    </row>
    <row r="265" spans="1:15" ht="15">
      <c r="A265" s="39">
        <v>262</v>
      </c>
      <c r="B265" s="268" t="s">
        <v>133</v>
      </c>
      <c r="C265" s="31">
        <v>40172</v>
      </c>
      <c r="D265" s="32" t="s">
        <v>47</v>
      </c>
      <c r="E265" s="56">
        <v>196</v>
      </c>
      <c r="F265" s="56">
        <v>148</v>
      </c>
      <c r="G265" s="56">
        <v>4</v>
      </c>
      <c r="H265" s="148">
        <v>218412</v>
      </c>
      <c r="I265" s="150">
        <v>31918</v>
      </c>
      <c r="J265" s="184">
        <f>+I265/F265</f>
        <v>215.66216216216216</v>
      </c>
      <c r="K265" s="185">
        <f>+H265/I265</f>
        <v>6.842909956764208</v>
      </c>
      <c r="L265" s="183">
        <f>821982.75+546264.5+300546.5+218412</f>
        <v>1887205.75</v>
      </c>
      <c r="M265" s="152">
        <f>109740+66898+39464+31918</f>
        <v>248020</v>
      </c>
      <c r="N265" s="266">
        <f>+L266/M266</f>
        <v>7.565782635876998</v>
      </c>
      <c r="O265" s="303"/>
    </row>
    <row r="266" spans="1:15" ht="15">
      <c r="A266" s="39">
        <v>263</v>
      </c>
      <c r="B266" s="268" t="s">
        <v>133</v>
      </c>
      <c r="C266" s="31">
        <v>40172</v>
      </c>
      <c r="D266" s="30" t="s">
        <v>47</v>
      </c>
      <c r="E266" s="56">
        <v>196</v>
      </c>
      <c r="F266" s="56">
        <v>25</v>
      </c>
      <c r="G266" s="56">
        <v>5</v>
      </c>
      <c r="H266" s="161">
        <v>49105</v>
      </c>
      <c r="I266" s="150">
        <v>7919</v>
      </c>
      <c r="J266" s="153">
        <f>I266/F266</f>
        <v>316.76</v>
      </c>
      <c r="K266" s="155">
        <f>H266/I266</f>
        <v>6.2009092057077915</v>
      </c>
      <c r="L266" s="156">
        <f>821982.75+546264.5+300546.5+218412+49105</f>
        <v>1936310.75</v>
      </c>
      <c r="M266" s="152">
        <f>109740+66898+39464+31918+7910</f>
        <v>255930</v>
      </c>
      <c r="N266" s="267">
        <f>L267/M267</f>
        <v>7.535274251708787</v>
      </c>
      <c r="O266" s="303"/>
    </row>
    <row r="267" spans="1:15" ht="15">
      <c r="A267" s="39">
        <v>264</v>
      </c>
      <c r="B267" s="268" t="s">
        <v>133</v>
      </c>
      <c r="C267" s="31">
        <v>40172</v>
      </c>
      <c r="D267" s="28" t="s">
        <v>47</v>
      </c>
      <c r="E267" s="56">
        <v>196</v>
      </c>
      <c r="F267" s="56">
        <v>16</v>
      </c>
      <c r="G267" s="56">
        <v>6</v>
      </c>
      <c r="H267" s="161">
        <v>23614</v>
      </c>
      <c r="I267" s="150">
        <v>4204</v>
      </c>
      <c r="J267" s="152">
        <f>I267/F267</f>
        <v>262.75</v>
      </c>
      <c r="K267" s="154">
        <f>H267/I267</f>
        <v>5.617031398667935</v>
      </c>
      <c r="L267" s="156">
        <f>821982.75+546264.5+300546.5+218412+49105+23614+196</f>
        <v>1960120.75</v>
      </c>
      <c r="M267" s="152">
        <f>109740+66898+39464+31918+7910+4204-8</f>
        <v>260126</v>
      </c>
      <c r="N267" s="267">
        <f>L268/M268</f>
        <v>7.525182116485792</v>
      </c>
      <c r="O267" s="301"/>
    </row>
    <row r="268" spans="1:15" ht="15">
      <c r="A268" s="39">
        <v>265</v>
      </c>
      <c r="B268" s="268" t="s">
        <v>133</v>
      </c>
      <c r="C268" s="31">
        <v>40172</v>
      </c>
      <c r="D268" s="28" t="s">
        <v>47</v>
      </c>
      <c r="E268" s="56">
        <v>196</v>
      </c>
      <c r="F268" s="56">
        <v>14</v>
      </c>
      <c r="G268" s="56">
        <v>7</v>
      </c>
      <c r="H268" s="161">
        <v>9844</v>
      </c>
      <c r="I268" s="150">
        <v>1658</v>
      </c>
      <c r="J268" s="152">
        <f>(I268/F268)</f>
        <v>118.42857142857143</v>
      </c>
      <c r="K268" s="154">
        <f>(J268/G268)</f>
        <v>16.918367346938776</v>
      </c>
      <c r="L268" s="156">
        <f>821982.75+546264.5+300546.5+218412+49105+23614+196+9844</f>
        <v>1969964.75</v>
      </c>
      <c r="M268" s="152">
        <f>109740+66898+39464+31918+7910+4204-8+1658-1</f>
        <v>261783</v>
      </c>
      <c r="N268" s="267">
        <f>+L269/M269</f>
        <v>7.507124639925309</v>
      </c>
      <c r="O268" s="304">
        <v>1</v>
      </c>
    </row>
    <row r="269" spans="1:15" ht="15">
      <c r="A269" s="39">
        <v>266</v>
      </c>
      <c r="B269" s="275" t="s">
        <v>133</v>
      </c>
      <c r="C269" s="31">
        <v>40172</v>
      </c>
      <c r="D269" s="32" t="s">
        <v>47</v>
      </c>
      <c r="E269" s="54">
        <v>196</v>
      </c>
      <c r="F269" s="54">
        <v>1</v>
      </c>
      <c r="G269" s="54">
        <v>12</v>
      </c>
      <c r="H269" s="163">
        <v>3612</v>
      </c>
      <c r="I269" s="164">
        <v>886</v>
      </c>
      <c r="J269" s="181">
        <f>I269/F269</f>
        <v>886</v>
      </c>
      <c r="K269" s="182">
        <f>H269/I269</f>
        <v>4.076749435665914</v>
      </c>
      <c r="L269" s="183">
        <f>821982.75+546264.5+300546.5+218412+49105+23614+196+9844+340-11+2445+535+1144+3612</f>
        <v>1978029.75</v>
      </c>
      <c r="M269" s="181">
        <f>109740+66898+39464+31918+7910+4204-8+1658-1+56+431+18+107+206+886</f>
        <v>263487</v>
      </c>
      <c r="N269" s="270">
        <f>+L269/M269</f>
        <v>7.507124639925309</v>
      </c>
      <c r="O269" s="303"/>
    </row>
    <row r="270" spans="1:15" ht="15">
      <c r="A270" s="39">
        <v>267</v>
      </c>
      <c r="B270" s="279" t="s">
        <v>166</v>
      </c>
      <c r="C270" s="31">
        <v>40172</v>
      </c>
      <c r="D270" s="47" t="s">
        <v>47</v>
      </c>
      <c r="E270" s="56">
        <v>196</v>
      </c>
      <c r="F270" s="56">
        <v>2</v>
      </c>
      <c r="G270" s="56">
        <v>9</v>
      </c>
      <c r="H270" s="148">
        <v>2445</v>
      </c>
      <c r="I270" s="162">
        <v>431</v>
      </c>
      <c r="J270" s="181">
        <f>I270/F270</f>
        <v>215.5</v>
      </c>
      <c r="K270" s="182">
        <f>H270/I270</f>
        <v>5.672853828306264</v>
      </c>
      <c r="L270" s="183">
        <f>821982.75+546264.5+300546.5+218412+49105+23614+196+9844+340-11+2445</f>
        <v>1972738.75</v>
      </c>
      <c r="M270" s="181">
        <f>109740+66898+39464+31918+7910+4204-8+1658-1+56+431+18</f>
        <v>262288</v>
      </c>
      <c r="N270" s="267">
        <f>+L271/M271</f>
        <v>7.518698519807617</v>
      </c>
      <c r="O270" s="302"/>
    </row>
    <row r="271" spans="1:15" ht="15">
      <c r="A271" s="39">
        <v>268</v>
      </c>
      <c r="B271" s="275" t="s">
        <v>133</v>
      </c>
      <c r="C271" s="31">
        <v>40172</v>
      </c>
      <c r="D271" s="32" t="s">
        <v>47</v>
      </c>
      <c r="E271" s="54">
        <v>196</v>
      </c>
      <c r="F271" s="54">
        <v>1</v>
      </c>
      <c r="G271" s="54">
        <v>11</v>
      </c>
      <c r="H271" s="163">
        <v>1144</v>
      </c>
      <c r="I271" s="164">
        <v>206</v>
      </c>
      <c r="J271" s="181">
        <f>I271/F271</f>
        <v>206</v>
      </c>
      <c r="K271" s="182">
        <f>H271/I271</f>
        <v>5.553398058252427</v>
      </c>
      <c r="L271" s="183">
        <f>821982.75+546264.5+300546.5+218412+49105+23614+196+9844+340-11+2445+535+1144</f>
        <v>1974417.75</v>
      </c>
      <c r="M271" s="181">
        <f>109740+66898+39464+31918+7910+4204-8+1658-1+56+431+18+107+206</f>
        <v>262601</v>
      </c>
      <c r="N271" s="272">
        <f>+L272/M272</f>
        <v>7.520241429905296</v>
      </c>
      <c r="O271" s="303"/>
    </row>
    <row r="272" spans="1:15" ht="15">
      <c r="A272" s="39">
        <v>269</v>
      </c>
      <c r="B272" s="268" t="s">
        <v>62</v>
      </c>
      <c r="C272" s="46">
        <v>40172</v>
      </c>
      <c r="D272" s="47" t="s">
        <v>47</v>
      </c>
      <c r="E272" s="54">
        <v>196</v>
      </c>
      <c r="F272" s="54">
        <v>1</v>
      </c>
      <c r="G272" s="54">
        <v>10</v>
      </c>
      <c r="H272" s="163">
        <v>535</v>
      </c>
      <c r="I272" s="164">
        <v>107</v>
      </c>
      <c r="J272" s="181">
        <f>I272/F272</f>
        <v>107</v>
      </c>
      <c r="K272" s="182">
        <f>H272/I272</f>
        <v>5</v>
      </c>
      <c r="L272" s="183">
        <f>821982.75+546264.5+300546.5+218412+49105+23614+196+9844+340-11+2445+535</f>
        <v>1973273.75</v>
      </c>
      <c r="M272" s="181">
        <f>109740+66898+39464+31918+7910+4204-8+1658-1+56+431+18+107</f>
        <v>262395</v>
      </c>
      <c r="N272" s="267">
        <f>+L273/M273</f>
        <v>7.505258496098565</v>
      </c>
      <c r="O272" s="303"/>
    </row>
    <row r="273" spans="1:15" ht="15">
      <c r="A273" s="39">
        <v>270</v>
      </c>
      <c r="B273" s="265" t="s">
        <v>314</v>
      </c>
      <c r="C273" s="26">
        <v>40172</v>
      </c>
      <c r="D273" s="27" t="s">
        <v>259</v>
      </c>
      <c r="E273" s="55">
        <v>196</v>
      </c>
      <c r="F273" s="55">
        <v>1</v>
      </c>
      <c r="G273" s="55">
        <v>14</v>
      </c>
      <c r="H273" s="159">
        <v>369</v>
      </c>
      <c r="I273" s="160">
        <v>105</v>
      </c>
      <c r="J273" s="177">
        <f>I273/F273</f>
        <v>105</v>
      </c>
      <c r="K273" s="155">
        <f>H273/I273</f>
        <v>3.5142857142857142</v>
      </c>
      <c r="L273" s="178">
        <f>821982.75+546264.5+300546.5+218412+49105+23614+196+9844+340-11+2445+535+1144+3612+145+369</f>
        <v>1978543.75</v>
      </c>
      <c r="M273" s="179">
        <f>109740+66898+39464+31918+7910+4204-8+1658-1+56+431+18+107+206+886+29+105</f>
        <v>263621</v>
      </c>
      <c r="N273" s="266">
        <f>+L273/M273</f>
        <v>7.505258496098565</v>
      </c>
      <c r="O273" s="305"/>
    </row>
    <row r="274" spans="1:15" ht="15">
      <c r="A274" s="39">
        <v>271</v>
      </c>
      <c r="B274" s="279" t="s">
        <v>166</v>
      </c>
      <c r="C274" s="46">
        <v>40172</v>
      </c>
      <c r="D274" s="47" t="s">
        <v>47</v>
      </c>
      <c r="E274" s="54">
        <v>196</v>
      </c>
      <c r="F274" s="54">
        <v>2</v>
      </c>
      <c r="G274" s="54">
        <v>8</v>
      </c>
      <c r="H274" s="163">
        <v>340</v>
      </c>
      <c r="I274" s="164">
        <v>56</v>
      </c>
      <c r="J274" s="181">
        <f>+I274/F274</f>
        <v>28</v>
      </c>
      <c r="K274" s="182">
        <f>+H274/I274</f>
        <v>6.071428571428571</v>
      </c>
      <c r="L274" s="199">
        <f>821982.75+546264.5+300546.5+218412+49105+23614+196+9844+340-11</f>
        <v>1970293.75</v>
      </c>
      <c r="M274" s="200">
        <f>109740+66898+39464+31918+7910+4204-8+1658-1+56</f>
        <v>261839</v>
      </c>
      <c r="N274" s="267">
        <f>+L275/M275</f>
        <v>7.812558719529902</v>
      </c>
      <c r="O274" s="303">
        <v>1</v>
      </c>
    </row>
    <row r="275" spans="1:15" ht="15">
      <c r="A275" s="39">
        <v>272</v>
      </c>
      <c r="B275" s="273" t="s">
        <v>7</v>
      </c>
      <c r="C275" s="26">
        <v>39920</v>
      </c>
      <c r="D275" s="37" t="s">
        <v>105</v>
      </c>
      <c r="E275" s="58">
        <v>132</v>
      </c>
      <c r="F275" s="58">
        <v>3</v>
      </c>
      <c r="G275" s="58">
        <v>19</v>
      </c>
      <c r="H275" s="174">
        <v>2655</v>
      </c>
      <c r="I275" s="175">
        <v>531</v>
      </c>
      <c r="J275" s="184">
        <f>+I275/F275</f>
        <v>177</v>
      </c>
      <c r="K275" s="185">
        <f>+H275/I275</f>
        <v>5</v>
      </c>
      <c r="L275" s="201">
        <v>914710</v>
      </c>
      <c r="M275" s="202">
        <v>117082</v>
      </c>
      <c r="N275" s="266">
        <f>L276/M276</f>
        <v>8.731513399310575</v>
      </c>
      <c r="O275" s="318">
        <v>1</v>
      </c>
    </row>
    <row r="276" spans="1:15" ht="15">
      <c r="A276" s="39">
        <v>273</v>
      </c>
      <c r="B276" s="265" t="s">
        <v>281</v>
      </c>
      <c r="C276" s="26">
        <v>39990</v>
      </c>
      <c r="D276" s="27" t="s">
        <v>263</v>
      </c>
      <c r="E276" s="55">
        <v>20</v>
      </c>
      <c r="F276" s="55">
        <v>1</v>
      </c>
      <c r="G276" s="55">
        <v>16</v>
      </c>
      <c r="H276" s="159">
        <v>1280</v>
      </c>
      <c r="I276" s="160">
        <v>256</v>
      </c>
      <c r="J276" s="177">
        <f>I276/F276</f>
        <v>256</v>
      </c>
      <c r="K276" s="155">
        <f>H276/I276</f>
        <v>5</v>
      </c>
      <c r="L276" s="178">
        <v>157045</v>
      </c>
      <c r="M276" s="179">
        <v>17986</v>
      </c>
      <c r="N276" s="266">
        <f>+L276/M276</f>
        <v>8.731513399310575</v>
      </c>
      <c r="O276" s="303">
        <v>1</v>
      </c>
    </row>
    <row r="277" spans="1:15" ht="15">
      <c r="A277" s="39">
        <v>274</v>
      </c>
      <c r="B277" s="265" t="s">
        <v>49</v>
      </c>
      <c r="C277" s="31">
        <v>40123</v>
      </c>
      <c r="D277" s="27" t="s">
        <v>101</v>
      </c>
      <c r="E277" s="229">
        <v>58</v>
      </c>
      <c r="F277" s="229">
        <v>1</v>
      </c>
      <c r="G277" s="229">
        <v>22</v>
      </c>
      <c r="H277" s="161">
        <v>120</v>
      </c>
      <c r="I277" s="150">
        <v>20</v>
      </c>
      <c r="J277" s="152">
        <f>IF(H277&lt;&gt;0,I277/F277,"")</f>
        <v>20</v>
      </c>
      <c r="K277" s="154">
        <f>IF(H277&lt;&gt;0,H277/I277,"")</f>
        <v>6</v>
      </c>
      <c r="L277" s="156">
        <f>479288.75+H277</f>
        <v>479408.75</v>
      </c>
      <c r="M277" s="152">
        <f>46548+I277</f>
        <v>46568</v>
      </c>
      <c r="N277" s="267">
        <f>IF(L277&lt;&gt;0,L277/M277,"")</f>
        <v>10.294810814293077</v>
      </c>
      <c r="O277" s="301">
        <v>1</v>
      </c>
    </row>
    <row r="278" spans="1:15" ht="15">
      <c r="A278" s="39">
        <v>275</v>
      </c>
      <c r="B278" s="268" t="s">
        <v>49</v>
      </c>
      <c r="C278" s="31">
        <v>40123</v>
      </c>
      <c r="D278" s="27" t="s">
        <v>101</v>
      </c>
      <c r="E278" s="229">
        <v>58</v>
      </c>
      <c r="F278" s="229">
        <v>1</v>
      </c>
      <c r="G278" s="229">
        <v>21</v>
      </c>
      <c r="H278" s="148">
        <v>276</v>
      </c>
      <c r="I278" s="162">
        <v>46</v>
      </c>
      <c r="J278" s="181">
        <f>IF(H278&lt;&gt;0,I278/F278,"")</f>
        <v>46</v>
      </c>
      <c r="K278" s="182">
        <f>IF(H278&lt;&gt;0,H278/I278,"")</f>
        <v>6</v>
      </c>
      <c r="L278" s="183">
        <v>479288.75</v>
      </c>
      <c r="M278" s="181">
        <v>46548</v>
      </c>
      <c r="N278" s="267">
        <f>IF(L278&lt;&gt;0,L278/M278,"")</f>
        <v>10.2966561398986</v>
      </c>
      <c r="O278" s="303">
        <v>1</v>
      </c>
    </row>
    <row r="279" spans="1:15" ht="15">
      <c r="A279" s="39">
        <v>276</v>
      </c>
      <c r="B279" s="265" t="s">
        <v>49</v>
      </c>
      <c r="C279" s="31">
        <v>40123</v>
      </c>
      <c r="D279" s="27" t="s">
        <v>101</v>
      </c>
      <c r="E279" s="229">
        <v>58</v>
      </c>
      <c r="F279" s="229">
        <v>1</v>
      </c>
      <c r="G279" s="229">
        <v>20</v>
      </c>
      <c r="H279" s="161">
        <v>252</v>
      </c>
      <c r="I279" s="150">
        <v>42</v>
      </c>
      <c r="J279" s="152">
        <f>IF(H279&lt;&gt;0,I279/F279,"")</f>
        <v>42</v>
      </c>
      <c r="K279" s="154">
        <f>IF(H279&lt;&gt;0,H279/I279,"")</f>
        <v>6</v>
      </c>
      <c r="L279" s="156">
        <v>479012.75</v>
      </c>
      <c r="M279" s="152">
        <v>46502</v>
      </c>
      <c r="N279" s="267">
        <f>IF(L279&lt;&gt;0,L279/M279,"")</f>
        <v>10.300906412627414</v>
      </c>
      <c r="O279" s="331">
        <v>1</v>
      </c>
    </row>
    <row r="280" spans="1:15" ht="15">
      <c r="A280" s="39">
        <v>277</v>
      </c>
      <c r="B280" s="265" t="s">
        <v>49</v>
      </c>
      <c r="C280" s="26">
        <v>40123</v>
      </c>
      <c r="D280" s="28" t="s">
        <v>154</v>
      </c>
      <c r="E280" s="55">
        <v>58</v>
      </c>
      <c r="F280" s="55">
        <v>7</v>
      </c>
      <c r="G280" s="55">
        <v>9</v>
      </c>
      <c r="H280" s="166">
        <v>2843</v>
      </c>
      <c r="I280" s="168">
        <v>406</v>
      </c>
      <c r="J280" s="187">
        <f>IF(H280&lt;&gt;0,I280/F280,"")</f>
        <v>58</v>
      </c>
      <c r="K280" s="188">
        <f>IF(H280&lt;&gt;0,H280/I280,"")</f>
        <v>7.002463054187192</v>
      </c>
      <c r="L280" s="186">
        <v>471356.75</v>
      </c>
      <c r="M280" s="181">
        <v>45156</v>
      </c>
      <c r="N280" s="267">
        <f>L281/M281</f>
        <v>10.370201545986548</v>
      </c>
      <c r="O280" s="301">
        <v>1</v>
      </c>
    </row>
    <row r="281" spans="1:15" ht="15">
      <c r="A281" s="39">
        <v>278</v>
      </c>
      <c r="B281" s="268" t="s">
        <v>49</v>
      </c>
      <c r="C281" s="31">
        <v>40123</v>
      </c>
      <c r="D281" s="28" t="s">
        <v>154</v>
      </c>
      <c r="E281" s="56">
        <v>58</v>
      </c>
      <c r="F281" s="56">
        <v>3</v>
      </c>
      <c r="G281" s="56">
        <v>12</v>
      </c>
      <c r="H281" s="161">
        <v>2007</v>
      </c>
      <c r="I281" s="150">
        <v>364</v>
      </c>
      <c r="J281" s="152">
        <f>I281/F281</f>
        <v>121.33333333333333</v>
      </c>
      <c r="K281" s="154">
        <f>H281/I281</f>
        <v>5.513736263736264</v>
      </c>
      <c r="L281" s="156">
        <v>474913.75</v>
      </c>
      <c r="M281" s="152">
        <v>45796</v>
      </c>
      <c r="N281" s="272">
        <f>IF(L282&lt;&gt;0,L282/M282,"")</f>
        <v>10.319510115076538</v>
      </c>
      <c r="O281" s="317">
        <v>1</v>
      </c>
    </row>
    <row r="282" spans="1:15" ht="15">
      <c r="A282" s="39">
        <v>279</v>
      </c>
      <c r="B282" s="275" t="s">
        <v>49</v>
      </c>
      <c r="C282" s="46">
        <v>40123</v>
      </c>
      <c r="D282" s="47" t="s">
        <v>154</v>
      </c>
      <c r="E282" s="54">
        <v>58</v>
      </c>
      <c r="F282" s="54">
        <v>1</v>
      </c>
      <c r="G282" s="54">
        <v>16</v>
      </c>
      <c r="H282" s="163">
        <v>1188</v>
      </c>
      <c r="I282" s="164">
        <v>238</v>
      </c>
      <c r="J282" s="181">
        <f>I282/F282</f>
        <v>238</v>
      </c>
      <c r="K282" s="182">
        <f>H282/I282</f>
        <v>4.991596638655462</v>
      </c>
      <c r="L282" s="183">
        <v>477968.75</v>
      </c>
      <c r="M282" s="181">
        <v>46317</v>
      </c>
      <c r="N282" s="266">
        <f>L283/M283</f>
        <v>10.417936196481326</v>
      </c>
      <c r="O282" s="301">
        <v>1</v>
      </c>
    </row>
    <row r="283" spans="1:15" ht="15">
      <c r="A283" s="39">
        <v>280</v>
      </c>
      <c r="B283" s="265" t="s">
        <v>49</v>
      </c>
      <c r="C283" s="26">
        <v>40123</v>
      </c>
      <c r="D283" s="28" t="s">
        <v>154</v>
      </c>
      <c r="E283" s="55">
        <v>58</v>
      </c>
      <c r="F283" s="55">
        <v>4</v>
      </c>
      <c r="G283" s="55">
        <v>10</v>
      </c>
      <c r="H283" s="166">
        <v>1180</v>
      </c>
      <c r="I283" s="167">
        <v>202</v>
      </c>
      <c r="J283" s="184">
        <f>IF(H283&lt;&gt;0,I283/F283,"")</f>
        <v>50.5</v>
      </c>
      <c r="K283" s="185">
        <f>IF(H283&lt;&gt;0,H283/I283,"")</f>
        <v>5.841584158415841</v>
      </c>
      <c r="L283" s="186">
        <v>472536.75</v>
      </c>
      <c r="M283" s="152">
        <v>45358</v>
      </c>
      <c r="N283" s="267">
        <f>L284/M284</f>
        <v>10.36151509873506</v>
      </c>
      <c r="O283" s="349"/>
    </row>
    <row r="284" spans="1:15" ht="15">
      <c r="A284" s="39">
        <v>281</v>
      </c>
      <c r="B284" s="268" t="s">
        <v>49</v>
      </c>
      <c r="C284" s="31">
        <v>40123</v>
      </c>
      <c r="D284" s="28" t="s">
        <v>154</v>
      </c>
      <c r="E284" s="56">
        <v>58</v>
      </c>
      <c r="F284" s="56">
        <v>2</v>
      </c>
      <c r="G284" s="56">
        <v>13</v>
      </c>
      <c r="H284" s="161">
        <v>1001</v>
      </c>
      <c r="I284" s="150">
        <v>135</v>
      </c>
      <c r="J284" s="152">
        <f>(I284/F284)</f>
        <v>67.5</v>
      </c>
      <c r="K284" s="154">
        <f>(J284/G284)</f>
        <v>5.1923076923076925</v>
      </c>
      <c r="L284" s="156">
        <v>475914.75</v>
      </c>
      <c r="M284" s="152">
        <v>45931</v>
      </c>
      <c r="N284" s="267">
        <f>IF(L285&lt;&gt;0,L285/M285,"")</f>
        <v>10.30776810907446</v>
      </c>
      <c r="O284" s="349"/>
    </row>
    <row r="285" spans="1:15" ht="15">
      <c r="A285" s="39">
        <v>282</v>
      </c>
      <c r="B285" s="265" t="s">
        <v>49</v>
      </c>
      <c r="C285" s="26">
        <v>40123</v>
      </c>
      <c r="D285" s="28" t="s">
        <v>101</v>
      </c>
      <c r="E285" s="230">
        <v>58</v>
      </c>
      <c r="F285" s="230">
        <v>2</v>
      </c>
      <c r="G285" s="230">
        <v>17</v>
      </c>
      <c r="H285" s="231">
        <v>590</v>
      </c>
      <c r="I285" s="167">
        <v>110</v>
      </c>
      <c r="J285" s="184">
        <f>IF(H285&lt;&gt;0,I285/F285,"")</f>
        <v>55</v>
      </c>
      <c r="K285" s="185">
        <f>IF(H285&lt;&gt;0,H285/I285,"")</f>
        <v>5.363636363636363</v>
      </c>
      <c r="L285" s="232">
        <v>478558.75</v>
      </c>
      <c r="M285" s="152">
        <v>46427</v>
      </c>
      <c r="N285" s="272">
        <f>IF(L285&lt;&gt;0,L285/M285,"")</f>
        <v>10.30776810907446</v>
      </c>
      <c r="O285" s="344"/>
    </row>
    <row r="286" spans="1:15" ht="15">
      <c r="A286" s="39">
        <v>283</v>
      </c>
      <c r="B286" s="268" t="s">
        <v>49</v>
      </c>
      <c r="C286" s="31">
        <v>40123</v>
      </c>
      <c r="D286" s="28" t="s">
        <v>154</v>
      </c>
      <c r="E286" s="56">
        <v>58</v>
      </c>
      <c r="F286" s="56">
        <v>1</v>
      </c>
      <c r="G286" s="56">
        <v>14</v>
      </c>
      <c r="H286" s="148">
        <v>563</v>
      </c>
      <c r="I286" s="162">
        <v>98</v>
      </c>
      <c r="J286" s="181">
        <f>IF(H286&lt;&gt;0,I286/F286,"")</f>
        <v>98</v>
      </c>
      <c r="K286" s="182">
        <f>IF(H286&lt;&gt;0,H286/I286,"")</f>
        <v>5.744897959183674</v>
      </c>
      <c r="L286" s="183">
        <v>476477.75</v>
      </c>
      <c r="M286" s="181">
        <v>46029</v>
      </c>
      <c r="N286" s="272">
        <f>IF(L287&lt;&gt;0,L287/M287,"")</f>
        <v>10.469581005586592</v>
      </c>
      <c r="O286" s="302">
        <v>1</v>
      </c>
    </row>
    <row r="287" spans="1:15" ht="15">
      <c r="A287" s="39">
        <v>284</v>
      </c>
      <c r="B287" s="265" t="s">
        <v>49</v>
      </c>
      <c r="C287" s="26">
        <v>40123</v>
      </c>
      <c r="D287" s="30" t="s">
        <v>154</v>
      </c>
      <c r="E287" s="55">
        <v>58</v>
      </c>
      <c r="F287" s="55">
        <v>1</v>
      </c>
      <c r="G287" s="55">
        <v>8</v>
      </c>
      <c r="H287" s="166">
        <v>414</v>
      </c>
      <c r="I287" s="168">
        <v>83</v>
      </c>
      <c r="J287" s="187">
        <f>IF(H287&lt;&gt;0,I287/F287,"")</f>
        <v>83</v>
      </c>
      <c r="K287" s="185">
        <f>IF(H287&lt;&gt;0,H287/I287,"")</f>
        <v>4.9879518072289155</v>
      </c>
      <c r="L287" s="186">
        <v>468513.75</v>
      </c>
      <c r="M287" s="181">
        <v>44750</v>
      </c>
      <c r="N287" s="266">
        <f>IF(L288&lt;&gt;0,L288/M288,"")</f>
        <v>10.409111419263954</v>
      </c>
      <c r="O287" s="303">
        <v>1</v>
      </c>
    </row>
    <row r="288" spans="1:15" ht="15">
      <c r="A288" s="39">
        <v>285</v>
      </c>
      <c r="B288" s="268" t="s">
        <v>49</v>
      </c>
      <c r="C288" s="31">
        <v>40123</v>
      </c>
      <c r="D288" s="33" t="s">
        <v>154</v>
      </c>
      <c r="E288" s="56">
        <v>58</v>
      </c>
      <c r="F288" s="56">
        <v>4</v>
      </c>
      <c r="G288" s="56">
        <v>11</v>
      </c>
      <c r="H288" s="149">
        <v>370</v>
      </c>
      <c r="I288" s="151">
        <v>74</v>
      </c>
      <c r="J288" s="153">
        <f>IF(H288&lt;&gt;0,I288/F288,"")</f>
        <v>18.5</v>
      </c>
      <c r="K288" s="155">
        <f>IF(H288&lt;&gt;0,H288/I288,"")</f>
        <v>5</v>
      </c>
      <c r="L288" s="157">
        <v>472906.75</v>
      </c>
      <c r="M288" s="158">
        <v>45432</v>
      </c>
      <c r="N288" s="267">
        <f>+L289/M289</f>
        <v>10.34702901538662</v>
      </c>
      <c r="O288" s="309">
        <v>1</v>
      </c>
    </row>
    <row r="289" spans="1:15" ht="15">
      <c r="A289" s="39">
        <v>286</v>
      </c>
      <c r="B289" s="268" t="s">
        <v>49</v>
      </c>
      <c r="C289" s="46">
        <v>40123</v>
      </c>
      <c r="D289" s="28" t="s">
        <v>154</v>
      </c>
      <c r="E289" s="54">
        <v>58</v>
      </c>
      <c r="F289" s="54">
        <v>2</v>
      </c>
      <c r="G289" s="54">
        <v>15</v>
      </c>
      <c r="H289" s="163">
        <v>303</v>
      </c>
      <c r="I289" s="164">
        <v>50</v>
      </c>
      <c r="J289" s="181">
        <f>I289/F289</f>
        <v>25</v>
      </c>
      <c r="K289" s="182">
        <f>H289/I289</f>
        <v>6.06</v>
      </c>
      <c r="L289" s="183">
        <v>476780.75</v>
      </c>
      <c r="M289" s="181">
        <v>46079</v>
      </c>
      <c r="N289" s="267">
        <f>+L290/M290</f>
        <v>10.304794446835988</v>
      </c>
      <c r="O289" s="305">
        <v>1</v>
      </c>
    </row>
    <row r="290" spans="1:15" ht="15">
      <c r="A290" s="39">
        <v>287</v>
      </c>
      <c r="B290" s="275" t="s">
        <v>49</v>
      </c>
      <c r="C290" s="26">
        <v>40123</v>
      </c>
      <c r="D290" s="28" t="s">
        <v>101</v>
      </c>
      <c r="E290" s="230">
        <v>58</v>
      </c>
      <c r="F290" s="230">
        <v>1</v>
      </c>
      <c r="G290" s="230">
        <v>19</v>
      </c>
      <c r="H290" s="166">
        <v>122</v>
      </c>
      <c r="I290" s="168">
        <v>20</v>
      </c>
      <c r="J290" s="187">
        <f>IF(H290&lt;&gt;0,I290/F290,"")</f>
        <v>20</v>
      </c>
      <c r="K290" s="185">
        <f>IF(H290&lt;&gt;0,H290/I290,"")</f>
        <v>6.1</v>
      </c>
      <c r="L290" s="186">
        <v>478760.75</v>
      </c>
      <c r="M290" s="181">
        <v>46460</v>
      </c>
      <c r="N290" s="272">
        <f>IF(L290&lt;&gt;0,L290/M290,"")</f>
        <v>10.304794446835988</v>
      </c>
      <c r="O290" s="303"/>
    </row>
    <row r="291" spans="1:15" ht="15">
      <c r="A291" s="39">
        <v>288</v>
      </c>
      <c r="B291" s="265" t="s">
        <v>49</v>
      </c>
      <c r="C291" s="26">
        <v>40123</v>
      </c>
      <c r="D291" s="27" t="s">
        <v>101</v>
      </c>
      <c r="E291" s="55">
        <v>58</v>
      </c>
      <c r="F291" s="55">
        <v>1</v>
      </c>
      <c r="G291" s="55">
        <v>18</v>
      </c>
      <c r="H291" s="159">
        <v>80</v>
      </c>
      <c r="I291" s="160">
        <v>13</v>
      </c>
      <c r="J291" s="177">
        <f>I291/F291</f>
        <v>13</v>
      </c>
      <c r="K291" s="155">
        <f>H291/I291</f>
        <v>6.153846153846154</v>
      </c>
      <c r="L291" s="178">
        <v>478638.75</v>
      </c>
      <c r="M291" s="179">
        <v>46440</v>
      </c>
      <c r="N291" s="266">
        <f>+L291/M291</f>
        <v>10.306605297157622</v>
      </c>
      <c r="O291" s="303"/>
    </row>
    <row r="292" spans="1:15" ht="15">
      <c r="A292" s="39">
        <v>289</v>
      </c>
      <c r="B292" s="275" t="s">
        <v>212</v>
      </c>
      <c r="C292" s="31">
        <v>39472</v>
      </c>
      <c r="D292" s="32" t="s">
        <v>47</v>
      </c>
      <c r="E292" s="54">
        <v>59</v>
      </c>
      <c r="F292" s="54">
        <v>1</v>
      </c>
      <c r="G292" s="54">
        <v>36</v>
      </c>
      <c r="H292" s="163">
        <v>2398</v>
      </c>
      <c r="I292" s="164">
        <v>399</v>
      </c>
      <c r="J292" s="181">
        <f>I292/F292</f>
        <v>399</v>
      </c>
      <c r="K292" s="182">
        <f>H292/I292</f>
        <v>6.010025062656641</v>
      </c>
      <c r="L292" s="183">
        <f>395290.5+262822+75939+23709.5+4083+1327+9321+1445+1267+2173+4575+201+1748+3343+728+28+948+1329+163+182+173+15521.5+171+40+110+75+183.5+127+124.5+1976+312+180+12+2398</f>
        <v>812025.5</v>
      </c>
      <c r="M292" s="181">
        <f>47426+32442+9866+4010+887+225+2185+263+226+460+1077+33+367+887+230+4+139+355+32+35+32+3859+49+8+22+15+68+46+45+659+52+30+2+399</f>
        <v>106435</v>
      </c>
      <c r="N292" s="270">
        <f>+L292/M292</f>
        <v>7.62930896791469</v>
      </c>
      <c r="O292" s="310"/>
    </row>
    <row r="293" spans="1:15" ht="15">
      <c r="A293" s="39">
        <v>290</v>
      </c>
      <c r="B293" s="268" t="s">
        <v>54</v>
      </c>
      <c r="C293" s="31">
        <v>40151</v>
      </c>
      <c r="D293" s="32" t="s">
        <v>242</v>
      </c>
      <c r="E293" s="56">
        <v>8</v>
      </c>
      <c r="F293" s="56">
        <v>7</v>
      </c>
      <c r="G293" s="56">
        <v>6</v>
      </c>
      <c r="H293" s="159">
        <v>4958.5</v>
      </c>
      <c r="I293" s="160">
        <v>693</v>
      </c>
      <c r="J293" s="177">
        <f>(I293/F293)</f>
        <v>99</v>
      </c>
      <c r="K293" s="180">
        <f>H293/I293</f>
        <v>7.155122655122655</v>
      </c>
      <c r="L293" s="178">
        <f>69195.5+29540+2797+8009+1473.5+4958.5</f>
        <v>115973.5</v>
      </c>
      <c r="M293" s="179">
        <f>5170+2208+292+904+296+693</f>
        <v>9563</v>
      </c>
      <c r="N293" s="266">
        <f>L294/M294</f>
        <v>11.478786149162861</v>
      </c>
      <c r="O293" s="303"/>
    </row>
    <row r="294" spans="1:15" ht="15">
      <c r="A294" s="39">
        <v>291</v>
      </c>
      <c r="B294" s="269" t="s">
        <v>54</v>
      </c>
      <c r="C294" s="34">
        <v>40151</v>
      </c>
      <c r="D294" s="32" t="s">
        <v>242</v>
      </c>
      <c r="E294" s="57">
        <v>8</v>
      </c>
      <c r="F294" s="57">
        <v>6</v>
      </c>
      <c r="G294" s="57">
        <v>7</v>
      </c>
      <c r="H294" s="159">
        <v>4691.5</v>
      </c>
      <c r="I294" s="151">
        <v>949</v>
      </c>
      <c r="J294" s="153">
        <f>(I294/F294)</f>
        <v>158.16666666666666</v>
      </c>
      <c r="K294" s="155">
        <f>H294/I294</f>
        <v>4.943624868282402</v>
      </c>
      <c r="L294" s="178">
        <f>69195.5+29540+2797+8009+1473.5+4958.5+4691.5</f>
        <v>120665</v>
      </c>
      <c r="M294" s="158">
        <f>5170+2208+292+904+296+693+949</f>
        <v>10512</v>
      </c>
      <c r="N294" s="267">
        <f>L295/M295</f>
        <v>11.078535891968729</v>
      </c>
      <c r="O294" s="301"/>
    </row>
    <row r="295" spans="1:15" ht="15">
      <c r="A295" s="39">
        <v>292</v>
      </c>
      <c r="B295" s="268" t="s">
        <v>54</v>
      </c>
      <c r="C295" s="31">
        <v>40151</v>
      </c>
      <c r="D295" s="32" t="s">
        <v>242</v>
      </c>
      <c r="E295" s="56">
        <v>8</v>
      </c>
      <c r="F295" s="56">
        <v>4</v>
      </c>
      <c r="G295" s="56">
        <v>10</v>
      </c>
      <c r="H295" s="161">
        <v>3228</v>
      </c>
      <c r="I295" s="150">
        <v>613</v>
      </c>
      <c r="J295" s="152">
        <f>I295/F295</f>
        <v>153.25</v>
      </c>
      <c r="K295" s="154">
        <f>+H295/I295</f>
        <v>5.265905383360522</v>
      </c>
      <c r="L295" s="156">
        <f>69195.5+29540+2797+8009+1473.5+4958.5+4691.5+45+762+3228</f>
        <v>124700</v>
      </c>
      <c r="M295" s="152">
        <f>5170+2208+292+904+296+693+949+9+122+613</f>
        <v>11256</v>
      </c>
      <c r="N295" s="266">
        <f>L296/M296</f>
        <v>10.809332535680712</v>
      </c>
      <c r="O295" s="303"/>
    </row>
    <row r="296" spans="1:15" ht="15">
      <c r="A296" s="39">
        <v>293</v>
      </c>
      <c r="B296" s="265" t="s">
        <v>54</v>
      </c>
      <c r="C296" s="26">
        <v>40151</v>
      </c>
      <c r="D296" s="32" t="s">
        <v>242</v>
      </c>
      <c r="E296" s="55">
        <v>8</v>
      </c>
      <c r="F296" s="55">
        <v>1</v>
      </c>
      <c r="G296" s="55">
        <v>11</v>
      </c>
      <c r="H296" s="159">
        <v>1780</v>
      </c>
      <c r="I296" s="151">
        <v>445</v>
      </c>
      <c r="J296" s="153">
        <f aca="true" t="shared" si="31" ref="J296:J303">(I296/F296)</f>
        <v>445</v>
      </c>
      <c r="K296" s="155">
        <f>H296/I296</f>
        <v>4</v>
      </c>
      <c r="L296" s="178">
        <f>69195.5+29540+2797+8009+1473.5+4958.5+4691.5+45+762+3228+1780</f>
        <v>126480</v>
      </c>
      <c r="M296" s="158">
        <f>5170+2208+292+904+296+693+949+9+122+613+445</f>
        <v>11701</v>
      </c>
      <c r="N296" s="266">
        <f>IF(L297&lt;&gt;0,L297/M297,"")</f>
        <v>10.55985509632801</v>
      </c>
      <c r="O296" s="314"/>
    </row>
    <row r="297" spans="1:15" ht="15">
      <c r="A297" s="39">
        <v>294</v>
      </c>
      <c r="B297" s="265" t="s">
        <v>54</v>
      </c>
      <c r="C297" s="26">
        <v>40151</v>
      </c>
      <c r="D297" s="32" t="s">
        <v>242</v>
      </c>
      <c r="E297" s="55">
        <v>8</v>
      </c>
      <c r="F297" s="55">
        <v>1</v>
      </c>
      <c r="G297" s="55">
        <v>12</v>
      </c>
      <c r="H297" s="159">
        <v>1780</v>
      </c>
      <c r="I297" s="160">
        <v>445</v>
      </c>
      <c r="J297" s="177">
        <f t="shared" si="31"/>
        <v>445</v>
      </c>
      <c r="K297" s="180">
        <f>H297/I297</f>
        <v>4</v>
      </c>
      <c r="L297" s="178">
        <f>69195.5+29540+2797+8009+1473.5+4958.5+4691.5+45+762+3228+1780+1780</f>
        <v>128260</v>
      </c>
      <c r="M297" s="179">
        <f>5170+2208+292+904+296+693+949+9+122+613+445+445</f>
        <v>12146</v>
      </c>
      <c r="N297" s="267">
        <f>+L298/M298</f>
        <v>10.524278534370946</v>
      </c>
      <c r="O297" s="303"/>
    </row>
    <row r="298" spans="1:15" ht="15">
      <c r="A298" s="39">
        <v>295</v>
      </c>
      <c r="B298" s="265" t="s">
        <v>54</v>
      </c>
      <c r="C298" s="31">
        <v>40151</v>
      </c>
      <c r="D298" s="32" t="s">
        <v>242</v>
      </c>
      <c r="E298" s="54">
        <v>8</v>
      </c>
      <c r="F298" s="54">
        <v>2</v>
      </c>
      <c r="G298" s="54">
        <v>13</v>
      </c>
      <c r="H298" s="163">
        <v>1567.5</v>
      </c>
      <c r="I298" s="164">
        <v>190</v>
      </c>
      <c r="J298" s="181">
        <f t="shared" si="31"/>
        <v>95</v>
      </c>
      <c r="K298" s="182">
        <f>H298/I298</f>
        <v>8.25</v>
      </c>
      <c r="L298" s="183">
        <f>69195.5+29540+2797+8009+1473.5+4958.5+4691.5+45+762+3228+1780+1780+1567.5</f>
        <v>129827.5</v>
      </c>
      <c r="M298" s="181">
        <f>5170+2208+292+904+296+693+949+9+122+613+445+445+190</f>
        <v>12336</v>
      </c>
      <c r="N298" s="270">
        <f>L298/M298</f>
        <v>10.524278534370946</v>
      </c>
      <c r="O298" s="301"/>
    </row>
    <row r="299" spans="1:15" ht="15">
      <c r="A299" s="39">
        <v>296</v>
      </c>
      <c r="B299" s="268" t="s">
        <v>54</v>
      </c>
      <c r="C299" s="31">
        <v>40151</v>
      </c>
      <c r="D299" s="32" t="s">
        <v>242</v>
      </c>
      <c r="E299" s="56">
        <v>8</v>
      </c>
      <c r="F299" s="56">
        <v>3</v>
      </c>
      <c r="G299" s="56">
        <v>5</v>
      </c>
      <c r="H299" s="159">
        <v>1473.5</v>
      </c>
      <c r="I299" s="160">
        <v>296</v>
      </c>
      <c r="J299" s="177">
        <f t="shared" si="31"/>
        <v>98.66666666666667</v>
      </c>
      <c r="K299" s="155">
        <f>H299/I299</f>
        <v>4.97804054054054</v>
      </c>
      <c r="L299" s="178">
        <f>69195.5+29540+2797+8009+1473.5</f>
        <v>111015</v>
      </c>
      <c r="M299" s="179">
        <f>5170+2208+292+904+296</f>
        <v>8870</v>
      </c>
      <c r="N299" s="266">
        <f>L300/M300</f>
        <v>11.419652092148565</v>
      </c>
      <c r="O299" s="305"/>
    </row>
    <row r="300" spans="1:15" ht="15">
      <c r="A300" s="39">
        <v>297</v>
      </c>
      <c r="B300" s="269" t="s">
        <v>54</v>
      </c>
      <c r="C300" s="34">
        <v>40151</v>
      </c>
      <c r="D300" s="32" t="s">
        <v>242</v>
      </c>
      <c r="E300" s="57">
        <v>8</v>
      </c>
      <c r="F300" s="57">
        <v>2</v>
      </c>
      <c r="G300" s="57">
        <v>9</v>
      </c>
      <c r="H300" s="149">
        <v>738</v>
      </c>
      <c r="I300" s="151">
        <v>114</v>
      </c>
      <c r="J300" s="153">
        <f t="shared" si="31"/>
        <v>57</v>
      </c>
      <c r="K300" s="154">
        <f>+H300/I300</f>
        <v>6.473684210526316</v>
      </c>
      <c r="L300" s="157">
        <f>69195.5+29540+2797+8009+1473.5+4958.5+4691.5+45+738</f>
        <v>121448</v>
      </c>
      <c r="M300" s="158">
        <f>5170+2208+292+904+296+693+949+9+114</f>
        <v>10635</v>
      </c>
      <c r="N300" s="266">
        <f>L301/M301</f>
        <v>10.490032955550197</v>
      </c>
      <c r="O300" s="303"/>
    </row>
    <row r="301" spans="1:15" ht="15">
      <c r="A301" s="39">
        <v>298</v>
      </c>
      <c r="B301" s="276" t="s">
        <v>54</v>
      </c>
      <c r="C301" s="31">
        <v>40151</v>
      </c>
      <c r="D301" s="32" t="s">
        <v>242</v>
      </c>
      <c r="E301" s="56">
        <v>8</v>
      </c>
      <c r="F301" s="56">
        <v>1</v>
      </c>
      <c r="G301" s="56">
        <v>15</v>
      </c>
      <c r="H301" s="149">
        <v>496</v>
      </c>
      <c r="I301" s="151">
        <v>75</v>
      </c>
      <c r="J301" s="153">
        <f t="shared" si="31"/>
        <v>75</v>
      </c>
      <c r="K301" s="155">
        <f>H301/I301</f>
        <v>6.613333333333333</v>
      </c>
      <c r="L301" s="157">
        <f>69195.5+29540+2797+8009+1473.5+4958.5+4691.5+45+762+3228+1780+1780+1567.5+183+496</f>
        <v>130506.5</v>
      </c>
      <c r="M301" s="158">
        <f>5170+2208+292+904+296+693+949+9+122+613+445+445+190+30+75</f>
        <v>12441</v>
      </c>
      <c r="N301" s="266">
        <f>L301/M301</f>
        <v>10.490032955550197</v>
      </c>
      <c r="O301" s="303"/>
    </row>
    <row r="302" spans="1:15" ht="15">
      <c r="A302" s="39">
        <v>299</v>
      </c>
      <c r="B302" s="265" t="s">
        <v>54</v>
      </c>
      <c r="C302" s="31">
        <v>40151</v>
      </c>
      <c r="D302" s="32" t="s">
        <v>242</v>
      </c>
      <c r="E302" s="54">
        <v>8</v>
      </c>
      <c r="F302" s="54">
        <v>1</v>
      </c>
      <c r="G302" s="54">
        <v>14</v>
      </c>
      <c r="H302" s="163">
        <v>183</v>
      </c>
      <c r="I302" s="165">
        <v>30</v>
      </c>
      <c r="J302" s="152">
        <f t="shared" si="31"/>
        <v>30</v>
      </c>
      <c r="K302" s="154">
        <f>H302/I302</f>
        <v>6.1</v>
      </c>
      <c r="L302" s="156">
        <f>69195.5+29540+2797+8009+1473.5+4958.5+4691.5+45+762+3228+1780+1780+1567.5+183</f>
        <v>130010.5</v>
      </c>
      <c r="M302" s="152">
        <f>5170+2208+292+904+296+693+949+9+122+613+445+445+190+30</f>
        <v>12366</v>
      </c>
      <c r="N302" s="267">
        <f>L302/M302</f>
        <v>10.513545204593239</v>
      </c>
      <c r="O302" s="317"/>
    </row>
    <row r="303" spans="1:15" ht="15">
      <c r="A303" s="39">
        <v>300</v>
      </c>
      <c r="B303" s="268" t="s">
        <v>54</v>
      </c>
      <c r="C303" s="31">
        <v>40151</v>
      </c>
      <c r="D303" s="32" t="s">
        <v>242</v>
      </c>
      <c r="E303" s="56">
        <v>8</v>
      </c>
      <c r="F303" s="56">
        <v>1</v>
      </c>
      <c r="G303" s="56">
        <v>8</v>
      </c>
      <c r="H303" s="149">
        <v>45</v>
      </c>
      <c r="I303" s="151">
        <v>9</v>
      </c>
      <c r="J303" s="153">
        <f t="shared" si="31"/>
        <v>9</v>
      </c>
      <c r="K303" s="155">
        <f>H303/I303</f>
        <v>5</v>
      </c>
      <c r="L303" s="157">
        <f>69195.5+29540+2797+8009+1473.5+4958.5+4691.5+45</f>
        <v>120710</v>
      </c>
      <c r="M303" s="158">
        <f>5170+2208+292+904+296+693+949+9</f>
        <v>10521</v>
      </c>
      <c r="N303" s="266">
        <f>L304/M304</f>
        <v>8.780330260863376</v>
      </c>
      <c r="O303" s="302"/>
    </row>
    <row r="304" spans="1:15" ht="15">
      <c r="A304" s="39">
        <v>301</v>
      </c>
      <c r="B304" s="268" t="s">
        <v>93</v>
      </c>
      <c r="C304" s="31">
        <v>40102</v>
      </c>
      <c r="D304" s="35" t="s">
        <v>240</v>
      </c>
      <c r="E304" s="56">
        <v>62</v>
      </c>
      <c r="F304" s="56">
        <v>2</v>
      </c>
      <c r="G304" s="56">
        <v>13</v>
      </c>
      <c r="H304" s="148">
        <v>3422</v>
      </c>
      <c r="I304" s="150">
        <v>491</v>
      </c>
      <c r="J304" s="152">
        <f>I304/F304</f>
        <v>245.5</v>
      </c>
      <c r="K304" s="154">
        <f>+H304/I304</f>
        <v>6.969450101832994</v>
      </c>
      <c r="L304" s="183">
        <v>493437</v>
      </c>
      <c r="M304" s="152">
        <v>56198</v>
      </c>
      <c r="N304" s="267">
        <f>+L305/M305</f>
        <v>8.796291309889241</v>
      </c>
      <c r="O304" s="303"/>
    </row>
    <row r="305" spans="1:15" ht="15">
      <c r="A305" s="39">
        <v>302</v>
      </c>
      <c r="B305" s="268" t="s">
        <v>93</v>
      </c>
      <c r="C305" s="31">
        <v>40102</v>
      </c>
      <c r="D305" s="35" t="s">
        <v>240</v>
      </c>
      <c r="E305" s="56">
        <v>62</v>
      </c>
      <c r="F305" s="56">
        <v>1</v>
      </c>
      <c r="G305" s="56">
        <v>12</v>
      </c>
      <c r="H305" s="148">
        <v>1258</v>
      </c>
      <c r="I305" s="162">
        <v>177</v>
      </c>
      <c r="J305" s="181">
        <f>I305/F305</f>
        <v>177</v>
      </c>
      <c r="K305" s="182">
        <f>+H305/I305</f>
        <v>7.107344632768362</v>
      </c>
      <c r="L305" s="183">
        <v>490015</v>
      </c>
      <c r="M305" s="181">
        <v>55707</v>
      </c>
      <c r="N305" s="267">
        <f>+L306/M306</f>
        <v>8.779054054054054</v>
      </c>
      <c r="O305" s="305"/>
    </row>
    <row r="306" spans="1:15" ht="15">
      <c r="A306" s="39">
        <v>303</v>
      </c>
      <c r="B306" s="268" t="s">
        <v>93</v>
      </c>
      <c r="C306" s="31">
        <v>40102</v>
      </c>
      <c r="D306" s="35" t="s">
        <v>240</v>
      </c>
      <c r="E306" s="56">
        <v>62</v>
      </c>
      <c r="F306" s="56">
        <v>1</v>
      </c>
      <c r="G306" s="56">
        <v>14</v>
      </c>
      <c r="H306" s="161">
        <v>297</v>
      </c>
      <c r="I306" s="150">
        <v>42</v>
      </c>
      <c r="J306" s="152">
        <f>I306/F306</f>
        <v>42</v>
      </c>
      <c r="K306" s="154">
        <f>+H306/I306</f>
        <v>7.071428571428571</v>
      </c>
      <c r="L306" s="156">
        <v>493734</v>
      </c>
      <c r="M306" s="152">
        <v>56240</v>
      </c>
      <c r="N306" s="267">
        <f>L307/M307</f>
        <v>9.558436863209097</v>
      </c>
      <c r="O306" s="303"/>
    </row>
    <row r="307" spans="1:15" ht="15">
      <c r="A307" s="39">
        <v>304</v>
      </c>
      <c r="B307" s="268" t="s">
        <v>48</v>
      </c>
      <c r="C307" s="31">
        <v>40116</v>
      </c>
      <c r="D307" s="28" t="s">
        <v>47</v>
      </c>
      <c r="E307" s="56">
        <v>24</v>
      </c>
      <c r="F307" s="56">
        <v>2</v>
      </c>
      <c r="G307" s="56">
        <v>9</v>
      </c>
      <c r="H307" s="161">
        <v>865</v>
      </c>
      <c r="I307" s="150">
        <v>152</v>
      </c>
      <c r="J307" s="152">
        <f>I307/F307</f>
        <v>76</v>
      </c>
      <c r="K307" s="154">
        <f>H307/I307</f>
        <v>5.690789473684211</v>
      </c>
      <c r="L307" s="156">
        <f>87403.25+34862.75+15508.5+2797+944+915+1620+497+865</f>
        <v>145412.5</v>
      </c>
      <c r="M307" s="152">
        <f>14575+405+81+152</f>
        <v>15213</v>
      </c>
      <c r="N307" s="272">
        <f>IF(L308&lt;&gt;0,L308/M308,"")</f>
        <v>9.59747028749751</v>
      </c>
      <c r="O307" s="301"/>
    </row>
    <row r="308" spans="1:15" ht="15">
      <c r="A308" s="39">
        <v>305</v>
      </c>
      <c r="B308" s="268" t="s">
        <v>48</v>
      </c>
      <c r="C308" s="31">
        <v>40116</v>
      </c>
      <c r="D308" s="33" t="s">
        <v>139</v>
      </c>
      <c r="E308" s="56">
        <v>24</v>
      </c>
      <c r="F308" s="56">
        <v>1</v>
      </c>
      <c r="G308" s="56">
        <v>8</v>
      </c>
      <c r="H308" s="148">
        <v>497</v>
      </c>
      <c r="I308" s="162">
        <v>81</v>
      </c>
      <c r="J308" s="187">
        <f>IF(H308&lt;&gt;0,I308/F308,"")</f>
        <v>81</v>
      </c>
      <c r="K308" s="185">
        <f>IF(H308&lt;&gt;0,H308/I308,"")</f>
        <v>6.135802469135802</v>
      </c>
      <c r="L308" s="183">
        <f>87403.25+34862.75+15508.5+2797+944+915+1620+497</f>
        <v>144547.5</v>
      </c>
      <c r="M308" s="181">
        <f>14575+405+81</f>
        <v>15061</v>
      </c>
      <c r="N308" s="267">
        <f>L309/M309</f>
        <v>9.535270658995817</v>
      </c>
      <c r="O308" s="303"/>
    </row>
    <row r="309" spans="1:15" ht="15">
      <c r="A309" s="39">
        <v>306</v>
      </c>
      <c r="B309" s="268" t="s">
        <v>48</v>
      </c>
      <c r="C309" s="31">
        <v>40116</v>
      </c>
      <c r="D309" s="28" t="s">
        <v>47</v>
      </c>
      <c r="E309" s="56">
        <v>24</v>
      </c>
      <c r="F309" s="56">
        <v>1</v>
      </c>
      <c r="G309" s="56">
        <v>10</v>
      </c>
      <c r="H309" s="161">
        <v>439</v>
      </c>
      <c r="I309" s="150">
        <v>83</v>
      </c>
      <c r="J309" s="152">
        <f>(I309/F309)</f>
        <v>83</v>
      </c>
      <c r="K309" s="154">
        <f>(J309/G309)</f>
        <v>8.3</v>
      </c>
      <c r="L309" s="156">
        <f>87403.25+34862.75+15508.5+2797+944+915+1620+497+865+439</f>
        <v>145851.5</v>
      </c>
      <c r="M309" s="152">
        <f>14575+405+81+152+83</f>
        <v>15296</v>
      </c>
      <c r="N309" s="266">
        <f>L310/M310</f>
        <v>8.636579572446555</v>
      </c>
      <c r="O309" s="301"/>
    </row>
    <row r="310" spans="1:15" ht="15">
      <c r="A310" s="39">
        <v>307</v>
      </c>
      <c r="B310" s="268" t="s">
        <v>55</v>
      </c>
      <c r="C310" s="31">
        <v>40151</v>
      </c>
      <c r="D310" s="32" t="s">
        <v>242</v>
      </c>
      <c r="E310" s="56">
        <v>2</v>
      </c>
      <c r="F310" s="56">
        <v>2</v>
      </c>
      <c r="G310" s="56">
        <v>5</v>
      </c>
      <c r="H310" s="159">
        <v>2853</v>
      </c>
      <c r="I310" s="160">
        <v>502</v>
      </c>
      <c r="J310" s="177">
        <f>(I310/F310)</f>
        <v>251</v>
      </c>
      <c r="K310" s="155">
        <f aca="true" t="shared" si="32" ref="K310:K315">H310/I310</f>
        <v>5.683266932270916</v>
      </c>
      <c r="L310" s="178">
        <f>14952+6112+2196+2975+2853</f>
        <v>29088</v>
      </c>
      <c r="M310" s="179">
        <f>1468+666+254+478+502</f>
        <v>3368</v>
      </c>
      <c r="N310" s="266">
        <f>L311/M311</f>
        <v>7.921582563373608</v>
      </c>
      <c r="O310" s="303"/>
    </row>
    <row r="311" spans="1:15" ht="15">
      <c r="A311" s="39">
        <v>308</v>
      </c>
      <c r="B311" s="275" t="s">
        <v>55</v>
      </c>
      <c r="C311" s="46">
        <v>40151</v>
      </c>
      <c r="D311" s="32" t="s">
        <v>242</v>
      </c>
      <c r="E311" s="54">
        <v>2</v>
      </c>
      <c r="F311" s="54">
        <v>1</v>
      </c>
      <c r="G311" s="54">
        <v>9</v>
      </c>
      <c r="H311" s="163">
        <v>2139</v>
      </c>
      <c r="I311" s="164">
        <v>535</v>
      </c>
      <c r="J311" s="181">
        <f>I311/F311</f>
        <v>535</v>
      </c>
      <c r="K311" s="182">
        <f t="shared" si="32"/>
        <v>3.9981308411214953</v>
      </c>
      <c r="L311" s="183">
        <f>14952+6112+2196+2975+2853+674+1006+530+2139</f>
        <v>33437</v>
      </c>
      <c r="M311" s="181">
        <f>1468+666+254+478+502+81+130+107+535</f>
        <v>4221</v>
      </c>
      <c r="N311" s="267">
        <f>+L312/M312</f>
        <v>8.629167874746303</v>
      </c>
      <c r="O311" s="309"/>
    </row>
    <row r="312" spans="1:15" ht="15">
      <c r="A312" s="39">
        <v>309</v>
      </c>
      <c r="B312" s="268" t="s">
        <v>55</v>
      </c>
      <c r="C312" s="31">
        <v>40151</v>
      </c>
      <c r="D312" s="32" t="s">
        <v>242</v>
      </c>
      <c r="E312" s="56">
        <v>2</v>
      </c>
      <c r="F312" s="56">
        <v>2</v>
      </c>
      <c r="G312" s="56">
        <v>6</v>
      </c>
      <c r="H312" s="159">
        <v>674</v>
      </c>
      <c r="I312" s="160">
        <v>81</v>
      </c>
      <c r="J312" s="177">
        <f>(I312/F312)</f>
        <v>40.5</v>
      </c>
      <c r="K312" s="180">
        <f t="shared" si="32"/>
        <v>8.320987654320987</v>
      </c>
      <c r="L312" s="178">
        <f>14952+6112+2196+2975+2853+674</f>
        <v>29762</v>
      </c>
      <c r="M312" s="179">
        <f>1468+666+254+478+502+81</f>
        <v>3449</v>
      </c>
      <c r="N312" s="267">
        <f>L313/M313</f>
        <v>8.491047205642973</v>
      </c>
      <c r="O312" s="312"/>
    </row>
    <row r="313" spans="1:15" ht="15">
      <c r="A313" s="39">
        <v>310</v>
      </c>
      <c r="B313" s="268" t="s">
        <v>55</v>
      </c>
      <c r="C313" s="31">
        <v>40151</v>
      </c>
      <c r="D313" s="32" t="s">
        <v>242</v>
      </c>
      <c r="E313" s="56">
        <v>2</v>
      </c>
      <c r="F313" s="56">
        <v>1</v>
      </c>
      <c r="G313" s="56">
        <v>8</v>
      </c>
      <c r="H313" s="148">
        <v>530</v>
      </c>
      <c r="I313" s="162">
        <v>107</v>
      </c>
      <c r="J313" s="181">
        <f>(I313/F313)</f>
        <v>107</v>
      </c>
      <c r="K313" s="182">
        <f t="shared" si="32"/>
        <v>4.953271028037383</v>
      </c>
      <c r="L313" s="183">
        <f>14952+6112+2196+2975+2853+674+1006+530</f>
        <v>31298</v>
      </c>
      <c r="M313" s="181">
        <f>1468+666+254+478+502+81+130+107</f>
        <v>3686</v>
      </c>
      <c r="N313" s="267">
        <f>+L314/M314</f>
        <v>7.833139845578344</v>
      </c>
      <c r="O313" s="303"/>
    </row>
    <row r="314" spans="1:15" ht="15">
      <c r="A314" s="39">
        <v>311</v>
      </c>
      <c r="B314" s="275" t="s">
        <v>214</v>
      </c>
      <c r="C314" s="31">
        <v>39710</v>
      </c>
      <c r="D314" s="32" t="s">
        <v>47</v>
      </c>
      <c r="E314" s="54">
        <v>65</v>
      </c>
      <c r="F314" s="54">
        <v>1</v>
      </c>
      <c r="G314" s="54">
        <v>28</v>
      </c>
      <c r="H314" s="163">
        <v>1922</v>
      </c>
      <c r="I314" s="164">
        <v>384</v>
      </c>
      <c r="J314" s="181">
        <f>I314/F314</f>
        <v>384</v>
      </c>
      <c r="K314" s="182">
        <f t="shared" si="32"/>
        <v>5.005208333333333</v>
      </c>
      <c r="L314" s="183">
        <f>152576+127511+68854.5+21974+10111.5+7103+7290+0.5+1014+3149+989+3524+0.5+3768+138+2528+257+351.5+573.5+184+3655+10+15+10+210+156+3603+3603+1922</f>
        <v>425081</v>
      </c>
      <c r="M314" s="181">
        <f>50018+825+47+65+137+67+1215+2+3+2+35+26+721+720+384</f>
        <v>54267</v>
      </c>
      <c r="N314" s="270">
        <f>+L314/M314</f>
        <v>7.833139845578344</v>
      </c>
      <c r="O314" s="301"/>
    </row>
    <row r="315" spans="1:15" ht="15">
      <c r="A315" s="39">
        <v>312</v>
      </c>
      <c r="B315" s="265" t="s">
        <v>304</v>
      </c>
      <c r="C315" s="26">
        <v>39871</v>
      </c>
      <c r="D315" s="27" t="s">
        <v>242</v>
      </c>
      <c r="E315" s="230">
        <v>1</v>
      </c>
      <c r="F315" s="230">
        <v>1</v>
      </c>
      <c r="G315" s="230">
        <v>23</v>
      </c>
      <c r="H315" s="149">
        <v>1780</v>
      </c>
      <c r="I315" s="151">
        <v>445</v>
      </c>
      <c r="J315" s="153">
        <f>(I315/F315)</f>
        <v>445</v>
      </c>
      <c r="K315" s="155">
        <f t="shared" si="32"/>
        <v>4</v>
      </c>
      <c r="L315" s="157">
        <f>1088+1510+1304+856+387+214+424+106+162+130+476+60.5+118+96+1664+1780+454+259.5+1188+119.5+1188+1780+1780+1780</f>
        <v>18924.5</v>
      </c>
      <c r="M315" s="158">
        <f>267+175+155+102+46+26+51+12+18+16+57+8+22+16+416+445+57+31+297+19+297+445+445+445</f>
        <v>3868</v>
      </c>
      <c r="N315" s="266">
        <f>L315/M315</f>
        <v>4.8925801447776625</v>
      </c>
      <c r="O315" s="301"/>
    </row>
    <row r="316" spans="1:15" ht="15">
      <c r="A316" s="39">
        <v>313</v>
      </c>
      <c r="B316" s="265" t="s">
        <v>37</v>
      </c>
      <c r="C316" s="31">
        <v>40109</v>
      </c>
      <c r="D316" s="28" t="s">
        <v>105</v>
      </c>
      <c r="E316" s="56">
        <v>27</v>
      </c>
      <c r="F316" s="56">
        <v>3</v>
      </c>
      <c r="G316" s="56">
        <v>7</v>
      </c>
      <c r="H316" s="161">
        <v>1383</v>
      </c>
      <c r="I316" s="150">
        <v>193</v>
      </c>
      <c r="J316" s="152">
        <f>+I316/F316</f>
        <v>64.33333333333333</v>
      </c>
      <c r="K316" s="154">
        <f>+H316/I316</f>
        <v>7.16580310880829</v>
      </c>
      <c r="L316" s="156">
        <v>145394</v>
      </c>
      <c r="M316" s="152">
        <v>12128</v>
      </c>
      <c r="N316" s="266">
        <f>+L317/M317</f>
        <v>12.136046906866078</v>
      </c>
      <c r="O316" s="305"/>
    </row>
    <row r="317" spans="1:15" ht="15">
      <c r="A317" s="39">
        <v>314</v>
      </c>
      <c r="B317" s="265" t="s">
        <v>37</v>
      </c>
      <c r="C317" s="26">
        <v>40109</v>
      </c>
      <c r="D317" s="30" t="s">
        <v>105</v>
      </c>
      <c r="E317" s="55">
        <v>27</v>
      </c>
      <c r="F317" s="55">
        <v>1</v>
      </c>
      <c r="G317" s="55">
        <v>6</v>
      </c>
      <c r="H317" s="149">
        <v>189</v>
      </c>
      <c r="I317" s="151">
        <v>26</v>
      </c>
      <c r="J317" s="153">
        <f>I317/F317</f>
        <v>26</v>
      </c>
      <c r="K317" s="155">
        <f>H317/I317</f>
        <v>7.269230769230769</v>
      </c>
      <c r="L317" s="157">
        <v>142817</v>
      </c>
      <c r="M317" s="158">
        <v>11768</v>
      </c>
      <c r="N317" s="272">
        <f>IF(L318&lt;&gt;0,L318/M318,"")</f>
        <v>8.073504508215478</v>
      </c>
      <c r="O317" s="303"/>
    </row>
    <row r="318" spans="1:15" ht="15">
      <c r="A318" s="39">
        <v>315</v>
      </c>
      <c r="B318" s="280" t="s">
        <v>13</v>
      </c>
      <c r="C318" s="26">
        <v>40074</v>
      </c>
      <c r="D318" s="37" t="s">
        <v>78</v>
      </c>
      <c r="E318" s="60" t="s">
        <v>90</v>
      </c>
      <c r="F318" s="60" t="s">
        <v>91</v>
      </c>
      <c r="G318" s="60" t="s">
        <v>92</v>
      </c>
      <c r="H318" s="174">
        <v>1385</v>
      </c>
      <c r="I318" s="176">
        <v>222</v>
      </c>
      <c r="J318" s="203">
        <f>+I318/F318</f>
        <v>222</v>
      </c>
      <c r="K318" s="188">
        <f>IF(H318&lt;&gt;0,H318/I318,"")</f>
        <v>6.238738738738738</v>
      </c>
      <c r="L318" s="201">
        <v>176398</v>
      </c>
      <c r="M318" s="204">
        <v>21849</v>
      </c>
      <c r="N318" s="272">
        <f>IF(L319&lt;&gt;0,L319/M319,"")</f>
        <v>8.05110647560312</v>
      </c>
      <c r="O318" s="302"/>
    </row>
    <row r="319" spans="1:15" ht="15">
      <c r="A319" s="39">
        <v>316</v>
      </c>
      <c r="B319" s="280" t="s">
        <v>13</v>
      </c>
      <c r="C319" s="26">
        <v>40074</v>
      </c>
      <c r="D319" s="37" t="s">
        <v>78</v>
      </c>
      <c r="E319" s="60" t="s">
        <v>90</v>
      </c>
      <c r="F319" s="60" t="s">
        <v>91</v>
      </c>
      <c r="G319" s="60" t="s">
        <v>14</v>
      </c>
      <c r="H319" s="174">
        <v>1145</v>
      </c>
      <c r="I319" s="175">
        <v>203</v>
      </c>
      <c r="J319" s="205">
        <f>+I319/F319</f>
        <v>203</v>
      </c>
      <c r="K319" s="206"/>
      <c r="L319" s="201">
        <v>177543</v>
      </c>
      <c r="M319" s="202">
        <v>22052</v>
      </c>
      <c r="N319" s="266">
        <f>L320/M320</f>
        <v>5.862188099808061</v>
      </c>
      <c r="O319" s="303"/>
    </row>
    <row r="320" spans="1:15" ht="15">
      <c r="A320" s="39">
        <v>317</v>
      </c>
      <c r="B320" s="268" t="s">
        <v>22</v>
      </c>
      <c r="C320" s="31">
        <v>39962</v>
      </c>
      <c r="D320" s="32" t="s">
        <v>242</v>
      </c>
      <c r="E320" s="56">
        <v>1</v>
      </c>
      <c r="F320" s="56">
        <v>1</v>
      </c>
      <c r="G320" s="56">
        <v>16</v>
      </c>
      <c r="H320" s="159">
        <v>84</v>
      </c>
      <c r="I320" s="151">
        <v>20</v>
      </c>
      <c r="J320" s="153">
        <f>(I320/F320)</f>
        <v>20</v>
      </c>
      <c r="K320" s="155">
        <f>H320/I320</f>
        <v>4.2</v>
      </c>
      <c r="L320" s="178">
        <f>2055+1340+750+709+604+925+1270+1220+776+981+343+858+383+597+2376+84</f>
        <v>15271</v>
      </c>
      <c r="M320" s="158">
        <f>411+268+150+85+70+118+161+152+99+144+47+143+48+95+594+20</f>
        <v>2605</v>
      </c>
      <c r="N320" s="266">
        <f>L321/M321</f>
        <v>5.843630816170862</v>
      </c>
      <c r="O320" s="303"/>
    </row>
    <row r="321" spans="1:15" ht="15">
      <c r="A321" s="39">
        <v>318</v>
      </c>
      <c r="B321" s="268" t="s">
        <v>22</v>
      </c>
      <c r="C321" s="31">
        <v>39962</v>
      </c>
      <c r="D321" s="32" t="s">
        <v>242</v>
      </c>
      <c r="E321" s="56">
        <v>1</v>
      </c>
      <c r="F321" s="56">
        <v>1</v>
      </c>
      <c r="G321" s="56">
        <v>17</v>
      </c>
      <c r="H321" s="149">
        <v>51</v>
      </c>
      <c r="I321" s="151">
        <v>17</v>
      </c>
      <c r="J321" s="153">
        <f>(I321/F321)</f>
        <v>17</v>
      </c>
      <c r="K321" s="155">
        <f>H321/I321</f>
        <v>3</v>
      </c>
      <c r="L321" s="157">
        <f>2055+1340+750+709+604+925+1270+1220+776+981+343+858+383+597+2376+84+51</f>
        <v>15322</v>
      </c>
      <c r="M321" s="158">
        <f>411+268+150+85+70+118+161+152+99+144+47+143+48+95+594+20+17</f>
        <v>2622</v>
      </c>
      <c r="N321" s="266">
        <f>+L322/M322</f>
        <v>10.142659495693518</v>
      </c>
      <c r="O321" s="304"/>
    </row>
    <row r="322" spans="1:15" ht="15">
      <c r="A322" s="39">
        <v>319</v>
      </c>
      <c r="B322" s="265" t="s">
        <v>36</v>
      </c>
      <c r="C322" s="26">
        <v>40088</v>
      </c>
      <c r="D322" s="30" t="s">
        <v>105</v>
      </c>
      <c r="E322" s="55">
        <v>53</v>
      </c>
      <c r="F322" s="55">
        <v>2</v>
      </c>
      <c r="G322" s="55">
        <v>12</v>
      </c>
      <c r="H322" s="149">
        <v>206</v>
      </c>
      <c r="I322" s="151">
        <v>33</v>
      </c>
      <c r="J322" s="153">
        <f>I322/F322</f>
        <v>16.5</v>
      </c>
      <c r="K322" s="155">
        <f>H322/I322</f>
        <v>6.242424242424242</v>
      </c>
      <c r="L322" s="157">
        <v>520501</v>
      </c>
      <c r="M322" s="158">
        <v>51318</v>
      </c>
      <c r="N322" s="267">
        <f>+L323/M323</f>
        <v>10.14201379417839</v>
      </c>
      <c r="O322" s="305"/>
    </row>
    <row r="323" spans="1:15" ht="15">
      <c r="A323" s="39">
        <v>320</v>
      </c>
      <c r="B323" s="265" t="s">
        <v>36</v>
      </c>
      <c r="C323" s="31">
        <v>40088</v>
      </c>
      <c r="D323" s="28" t="s">
        <v>105</v>
      </c>
      <c r="E323" s="56">
        <v>53</v>
      </c>
      <c r="F323" s="56">
        <v>1</v>
      </c>
      <c r="G323" s="56">
        <v>13</v>
      </c>
      <c r="H323" s="161">
        <v>48</v>
      </c>
      <c r="I323" s="150">
        <v>8</v>
      </c>
      <c r="J323" s="152">
        <f>+I323/F323</f>
        <v>8</v>
      </c>
      <c r="K323" s="154">
        <f aca="true" t="shared" si="33" ref="K323:K328">+H323/I323</f>
        <v>6</v>
      </c>
      <c r="L323" s="156">
        <v>520549</v>
      </c>
      <c r="M323" s="152">
        <v>51326</v>
      </c>
      <c r="N323" s="272">
        <f>+L324/M324</f>
        <v>8.393822755739905</v>
      </c>
      <c r="O323" s="303"/>
    </row>
    <row r="324" spans="1:15" ht="15">
      <c r="A324" s="39">
        <v>321</v>
      </c>
      <c r="B324" s="265" t="s">
        <v>392</v>
      </c>
      <c r="C324" s="31">
        <v>40158</v>
      </c>
      <c r="D324" s="27" t="s">
        <v>263</v>
      </c>
      <c r="E324" s="229">
        <v>148</v>
      </c>
      <c r="F324" s="229">
        <v>1</v>
      </c>
      <c r="G324" s="229">
        <v>13</v>
      </c>
      <c r="H324" s="161">
        <v>115</v>
      </c>
      <c r="I324" s="150">
        <v>23</v>
      </c>
      <c r="J324" s="152">
        <f>I324/F324</f>
        <v>23</v>
      </c>
      <c r="K324" s="154">
        <f t="shared" si="33"/>
        <v>5</v>
      </c>
      <c r="L324" s="156">
        <v>2865500</v>
      </c>
      <c r="M324" s="152">
        <v>341382</v>
      </c>
      <c r="N324" s="267">
        <f>+L324/M324</f>
        <v>8.393822755739905</v>
      </c>
      <c r="O324" s="349">
        <v>1</v>
      </c>
    </row>
    <row r="325" spans="1:15" ht="15">
      <c r="A325" s="39">
        <v>322</v>
      </c>
      <c r="B325" s="265" t="s">
        <v>392</v>
      </c>
      <c r="C325" s="31">
        <v>40158</v>
      </c>
      <c r="D325" s="27" t="s">
        <v>263</v>
      </c>
      <c r="E325" s="229">
        <v>148</v>
      </c>
      <c r="F325" s="229">
        <v>2</v>
      </c>
      <c r="G325" s="229">
        <v>12</v>
      </c>
      <c r="H325" s="161">
        <v>511</v>
      </c>
      <c r="I325" s="150">
        <v>98</v>
      </c>
      <c r="J325" s="152">
        <f>+I325/F325</f>
        <v>49</v>
      </c>
      <c r="K325" s="154">
        <f t="shared" si="33"/>
        <v>5.214285714285714</v>
      </c>
      <c r="L325" s="156">
        <v>2865385</v>
      </c>
      <c r="M325" s="152">
        <v>341359</v>
      </c>
      <c r="N325" s="267">
        <f>+L325/M325</f>
        <v>8.394051423867541</v>
      </c>
      <c r="O325" s="303"/>
    </row>
    <row r="326" spans="1:15" ht="15">
      <c r="A326" s="39">
        <v>323</v>
      </c>
      <c r="B326" s="273" t="s">
        <v>2</v>
      </c>
      <c r="C326" s="26">
        <v>40158</v>
      </c>
      <c r="D326" s="38" t="s">
        <v>105</v>
      </c>
      <c r="E326" s="58">
        <v>148</v>
      </c>
      <c r="F326" s="58">
        <v>91</v>
      </c>
      <c r="G326" s="58">
        <v>4</v>
      </c>
      <c r="H326" s="174">
        <v>119681</v>
      </c>
      <c r="I326" s="176">
        <v>17048</v>
      </c>
      <c r="J326" s="187">
        <f>+I326/F326</f>
        <v>187.34065934065933</v>
      </c>
      <c r="K326" s="185">
        <f t="shared" si="33"/>
        <v>7.020236977944627</v>
      </c>
      <c r="L326" s="201">
        <v>2757217</v>
      </c>
      <c r="M326" s="204">
        <v>323709</v>
      </c>
      <c r="N326" s="272">
        <f>+L327/M327</f>
        <v>8.461495060083312</v>
      </c>
      <c r="O326" s="317"/>
    </row>
    <row r="327" spans="1:15" ht="15">
      <c r="A327" s="39">
        <v>324</v>
      </c>
      <c r="B327" s="273" t="s">
        <v>67</v>
      </c>
      <c r="C327" s="26">
        <v>40158</v>
      </c>
      <c r="D327" s="37" t="s">
        <v>105</v>
      </c>
      <c r="E327" s="58">
        <v>148</v>
      </c>
      <c r="F327" s="58">
        <v>77</v>
      </c>
      <c r="G327" s="58">
        <v>5</v>
      </c>
      <c r="H327" s="174">
        <v>62188</v>
      </c>
      <c r="I327" s="176">
        <v>9495</v>
      </c>
      <c r="J327" s="187">
        <f>+I327/F327</f>
        <v>123.31168831168831</v>
      </c>
      <c r="K327" s="188">
        <f t="shared" si="33"/>
        <v>6.549552395997893</v>
      </c>
      <c r="L327" s="201">
        <v>2819404</v>
      </c>
      <c r="M327" s="204">
        <v>333204</v>
      </c>
      <c r="N327" s="272">
        <f>+L328/M328</f>
        <v>8.42448688593455</v>
      </c>
      <c r="O327" s="301"/>
    </row>
    <row r="328" spans="1:15" ht="15">
      <c r="A328" s="39">
        <v>325</v>
      </c>
      <c r="B328" s="273" t="s">
        <v>2</v>
      </c>
      <c r="C328" s="26">
        <v>40158</v>
      </c>
      <c r="D328" s="37" t="s">
        <v>105</v>
      </c>
      <c r="E328" s="58">
        <v>148</v>
      </c>
      <c r="F328" s="58">
        <v>39</v>
      </c>
      <c r="G328" s="58">
        <v>6</v>
      </c>
      <c r="H328" s="174">
        <v>28359</v>
      </c>
      <c r="I328" s="175">
        <v>4830</v>
      </c>
      <c r="J328" s="184">
        <f>+I328/F328</f>
        <v>123.84615384615384</v>
      </c>
      <c r="K328" s="185">
        <f t="shared" si="33"/>
        <v>5.871428571428571</v>
      </c>
      <c r="L328" s="201">
        <v>2847763</v>
      </c>
      <c r="M328" s="202">
        <v>338034</v>
      </c>
      <c r="N328" s="266">
        <f>+L329/M329</f>
        <v>8.40084294001028</v>
      </c>
      <c r="O328" s="302"/>
    </row>
    <row r="329" spans="1:15" ht="15">
      <c r="A329" s="39">
        <v>326</v>
      </c>
      <c r="B329" s="265" t="s">
        <v>67</v>
      </c>
      <c r="C329" s="26">
        <v>40158</v>
      </c>
      <c r="D329" s="30" t="s">
        <v>105</v>
      </c>
      <c r="E329" s="55">
        <v>148</v>
      </c>
      <c r="F329" s="55">
        <v>16</v>
      </c>
      <c r="G329" s="55">
        <v>7</v>
      </c>
      <c r="H329" s="149">
        <v>12514</v>
      </c>
      <c r="I329" s="151">
        <v>2441</v>
      </c>
      <c r="J329" s="153">
        <f>I329/F329</f>
        <v>152.5625</v>
      </c>
      <c r="K329" s="155">
        <f>H329/I329</f>
        <v>5.126587464154035</v>
      </c>
      <c r="L329" s="157">
        <v>2860277</v>
      </c>
      <c r="M329" s="158">
        <v>340475</v>
      </c>
      <c r="N329" s="267">
        <f>+L330/M330</f>
        <v>8.39805631580028</v>
      </c>
      <c r="O329" s="303"/>
    </row>
    <row r="330" spans="1:15" ht="15">
      <c r="A330" s="39">
        <v>327</v>
      </c>
      <c r="B330" s="265" t="s">
        <v>67</v>
      </c>
      <c r="C330" s="31">
        <v>40158</v>
      </c>
      <c r="D330" s="28" t="s">
        <v>105</v>
      </c>
      <c r="E330" s="56">
        <v>148</v>
      </c>
      <c r="F330" s="56">
        <v>6</v>
      </c>
      <c r="G330" s="56">
        <v>8</v>
      </c>
      <c r="H330" s="161">
        <v>2612</v>
      </c>
      <c r="I330" s="150">
        <v>424</v>
      </c>
      <c r="J330" s="152">
        <f>+I330/F330</f>
        <v>70.66666666666667</v>
      </c>
      <c r="K330" s="154">
        <f>+H330/I330</f>
        <v>6.160377358490566</v>
      </c>
      <c r="L330" s="156">
        <v>2862889</v>
      </c>
      <c r="M330" s="152">
        <v>340899</v>
      </c>
      <c r="N330" s="267">
        <f>L331/M331</f>
        <v>8.397404882340004</v>
      </c>
      <c r="O330" s="303"/>
    </row>
    <row r="331" spans="1:15" ht="15">
      <c r="A331" s="39">
        <v>328</v>
      </c>
      <c r="B331" s="268" t="s">
        <v>2</v>
      </c>
      <c r="C331" s="31">
        <v>40158</v>
      </c>
      <c r="D331" s="28" t="s">
        <v>105</v>
      </c>
      <c r="E331" s="56">
        <v>148</v>
      </c>
      <c r="F331" s="56">
        <v>2</v>
      </c>
      <c r="G331" s="56">
        <v>9</v>
      </c>
      <c r="H331" s="161">
        <v>836</v>
      </c>
      <c r="I331" s="150">
        <v>126</v>
      </c>
      <c r="J331" s="152">
        <f>(I331/F331)</f>
        <v>63</v>
      </c>
      <c r="K331" s="154">
        <f>(J331/G331)</f>
        <v>7</v>
      </c>
      <c r="L331" s="156">
        <v>2863725</v>
      </c>
      <c r="M331" s="152">
        <v>341025</v>
      </c>
      <c r="N331" s="267">
        <f>+L332/M332</f>
        <v>8.394964557919012</v>
      </c>
      <c r="O331" s="305"/>
    </row>
    <row r="332" spans="1:15" ht="15">
      <c r="A332" s="39">
        <v>329</v>
      </c>
      <c r="B332" s="268" t="s">
        <v>67</v>
      </c>
      <c r="C332" s="46">
        <v>40158</v>
      </c>
      <c r="D332" s="47" t="s">
        <v>105</v>
      </c>
      <c r="E332" s="54">
        <v>148</v>
      </c>
      <c r="F332" s="54">
        <v>1</v>
      </c>
      <c r="G332" s="54">
        <v>12</v>
      </c>
      <c r="H332" s="163">
        <v>500</v>
      </c>
      <c r="I332" s="164">
        <v>125</v>
      </c>
      <c r="J332" s="181">
        <f>+I332/F332</f>
        <v>125</v>
      </c>
      <c r="K332" s="182">
        <f>H332/I332</f>
        <v>4</v>
      </c>
      <c r="L332" s="183">
        <v>2864874</v>
      </c>
      <c r="M332" s="181">
        <v>341261</v>
      </c>
      <c r="N332" s="267">
        <f>+L333/M333</f>
        <v>8.396797476444272</v>
      </c>
      <c r="O332" s="303"/>
    </row>
    <row r="333" spans="1:15" ht="15">
      <c r="A333" s="39">
        <v>330</v>
      </c>
      <c r="B333" s="268" t="s">
        <v>2</v>
      </c>
      <c r="C333" s="31">
        <v>40158</v>
      </c>
      <c r="D333" s="28" t="s">
        <v>105</v>
      </c>
      <c r="E333" s="56">
        <v>148</v>
      </c>
      <c r="F333" s="56">
        <v>1</v>
      </c>
      <c r="G333" s="56">
        <v>10</v>
      </c>
      <c r="H333" s="148">
        <v>473</v>
      </c>
      <c r="I333" s="162">
        <v>81</v>
      </c>
      <c r="J333" s="181">
        <f>+I333/F333</f>
        <v>81</v>
      </c>
      <c r="K333" s="182">
        <f>+H333/I333</f>
        <v>5.839506172839506</v>
      </c>
      <c r="L333" s="183">
        <v>2864198</v>
      </c>
      <c r="M333" s="181">
        <v>341106</v>
      </c>
      <c r="N333" s="267">
        <f>+L334/M334</f>
        <v>8.396574973031283</v>
      </c>
      <c r="O333" s="303"/>
    </row>
    <row r="334" spans="1:15" ht="15">
      <c r="A334" s="39">
        <v>331</v>
      </c>
      <c r="B334" s="268" t="s">
        <v>2</v>
      </c>
      <c r="C334" s="46">
        <v>40158</v>
      </c>
      <c r="D334" s="47" t="s">
        <v>105</v>
      </c>
      <c r="E334" s="54">
        <v>148</v>
      </c>
      <c r="F334" s="54">
        <v>1</v>
      </c>
      <c r="G334" s="54">
        <v>11</v>
      </c>
      <c r="H334" s="163">
        <v>176</v>
      </c>
      <c r="I334" s="164">
        <v>30</v>
      </c>
      <c r="J334" s="181">
        <f aca="true" t="shared" si="34" ref="J334:J341">I334/F334</f>
        <v>30</v>
      </c>
      <c r="K334" s="182">
        <f>H334/I334</f>
        <v>5.866666666666666</v>
      </c>
      <c r="L334" s="183">
        <v>2864374</v>
      </c>
      <c r="M334" s="181">
        <v>341136</v>
      </c>
      <c r="N334" s="277">
        <f>+L335/M335</f>
        <v>9.81186609659298</v>
      </c>
      <c r="O334" s="301"/>
    </row>
    <row r="335" spans="1:15" ht="15">
      <c r="A335" s="39">
        <v>332</v>
      </c>
      <c r="B335" s="265" t="s">
        <v>42</v>
      </c>
      <c r="C335" s="26">
        <v>40074</v>
      </c>
      <c r="D335" s="35" t="s">
        <v>240</v>
      </c>
      <c r="E335" s="55">
        <v>61</v>
      </c>
      <c r="F335" s="55">
        <v>1</v>
      </c>
      <c r="G335" s="55">
        <v>28</v>
      </c>
      <c r="H335" s="159">
        <v>5600</v>
      </c>
      <c r="I335" s="160">
        <v>1400</v>
      </c>
      <c r="J335" s="177">
        <f t="shared" si="34"/>
        <v>1400</v>
      </c>
      <c r="K335" s="180">
        <f>+H335/I335</f>
        <v>4</v>
      </c>
      <c r="L335" s="178">
        <v>1023515</v>
      </c>
      <c r="M335" s="179">
        <v>104314</v>
      </c>
      <c r="N335" s="266">
        <f>L336/M336</f>
        <v>9.75012804218753</v>
      </c>
      <c r="O335" s="310">
        <v>1</v>
      </c>
    </row>
    <row r="336" spans="1:15" ht="15">
      <c r="A336" s="39">
        <v>333</v>
      </c>
      <c r="B336" s="265" t="s">
        <v>42</v>
      </c>
      <c r="C336" s="31">
        <v>40074</v>
      </c>
      <c r="D336" s="35" t="s">
        <v>240</v>
      </c>
      <c r="E336" s="56">
        <v>61</v>
      </c>
      <c r="F336" s="56">
        <v>1</v>
      </c>
      <c r="G336" s="54">
        <v>30</v>
      </c>
      <c r="H336" s="163">
        <v>4480</v>
      </c>
      <c r="I336" s="164">
        <v>1120</v>
      </c>
      <c r="J336" s="181">
        <f t="shared" si="34"/>
        <v>1120</v>
      </c>
      <c r="K336" s="182">
        <f>H336/I336</f>
        <v>4</v>
      </c>
      <c r="L336" s="183">
        <v>1027995</v>
      </c>
      <c r="M336" s="181">
        <v>105434</v>
      </c>
      <c r="N336" s="270">
        <f>+L336/M336</f>
        <v>9.75012804218753</v>
      </c>
      <c r="O336" s="301">
        <v>1</v>
      </c>
    </row>
    <row r="337" spans="1:15" ht="15">
      <c r="A337" s="39">
        <v>334</v>
      </c>
      <c r="B337" s="265" t="s">
        <v>42</v>
      </c>
      <c r="C337" s="31">
        <v>40074</v>
      </c>
      <c r="D337" s="35" t="s">
        <v>240</v>
      </c>
      <c r="E337" s="54">
        <v>61</v>
      </c>
      <c r="F337" s="54">
        <v>1</v>
      </c>
      <c r="G337" s="54">
        <v>31</v>
      </c>
      <c r="H337" s="163">
        <v>4480</v>
      </c>
      <c r="I337" s="164">
        <v>1120</v>
      </c>
      <c r="J337" s="181">
        <f t="shared" si="34"/>
        <v>1120</v>
      </c>
      <c r="K337" s="182">
        <f>H337/I337</f>
        <v>4</v>
      </c>
      <c r="L337" s="183">
        <v>1032475</v>
      </c>
      <c r="M337" s="181">
        <v>106554</v>
      </c>
      <c r="N337" s="270">
        <f>+L337/M337</f>
        <v>9.6896878577998</v>
      </c>
      <c r="O337" s="303">
        <v>1</v>
      </c>
    </row>
    <row r="338" spans="1:15" ht="15">
      <c r="A338" s="39">
        <v>335</v>
      </c>
      <c r="B338" s="278" t="s">
        <v>42</v>
      </c>
      <c r="C338" s="36">
        <v>40074</v>
      </c>
      <c r="D338" s="35" t="s">
        <v>240</v>
      </c>
      <c r="E338" s="59">
        <v>61</v>
      </c>
      <c r="F338" s="59">
        <v>1</v>
      </c>
      <c r="G338" s="59">
        <v>15</v>
      </c>
      <c r="H338" s="172">
        <v>1521</v>
      </c>
      <c r="I338" s="173">
        <v>408</v>
      </c>
      <c r="J338" s="197">
        <f t="shared" si="34"/>
        <v>408</v>
      </c>
      <c r="K338" s="196">
        <f>+H338/I338</f>
        <v>3.7279411764705883</v>
      </c>
      <c r="L338" s="198">
        <v>1027374</v>
      </c>
      <c r="M338" s="197">
        <v>103387</v>
      </c>
      <c r="N338" s="267">
        <f>+L339/M339</f>
        <v>9.92814827679364</v>
      </c>
      <c r="O338" s="302">
        <v>1</v>
      </c>
    </row>
    <row r="339" spans="1:15" ht="15">
      <c r="A339" s="39">
        <v>336</v>
      </c>
      <c r="B339" s="268" t="s">
        <v>42</v>
      </c>
      <c r="C339" s="31">
        <v>40074</v>
      </c>
      <c r="D339" s="35" t="s">
        <v>240</v>
      </c>
      <c r="E339" s="56">
        <v>61</v>
      </c>
      <c r="F339" s="56">
        <v>2</v>
      </c>
      <c r="G339" s="56">
        <v>17</v>
      </c>
      <c r="H339" s="148">
        <v>1503</v>
      </c>
      <c r="I339" s="150">
        <v>241</v>
      </c>
      <c r="J339" s="152">
        <f t="shared" si="34"/>
        <v>120.5</v>
      </c>
      <c r="K339" s="154">
        <f>+H339/I339</f>
        <v>6.236514522821577</v>
      </c>
      <c r="L339" s="183">
        <v>1028993</v>
      </c>
      <c r="M339" s="152">
        <v>103644</v>
      </c>
      <c r="N339" s="267">
        <f>+L340/M340</f>
        <v>9.936752318598106</v>
      </c>
      <c r="O339" s="305">
        <v>1</v>
      </c>
    </row>
    <row r="340" spans="1:15" ht="15">
      <c r="A340" s="39">
        <v>337</v>
      </c>
      <c r="B340" s="268" t="s">
        <v>42</v>
      </c>
      <c r="C340" s="31">
        <v>40074</v>
      </c>
      <c r="D340" s="35" t="s">
        <v>240</v>
      </c>
      <c r="E340" s="56">
        <v>61</v>
      </c>
      <c r="F340" s="56">
        <v>1</v>
      </c>
      <c r="G340" s="56">
        <v>16</v>
      </c>
      <c r="H340" s="148">
        <v>116</v>
      </c>
      <c r="I340" s="162">
        <v>16</v>
      </c>
      <c r="J340" s="181">
        <f t="shared" si="34"/>
        <v>16</v>
      </c>
      <c r="K340" s="182">
        <f>+H340/I340</f>
        <v>7.25</v>
      </c>
      <c r="L340" s="183">
        <v>1027490</v>
      </c>
      <c r="M340" s="181">
        <v>103403</v>
      </c>
      <c r="N340" s="266">
        <f>IF(L341&lt;&gt;0,L341/M341,"")</f>
        <v>0.05148152385310605</v>
      </c>
      <c r="O340" s="303">
        <v>1</v>
      </c>
    </row>
    <row r="341" spans="1:15" ht="15">
      <c r="A341" s="39">
        <v>338</v>
      </c>
      <c r="B341" s="265" t="s">
        <v>254</v>
      </c>
      <c r="C341" s="31">
        <v>33564</v>
      </c>
      <c r="D341" s="32" t="s">
        <v>255</v>
      </c>
      <c r="E341" s="56">
        <v>1</v>
      </c>
      <c r="F341" s="56">
        <v>1</v>
      </c>
      <c r="G341" s="56">
        <v>20</v>
      </c>
      <c r="H341" s="149">
        <v>1800</v>
      </c>
      <c r="I341" s="151">
        <v>450</v>
      </c>
      <c r="J341" s="152">
        <f t="shared" si="34"/>
        <v>450</v>
      </c>
      <c r="K341" s="154">
        <f>H341/I341</f>
        <v>4</v>
      </c>
      <c r="L341" s="156">
        <v>1800</v>
      </c>
      <c r="M341" s="152">
        <v>34964</v>
      </c>
      <c r="N341" s="267">
        <f>+L341/M341</f>
        <v>0.05148152385310605</v>
      </c>
      <c r="O341" s="303">
        <v>1</v>
      </c>
    </row>
    <row r="342" spans="1:15" ht="15">
      <c r="A342" s="39">
        <v>339</v>
      </c>
      <c r="B342" s="269" t="s">
        <v>112</v>
      </c>
      <c r="C342" s="34">
        <v>39878</v>
      </c>
      <c r="D342" s="32" t="s">
        <v>242</v>
      </c>
      <c r="E342" s="57">
        <v>39</v>
      </c>
      <c r="F342" s="57">
        <v>1</v>
      </c>
      <c r="G342" s="57">
        <v>29</v>
      </c>
      <c r="H342" s="149">
        <v>1780</v>
      </c>
      <c r="I342" s="151">
        <v>445</v>
      </c>
      <c r="J342" s="153">
        <f>(I342/F342)</f>
        <v>445</v>
      </c>
      <c r="K342" s="154">
        <f>+H342/I342</f>
        <v>4</v>
      </c>
      <c r="L342" s="157">
        <f>143992.5+82756.5+42509+41229+27290.5+16668+27602+17675+4710+8504.5+2403+4164+2272+3469+1997+135+299+674+178+30+240+1413+1006+209+393+680+1780+4040+1780</f>
        <v>440099</v>
      </c>
      <c r="M342" s="158">
        <f>15320+9228+5096+5970+4485+3115+5134+3946+1139+2307+509+879+411+637+472+29+62+165+32+6+48+348+139+43+54+68+445+1010+445</f>
        <v>61542</v>
      </c>
      <c r="N342" s="267">
        <f>L343/M343</f>
        <v>7.1285753464436095</v>
      </c>
      <c r="O342" s="303">
        <v>1</v>
      </c>
    </row>
    <row r="343" spans="1:15" ht="15">
      <c r="A343" s="39">
        <v>340</v>
      </c>
      <c r="B343" s="268" t="s">
        <v>112</v>
      </c>
      <c r="C343" s="31">
        <v>39878</v>
      </c>
      <c r="D343" s="32" t="s">
        <v>242</v>
      </c>
      <c r="E343" s="56">
        <v>39</v>
      </c>
      <c r="F343" s="56">
        <v>1</v>
      </c>
      <c r="G343" s="56">
        <v>30</v>
      </c>
      <c r="H343" s="161">
        <v>1780</v>
      </c>
      <c r="I343" s="150">
        <v>445</v>
      </c>
      <c r="J343" s="152">
        <f>I343/F343</f>
        <v>445</v>
      </c>
      <c r="K343" s="154">
        <f>+H343/I343</f>
        <v>4</v>
      </c>
      <c r="L343" s="156">
        <f>143992.5+82756.5+42509+41229+27290.5+16668+27602+17675+4710+8504.5+2403+4164+2272+3469+1997+135+299+674+178+30+240+1413+1006+209+393+680+1780+4040+1780+1780</f>
        <v>441879</v>
      </c>
      <c r="M343" s="152">
        <f>15320+9228+5096+5970+4485+3115+5134+3946+1139+2307+509+879+411+637+472+29+62+165+32+6+48+348+139+43+54+68+445+1010+445+445</f>
        <v>61987</v>
      </c>
      <c r="N343" s="267">
        <f>L344/M344</f>
        <v>7.116609079951788</v>
      </c>
      <c r="O343" s="301">
        <v>1</v>
      </c>
    </row>
    <row r="344" spans="1:15" ht="15">
      <c r="A344" s="39">
        <v>341</v>
      </c>
      <c r="B344" s="275" t="s">
        <v>112</v>
      </c>
      <c r="C344" s="31">
        <v>39878</v>
      </c>
      <c r="D344" s="32" t="s">
        <v>242</v>
      </c>
      <c r="E344" s="54">
        <v>39</v>
      </c>
      <c r="F344" s="54">
        <v>1</v>
      </c>
      <c r="G344" s="54">
        <v>31</v>
      </c>
      <c r="H344" s="163">
        <v>952</v>
      </c>
      <c r="I344" s="164">
        <v>238</v>
      </c>
      <c r="J344" s="181">
        <f>I344/F344</f>
        <v>238</v>
      </c>
      <c r="K344" s="182">
        <f>H344/I344</f>
        <v>4</v>
      </c>
      <c r="L344" s="183">
        <f>143992.5+82756.5+42509+41229+27290.5+16668+27602+17675+4710+8504.5+2403+4164+2272+3469+1997+135+299+674+178+30+240+1413+1006+209+393+680+1780+4040+1780+1780+952</f>
        <v>442831</v>
      </c>
      <c r="M344" s="181">
        <f>15320+9228+5096+5970+4485+3115+5134+3946+1139+2307+509+879+411+637+472+29+62+165+32+6+48+348+139+43+54+68+445+1010+445+445+238</f>
        <v>62225</v>
      </c>
      <c r="N344" s="270">
        <f>+L344/M344</f>
        <v>7.116609079951788</v>
      </c>
      <c r="O344" s="303"/>
    </row>
    <row r="345" spans="1:15" ht="15">
      <c r="A345" s="39">
        <v>342</v>
      </c>
      <c r="B345" s="265" t="s">
        <v>112</v>
      </c>
      <c r="C345" s="26">
        <v>39878</v>
      </c>
      <c r="D345" s="27" t="s">
        <v>242</v>
      </c>
      <c r="E345" s="230">
        <v>39</v>
      </c>
      <c r="F345" s="230">
        <v>1</v>
      </c>
      <c r="G345" s="230">
        <v>32</v>
      </c>
      <c r="H345" s="149">
        <v>745</v>
      </c>
      <c r="I345" s="151">
        <v>149</v>
      </c>
      <c r="J345" s="153">
        <f>(I345/F345)</f>
        <v>149</v>
      </c>
      <c r="K345" s="155">
        <f>H345/I345</f>
        <v>5</v>
      </c>
      <c r="L345" s="157">
        <f>143992.5+82756.5+42509+41229+27290.5+16668+27602+17675+4710+8504.5+2403+4164+2272+3469+1997+135+299+674+178+30+240+1413+1006+209+393+680+1780+4040+1780+1780+952+745</f>
        <v>443576</v>
      </c>
      <c r="M345" s="158">
        <f>15320+9228+5096+5970+4485+3115+5134+3946+1139+2307+509+879+411+637+472+29+62+165+32+6+48+348+139+43+54+68+445+1010+445+445+238+149</f>
        <v>62374</v>
      </c>
      <c r="N345" s="266">
        <f>L345/M345</f>
        <v>7.111552890627505</v>
      </c>
      <c r="O345" s="303"/>
    </row>
    <row r="346" spans="1:15" ht="15">
      <c r="A346" s="39">
        <v>343</v>
      </c>
      <c r="B346" s="268" t="s">
        <v>162</v>
      </c>
      <c r="C346" s="31">
        <v>39884</v>
      </c>
      <c r="D346" s="28" t="s">
        <v>105</v>
      </c>
      <c r="E346" s="56">
        <v>355</v>
      </c>
      <c r="F346" s="56">
        <v>1</v>
      </c>
      <c r="G346" s="56">
        <v>14</v>
      </c>
      <c r="H346" s="161">
        <v>1500</v>
      </c>
      <c r="I346" s="150">
        <v>300</v>
      </c>
      <c r="J346" s="152">
        <f>(I346/F346)</f>
        <v>300</v>
      </c>
      <c r="K346" s="154">
        <f>(J346/G346)</f>
        <v>21.428571428571427</v>
      </c>
      <c r="L346" s="156">
        <v>19045225</v>
      </c>
      <c r="M346" s="152">
        <v>2491754</v>
      </c>
      <c r="N346" s="267">
        <f>L347/M347</f>
        <v>6.99578682254905</v>
      </c>
      <c r="O346" s="316"/>
    </row>
    <row r="347" spans="1:15" ht="15">
      <c r="A347" s="39">
        <v>344</v>
      </c>
      <c r="B347" s="265" t="s">
        <v>248</v>
      </c>
      <c r="C347" s="26">
        <v>39759</v>
      </c>
      <c r="D347" s="27" t="s">
        <v>242</v>
      </c>
      <c r="E347" s="55">
        <v>93</v>
      </c>
      <c r="F347" s="55">
        <v>1</v>
      </c>
      <c r="G347" s="55">
        <v>19</v>
      </c>
      <c r="H347" s="159">
        <v>1424</v>
      </c>
      <c r="I347" s="160">
        <v>356</v>
      </c>
      <c r="J347" s="177">
        <f>(I347/F347)</f>
        <v>356</v>
      </c>
      <c r="K347" s="180">
        <f>H347/I347</f>
        <v>4</v>
      </c>
      <c r="L347" s="178">
        <f>224223+136351+27895+24212+1274+3482+7147+2804+5279+2025+2635+2196+1188+832+2140+360+2140+2376+1424</f>
        <v>449983</v>
      </c>
      <c r="M347" s="179">
        <f>27969+18593+4268+4646+311+857+1472+745+1285+386+636+549+297+208+535+80+535+594+356</f>
        <v>64322</v>
      </c>
      <c r="N347" s="266">
        <f>L347/M347</f>
        <v>6.99578682254905</v>
      </c>
      <c r="O347" s="303"/>
    </row>
    <row r="348" spans="1:15" ht="15">
      <c r="A348" s="39">
        <v>345</v>
      </c>
      <c r="B348" s="265" t="s">
        <v>385</v>
      </c>
      <c r="C348" s="31">
        <v>39836</v>
      </c>
      <c r="D348" s="27" t="s">
        <v>259</v>
      </c>
      <c r="E348" s="229">
        <v>180</v>
      </c>
      <c r="F348" s="229">
        <v>2</v>
      </c>
      <c r="G348" s="229">
        <v>22</v>
      </c>
      <c r="H348" s="161">
        <v>797</v>
      </c>
      <c r="I348" s="150">
        <v>89</v>
      </c>
      <c r="J348" s="152">
        <f>+I348/F348</f>
        <v>44.5</v>
      </c>
      <c r="K348" s="154">
        <f>+H348/I348</f>
        <v>8.955056179775282</v>
      </c>
      <c r="L348" s="156">
        <f>1758644.5+1323710+941534+309534.5+197920+55019+28515+10481.5+9376+0.5+7127+5202+0.5+4667+2669+85+805+2472+228+108+1372+272+347+797</f>
        <v>4660886.5</v>
      </c>
      <c r="M348" s="152">
        <f>205635+158652+117576+43365+28181+9066+4843+2243+2345+1225+998+716+401+17+161+412+38+18+343+46+58+89</f>
        <v>576428</v>
      </c>
      <c r="N348" s="267">
        <f>+L348/M348</f>
        <v>8.085808635250196</v>
      </c>
      <c r="O348" s="305"/>
    </row>
    <row r="349" spans="1:15" ht="15">
      <c r="A349" s="39">
        <v>346</v>
      </c>
      <c r="B349" s="265" t="s">
        <v>178</v>
      </c>
      <c r="C349" s="31">
        <v>39899</v>
      </c>
      <c r="D349" s="32" t="s">
        <v>242</v>
      </c>
      <c r="E349" s="54">
        <v>16</v>
      </c>
      <c r="F349" s="54">
        <v>1</v>
      </c>
      <c r="G349" s="54">
        <v>19</v>
      </c>
      <c r="H349" s="163">
        <v>669.28</v>
      </c>
      <c r="I349" s="164">
        <v>150</v>
      </c>
      <c r="J349" s="181">
        <f>I349/F349</f>
        <v>150</v>
      </c>
      <c r="K349" s="182">
        <f>+H349/I349</f>
        <v>4.461866666666666</v>
      </c>
      <c r="L349" s="183">
        <f>31480+15536+8716+2149+2897+1360+2390+1251+322+381+329+492+928+436+1103+1913+46+240+669.28</f>
        <v>72638.28</v>
      </c>
      <c r="M349" s="181">
        <f>3450+1778+1361+440+508+248+548+290+68+72+58+96+96+70+137+309+9+48+150</f>
        <v>9736</v>
      </c>
      <c r="N349" s="270">
        <f>+L349/M349</f>
        <v>7.460792933442892</v>
      </c>
      <c r="O349" s="303"/>
    </row>
    <row r="350" spans="1:15" ht="15">
      <c r="A350" s="39">
        <v>347</v>
      </c>
      <c r="B350" s="265" t="s">
        <v>178</v>
      </c>
      <c r="C350" s="31">
        <v>39899</v>
      </c>
      <c r="D350" s="32" t="s">
        <v>242</v>
      </c>
      <c r="E350" s="54">
        <v>16</v>
      </c>
      <c r="F350" s="54">
        <v>1</v>
      </c>
      <c r="G350" s="54">
        <v>20</v>
      </c>
      <c r="H350" s="163">
        <v>648.46</v>
      </c>
      <c r="I350" s="164">
        <v>151</v>
      </c>
      <c r="J350" s="181">
        <f>(I350/F350)</f>
        <v>151</v>
      </c>
      <c r="K350" s="182">
        <f aca="true" t="shared" si="35" ref="K350:K364">H350/I350</f>
        <v>4.2944370860927155</v>
      </c>
      <c r="L350" s="183">
        <f>31480+15536+8716+2149+2897+1360+2390+1251+322+381+329+492+928+436+1103+1913+46+240+669.28+648.46</f>
        <v>73286.74</v>
      </c>
      <c r="M350" s="181">
        <f>3450+1778+1361+440+508+248+548+290+68+72+58+96+96+70+137+309+9+48+150+151</f>
        <v>9887</v>
      </c>
      <c r="N350" s="270">
        <f>L350/M350</f>
        <v>7.412434509962577</v>
      </c>
      <c r="O350" s="304"/>
    </row>
    <row r="351" spans="1:15" ht="15">
      <c r="A351" s="39">
        <v>348</v>
      </c>
      <c r="B351" s="265" t="s">
        <v>178</v>
      </c>
      <c r="C351" s="31">
        <v>39899</v>
      </c>
      <c r="D351" s="32" t="s">
        <v>242</v>
      </c>
      <c r="E351" s="54">
        <v>16</v>
      </c>
      <c r="F351" s="54">
        <v>1</v>
      </c>
      <c r="G351" s="54">
        <v>21</v>
      </c>
      <c r="H351" s="163">
        <v>226</v>
      </c>
      <c r="I351" s="165">
        <v>48</v>
      </c>
      <c r="J351" s="152">
        <f>(I351/F351)</f>
        <v>48</v>
      </c>
      <c r="K351" s="154">
        <f t="shared" si="35"/>
        <v>4.708333333333333</v>
      </c>
      <c r="L351" s="156">
        <f>31480+15536+8716+2149+2897+1360+2390+1251+322+381+329+492+928+436+1103+1913+46+240+669.28+648.46+226</f>
        <v>73512.74</v>
      </c>
      <c r="M351" s="152">
        <f>3450+1778+1361+440+508+248+548+290+68+72+58+96+96+70+137+309+9+48+150+151+48</f>
        <v>9935</v>
      </c>
      <c r="N351" s="267">
        <f>L351/M351</f>
        <v>7.39936990437846</v>
      </c>
      <c r="O351" s="308">
        <v>1</v>
      </c>
    </row>
    <row r="352" spans="1:15" ht="15">
      <c r="A352" s="39">
        <v>349</v>
      </c>
      <c r="B352" s="265" t="s">
        <v>220</v>
      </c>
      <c r="C352" s="31">
        <v>40060</v>
      </c>
      <c r="D352" s="32" t="s">
        <v>242</v>
      </c>
      <c r="E352" s="54">
        <v>3</v>
      </c>
      <c r="F352" s="54">
        <v>1</v>
      </c>
      <c r="G352" s="54">
        <v>9</v>
      </c>
      <c r="H352" s="163">
        <v>2830.46</v>
      </c>
      <c r="I352" s="164">
        <v>698</v>
      </c>
      <c r="J352" s="181">
        <f>(I352/F352)</f>
        <v>698</v>
      </c>
      <c r="K352" s="182">
        <f t="shared" si="35"/>
        <v>4.0551002865329515</v>
      </c>
      <c r="L352" s="183">
        <f>7317+3809.25+1860+639+729+966+238+668+2830.46</f>
        <v>19056.71</v>
      </c>
      <c r="M352" s="181">
        <f>792+424+238+115+144+202+40+134+698</f>
        <v>2787</v>
      </c>
      <c r="N352" s="270">
        <f>L352/M352</f>
        <v>6.837714388231072</v>
      </c>
      <c r="O352" s="303"/>
    </row>
    <row r="353" spans="1:15" ht="15">
      <c r="A353" s="39">
        <v>350</v>
      </c>
      <c r="B353" s="265" t="s">
        <v>220</v>
      </c>
      <c r="C353" s="31">
        <v>40060</v>
      </c>
      <c r="D353" s="32" t="s">
        <v>242</v>
      </c>
      <c r="E353" s="54">
        <v>3</v>
      </c>
      <c r="F353" s="54">
        <v>1</v>
      </c>
      <c r="G353" s="54">
        <v>10</v>
      </c>
      <c r="H353" s="163">
        <v>53.64</v>
      </c>
      <c r="I353" s="165">
        <v>14</v>
      </c>
      <c r="J353" s="152">
        <f>(I353/F353)</f>
        <v>14</v>
      </c>
      <c r="K353" s="154">
        <f t="shared" si="35"/>
        <v>3.8314285714285714</v>
      </c>
      <c r="L353" s="156">
        <f>7317+3809.25+1860+639+729+966+238+668+2830.46+53.64</f>
        <v>19110.35</v>
      </c>
      <c r="M353" s="152">
        <f>792+424+238+115+144+202+40+134+698+14</f>
        <v>2801</v>
      </c>
      <c r="N353" s="267">
        <f>L353/M353</f>
        <v>6.822688325598</v>
      </c>
      <c r="O353" s="349">
        <v>1</v>
      </c>
    </row>
    <row r="354" spans="1:15" ht="15">
      <c r="A354" s="39">
        <v>351</v>
      </c>
      <c r="B354" s="275" t="s">
        <v>159</v>
      </c>
      <c r="C354" s="46">
        <v>39892</v>
      </c>
      <c r="D354" s="32" t="s">
        <v>242</v>
      </c>
      <c r="E354" s="54">
        <v>5</v>
      </c>
      <c r="F354" s="54">
        <v>1</v>
      </c>
      <c r="G354" s="54">
        <v>23</v>
      </c>
      <c r="H354" s="163">
        <v>2376</v>
      </c>
      <c r="I354" s="164">
        <v>594</v>
      </c>
      <c r="J354" s="181">
        <f>I354/F354</f>
        <v>594</v>
      </c>
      <c r="K354" s="182">
        <f t="shared" si="35"/>
        <v>4</v>
      </c>
      <c r="L354" s="183">
        <f>18881.5+13473+6553+4173.5+2378+3269+2172+792+240+60+1236+552+1321+1757+465+884+565+65+261+952+114+51+2376</f>
        <v>62591</v>
      </c>
      <c r="M354" s="181">
        <f>2268+1745+795+568+579+610+541+209+80+20+215+68+169+337+93+144+93+15+56+238+23+20+594</f>
        <v>9480</v>
      </c>
      <c r="N354" s="267">
        <f>+L355/M355</f>
        <v>6.785923753665689</v>
      </c>
      <c r="O354" s="303"/>
    </row>
    <row r="355" spans="1:15" ht="15">
      <c r="A355" s="39">
        <v>352</v>
      </c>
      <c r="B355" s="268" t="s">
        <v>159</v>
      </c>
      <c r="C355" s="31">
        <v>39892</v>
      </c>
      <c r="D355" s="32" t="s">
        <v>242</v>
      </c>
      <c r="E355" s="56">
        <v>5</v>
      </c>
      <c r="F355" s="56">
        <v>1</v>
      </c>
      <c r="G355" s="56">
        <v>20</v>
      </c>
      <c r="H355" s="161">
        <v>114</v>
      </c>
      <c r="I355" s="150">
        <v>23</v>
      </c>
      <c r="J355" s="152">
        <f>(I355/F355)</f>
        <v>23</v>
      </c>
      <c r="K355" s="154">
        <f t="shared" si="35"/>
        <v>4.956521739130435</v>
      </c>
      <c r="L355" s="156">
        <f>18881.5+13473+6553+4173.5+2378+3269+2172+792+240+60+1236+552+1321+1757+465+884+565+65+261+952+114</f>
        <v>60164</v>
      </c>
      <c r="M355" s="152">
        <f>2268+1745+795+568+579+610+541+209+80+20+215+68+169+337+93+144+93+15+56+238+23</f>
        <v>8866</v>
      </c>
      <c r="N355" s="267">
        <f>L356/M356</f>
        <v>6.776389826693675</v>
      </c>
      <c r="O355" s="311"/>
    </row>
    <row r="356" spans="1:15" ht="15">
      <c r="A356" s="39">
        <v>353</v>
      </c>
      <c r="B356" s="268" t="s">
        <v>159</v>
      </c>
      <c r="C356" s="31">
        <v>39892</v>
      </c>
      <c r="D356" s="32" t="s">
        <v>242</v>
      </c>
      <c r="E356" s="56">
        <v>5</v>
      </c>
      <c r="F356" s="56">
        <v>1</v>
      </c>
      <c r="G356" s="56">
        <v>22</v>
      </c>
      <c r="H356" s="148">
        <v>51</v>
      </c>
      <c r="I356" s="162">
        <v>20</v>
      </c>
      <c r="J356" s="181">
        <f>(I356/F356)</f>
        <v>20</v>
      </c>
      <c r="K356" s="182">
        <f t="shared" si="35"/>
        <v>2.55</v>
      </c>
      <c r="L356" s="183">
        <f>18881.5+13473+6553+4173.5+2378+3269+2172+792+240+60+1236+552+1321+1757+465+884+565+65+261+952+114+51</f>
        <v>60215</v>
      </c>
      <c r="M356" s="181">
        <f>2268+1745+795+568+579+610+541+209+80+20+215+68+169+337+93+144+93+15+56+238+23+20</f>
        <v>8886</v>
      </c>
      <c r="N356" s="267">
        <f>+L357/M357</f>
        <v>10.660764736867309</v>
      </c>
      <c r="O356" s="305">
        <v>1</v>
      </c>
    </row>
    <row r="357" spans="1:15" ht="15">
      <c r="A357" s="39">
        <v>354</v>
      </c>
      <c r="B357" s="265" t="s">
        <v>115</v>
      </c>
      <c r="C357" s="31">
        <v>40088</v>
      </c>
      <c r="D357" s="27" t="s">
        <v>242</v>
      </c>
      <c r="E357" s="229">
        <v>22</v>
      </c>
      <c r="F357" s="229">
        <v>1</v>
      </c>
      <c r="G357" s="229">
        <v>21</v>
      </c>
      <c r="H357" s="161">
        <v>1188</v>
      </c>
      <c r="I357" s="150">
        <v>297</v>
      </c>
      <c r="J357" s="152">
        <f>(I357/F357)</f>
        <v>297</v>
      </c>
      <c r="K357" s="154">
        <f t="shared" si="35"/>
        <v>4</v>
      </c>
      <c r="L357" s="156">
        <f>25195+10013.5+1152+270+83.5+141+48+709.5+1424+1356+5416.5+126229.75+19059.5+5814+6475.5+5450+6300+4948+862+493+1188</f>
        <v>222628.75</v>
      </c>
      <c r="M357" s="152">
        <f>2139+1282+178+44+14+26+8+240+356+299+446+10017+1456+869+877+646+776+686+134+93+297</f>
        <v>20883</v>
      </c>
      <c r="N357" s="267">
        <f>L357/M357</f>
        <v>10.660764736867309</v>
      </c>
      <c r="O357" s="349"/>
    </row>
    <row r="358" spans="1:15" ht="15">
      <c r="A358" s="39">
        <v>355</v>
      </c>
      <c r="B358" s="275" t="s">
        <v>115</v>
      </c>
      <c r="C358" s="46">
        <v>40088</v>
      </c>
      <c r="D358" s="32" t="s">
        <v>242</v>
      </c>
      <c r="E358" s="54">
        <v>22</v>
      </c>
      <c r="F358" s="54">
        <v>22</v>
      </c>
      <c r="G358" s="54">
        <v>12</v>
      </c>
      <c r="H358" s="163">
        <v>126229.75</v>
      </c>
      <c r="I358" s="164">
        <v>10017</v>
      </c>
      <c r="J358" s="181">
        <f>I358/F358</f>
        <v>455.3181818181818</v>
      </c>
      <c r="K358" s="182">
        <f t="shared" si="35"/>
        <v>12.601552360986323</v>
      </c>
      <c r="L358" s="183">
        <f>25195+10013.5+1152+270+83.5+141+48+709.5+1424+1356+5416.5+126229.75</f>
        <v>172038.75</v>
      </c>
      <c r="M358" s="181">
        <f>2139+1282+178+44+14+26+8+240+356+299+446+10017</f>
        <v>15049</v>
      </c>
      <c r="N358" s="267">
        <f>+L359/M359</f>
        <v>11.586625265071191</v>
      </c>
      <c r="O358" s="303">
        <v>1</v>
      </c>
    </row>
    <row r="359" spans="1:15" ht="15">
      <c r="A359" s="39">
        <v>356</v>
      </c>
      <c r="B359" s="275" t="s">
        <v>115</v>
      </c>
      <c r="C359" s="46">
        <v>40088</v>
      </c>
      <c r="D359" s="32" t="s">
        <v>242</v>
      </c>
      <c r="E359" s="54">
        <v>22</v>
      </c>
      <c r="F359" s="54">
        <v>9</v>
      </c>
      <c r="G359" s="54">
        <v>13</v>
      </c>
      <c r="H359" s="163">
        <v>19198.5</v>
      </c>
      <c r="I359" s="164">
        <v>1456</v>
      </c>
      <c r="J359" s="181">
        <f>I359/F359</f>
        <v>161.77777777777777</v>
      </c>
      <c r="K359" s="182">
        <f t="shared" si="35"/>
        <v>13.185782967032967</v>
      </c>
      <c r="L359" s="183">
        <f>25195+10013.5+1152+270+83.5+141+48+709.5+1424+1356+5416.5+126229.75+19198.5</f>
        <v>191237.25</v>
      </c>
      <c r="M359" s="181">
        <f>2139+1282+178+44+14+26+8+240+356+299+446+10017+1456</f>
        <v>16505</v>
      </c>
      <c r="N359" s="266">
        <f>L360/M360</f>
        <v>11.143923620623527</v>
      </c>
      <c r="O359" s="303">
        <v>1</v>
      </c>
    </row>
    <row r="360" spans="1:15" ht="15">
      <c r="A360" s="39">
        <v>357</v>
      </c>
      <c r="B360" s="265" t="s">
        <v>115</v>
      </c>
      <c r="C360" s="26">
        <v>40088</v>
      </c>
      <c r="D360" s="32" t="s">
        <v>242</v>
      </c>
      <c r="E360" s="55">
        <v>22</v>
      </c>
      <c r="F360" s="55">
        <v>8</v>
      </c>
      <c r="G360" s="55">
        <v>15</v>
      </c>
      <c r="H360" s="159">
        <v>6475.5</v>
      </c>
      <c r="I360" s="160">
        <v>877</v>
      </c>
      <c r="J360" s="177">
        <f>(I360/F360)</f>
        <v>109.625</v>
      </c>
      <c r="K360" s="180">
        <f t="shared" si="35"/>
        <v>7.38369441277081</v>
      </c>
      <c r="L360" s="178">
        <f>25195+10013.5+1152+270+83.5+141+48+709.5+1424+1356+5416.5+126229.75+19059.5+5814+6475.5</f>
        <v>203387.75</v>
      </c>
      <c r="M360" s="179">
        <f>2139+1282+178+44+14+26+8+240+356+299+446+10017+1456+869+877</f>
        <v>18251</v>
      </c>
      <c r="N360" s="266">
        <f>L361/M361</f>
        <v>10.935685965536521</v>
      </c>
      <c r="O360" s="303">
        <v>1</v>
      </c>
    </row>
    <row r="361" spans="1:15" ht="15">
      <c r="A361" s="39">
        <v>358</v>
      </c>
      <c r="B361" s="275" t="s">
        <v>115</v>
      </c>
      <c r="C361" s="31">
        <v>40088</v>
      </c>
      <c r="D361" s="32" t="s">
        <v>242</v>
      </c>
      <c r="E361" s="54">
        <v>22</v>
      </c>
      <c r="F361" s="54">
        <v>3</v>
      </c>
      <c r="G361" s="54">
        <v>17</v>
      </c>
      <c r="H361" s="163">
        <v>6300</v>
      </c>
      <c r="I361" s="164">
        <v>776</v>
      </c>
      <c r="J361" s="181">
        <f>I361/F361</f>
        <v>258.6666666666667</v>
      </c>
      <c r="K361" s="182">
        <f t="shared" si="35"/>
        <v>8.118556701030927</v>
      </c>
      <c r="L361" s="183">
        <f>25195+10013.5+1152+270+83.5+141+48+709.5+1424+1356+5416.5+126229.75+19059.5+5814+6475.5+5450+6300</f>
        <v>215137.75</v>
      </c>
      <c r="M361" s="181">
        <f>2139+1282+178+44+14+26+8+240+356+299+446+10017+1456+869+877+646+776</f>
        <v>19673</v>
      </c>
      <c r="N361" s="270">
        <f>+L361/M361</f>
        <v>10.935685965536521</v>
      </c>
      <c r="O361" s="312">
        <v>1</v>
      </c>
    </row>
    <row r="362" spans="1:15" ht="15">
      <c r="A362" s="39">
        <v>359</v>
      </c>
      <c r="B362" s="265" t="s">
        <v>115</v>
      </c>
      <c r="C362" s="26">
        <v>40088</v>
      </c>
      <c r="D362" s="32" t="s">
        <v>242</v>
      </c>
      <c r="E362" s="55">
        <v>22</v>
      </c>
      <c r="F362" s="55">
        <v>6</v>
      </c>
      <c r="G362" s="55">
        <v>14</v>
      </c>
      <c r="H362" s="159">
        <v>5814</v>
      </c>
      <c r="I362" s="151">
        <v>869</v>
      </c>
      <c r="J362" s="153">
        <f>(I362/F362)</f>
        <v>144.83333333333334</v>
      </c>
      <c r="K362" s="155">
        <f t="shared" si="35"/>
        <v>6.690448791714615</v>
      </c>
      <c r="L362" s="178">
        <f>25195+10013.5+1152+270+83.5+141+48+709.5+1424+1356+5416.5+126229.75+19059.5+5814</f>
        <v>196912.25</v>
      </c>
      <c r="M362" s="158">
        <f>2139+1282+178+44+14+26+8+240+356+299+446+10017+1456+869</f>
        <v>17374</v>
      </c>
      <c r="N362" s="266">
        <f>IF(L363&lt;&gt;0,L363/M363,"")</f>
        <v>11.051370587924009</v>
      </c>
      <c r="O362" s="303">
        <v>1</v>
      </c>
    </row>
    <row r="363" spans="1:15" ht="15">
      <c r="A363" s="39">
        <v>360</v>
      </c>
      <c r="B363" s="275" t="s">
        <v>115</v>
      </c>
      <c r="C363" s="31">
        <v>40088</v>
      </c>
      <c r="D363" s="32" t="s">
        <v>242</v>
      </c>
      <c r="E363" s="54">
        <v>22</v>
      </c>
      <c r="F363" s="54">
        <v>6</v>
      </c>
      <c r="G363" s="54">
        <v>16</v>
      </c>
      <c r="H363" s="163">
        <v>5450</v>
      </c>
      <c r="I363" s="164">
        <v>646</v>
      </c>
      <c r="J363" s="181">
        <f>(I363/F363)</f>
        <v>107.66666666666667</v>
      </c>
      <c r="K363" s="182">
        <f t="shared" si="35"/>
        <v>8.436532507739939</v>
      </c>
      <c r="L363" s="183">
        <f>25195+10013.5+1152+270+83.5+141+48+709.5+1424+1356+5416.5+126229.75+19059.5+5814+6475.5+5450</f>
        <v>208837.75</v>
      </c>
      <c r="M363" s="181">
        <f>2139+1282+178+44+14+26+8+240+356+299+446+10017+1456+869+877+646</f>
        <v>18897</v>
      </c>
      <c r="N363" s="270">
        <f>L363/M363</f>
        <v>11.051370587924009</v>
      </c>
      <c r="O363" s="312">
        <v>1</v>
      </c>
    </row>
    <row r="364" spans="1:15" ht="15">
      <c r="A364" s="39">
        <v>361</v>
      </c>
      <c r="B364" s="268" t="s">
        <v>115</v>
      </c>
      <c r="C364" s="46">
        <v>40088</v>
      </c>
      <c r="D364" s="32" t="s">
        <v>242</v>
      </c>
      <c r="E364" s="54">
        <v>22</v>
      </c>
      <c r="F364" s="54">
        <v>2</v>
      </c>
      <c r="G364" s="54">
        <v>11</v>
      </c>
      <c r="H364" s="163">
        <v>5416.5</v>
      </c>
      <c r="I364" s="164">
        <v>446</v>
      </c>
      <c r="J364" s="181">
        <f>(I364/F364)</f>
        <v>223</v>
      </c>
      <c r="K364" s="182">
        <f t="shared" si="35"/>
        <v>12.144618834080717</v>
      </c>
      <c r="L364" s="183">
        <f>25195+10013.5+1152+270+83.5+141+48+709.5+1424+1356+5416.5</f>
        <v>45809</v>
      </c>
      <c r="M364" s="181">
        <f>2139+1282+178+44+14+26+8+240+356+299+446</f>
        <v>5032</v>
      </c>
      <c r="N364" s="266">
        <f>L365/M365</f>
        <v>10.810243626897195</v>
      </c>
      <c r="O364" s="303"/>
    </row>
    <row r="365" spans="1:15" ht="15">
      <c r="A365" s="39">
        <v>362</v>
      </c>
      <c r="B365" s="265" t="s">
        <v>115</v>
      </c>
      <c r="C365" s="31">
        <v>40088</v>
      </c>
      <c r="D365" s="32" t="s">
        <v>242</v>
      </c>
      <c r="E365" s="54">
        <v>22</v>
      </c>
      <c r="F365" s="54">
        <v>3</v>
      </c>
      <c r="G365" s="54">
        <v>18</v>
      </c>
      <c r="H365" s="163">
        <v>4948</v>
      </c>
      <c r="I365" s="164">
        <v>686</v>
      </c>
      <c r="J365" s="181">
        <f>I365/F365</f>
        <v>228.66666666666666</v>
      </c>
      <c r="K365" s="182">
        <f>+H365/I365</f>
        <v>7.2128279883381925</v>
      </c>
      <c r="L365" s="183">
        <f>25195+10013.5+1152+270+83.5+141+48+709.5+1424+1356+5416.5+126229.75+19059.5+5814+6475.5+5450+6300+4948</f>
        <v>220085.75</v>
      </c>
      <c r="M365" s="181">
        <f>2139+1282+178+44+14+26+8+240+356+299+446+10017+1456+869+877+646+776+686</f>
        <v>20359</v>
      </c>
      <c r="N365" s="270">
        <f>+L365/M365</f>
        <v>10.810243626897195</v>
      </c>
      <c r="O365" s="303"/>
    </row>
    <row r="366" spans="1:15" ht="15">
      <c r="A366" s="39">
        <v>363</v>
      </c>
      <c r="B366" s="269" t="s">
        <v>115</v>
      </c>
      <c r="C366" s="34">
        <v>40088</v>
      </c>
      <c r="D366" s="32" t="s">
        <v>242</v>
      </c>
      <c r="E366" s="57">
        <v>22</v>
      </c>
      <c r="F366" s="57">
        <v>1</v>
      </c>
      <c r="G366" s="57">
        <v>9</v>
      </c>
      <c r="H366" s="149">
        <v>1424</v>
      </c>
      <c r="I366" s="151">
        <v>356</v>
      </c>
      <c r="J366" s="153">
        <f aca="true" t="shared" si="36" ref="J366:J373">(I366/F366)</f>
        <v>356</v>
      </c>
      <c r="K366" s="154">
        <f>+H366/I366</f>
        <v>4</v>
      </c>
      <c r="L366" s="157">
        <f>25195+10013.5+1152+270+83.5+141+48+709.5+1424</f>
        <v>39036.5</v>
      </c>
      <c r="M366" s="158">
        <f>2139+1282+178+44+14+26+8+240+356</f>
        <v>4287</v>
      </c>
      <c r="N366" s="267">
        <f>L367/M367</f>
        <v>8.807784561709552</v>
      </c>
      <c r="O366" s="301"/>
    </row>
    <row r="367" spans="1:15" ht="15">
      <c r="A367" s="39">
        <v>364</v>
      </c>
      <c r="B367" s="268" t="s">
        <v>115</v>
      </c>
      <c r="C367" s="31">
        <v>40088</v>
      </c>
      <c r="D367" s="32" t="s">
        <v>242</v>
      </c>
      <c r="E367" s="56">
        <v>22</v>
      </c>
      <c r="F367" s="56">
        <v>3</v>
      </c>
      <c r="G367" s="56">
        <v>10</v>
      </c>
      <c r="H367" s="161">
        <v>1356</v>
      </c>
      <c r="I367" s="150">
        <v>299</v>
      </c>
      <c r="J367" s="152">
        <f t="shared" si="36"/>
        <v>99.66666666666667</v>
      </c>
      <c r="K367" s="154">
        <f>(J367/G367)</f>
        <v>9.966666666666667</v>
      </c>
      <c r="L367" s="156">
        <f>25195+10013.5+1152+270+83.5+141+48+709.5+1424+1356</f>
        <v>40392.5</v>
      </c>
      <c r="M367" s="152">
        <f>2139+1282+178+44+14+26+8+240+356+299</f>
        <v>4586</v>
      </c>
      <c r="N367" s="267">
        <f>+L368/M368</f>
        <v>10.781620553359684</v>
      </c>
      <c r="O367" s="313"/>
    </row>
    <row r="368" spans="1:15" ht="15">
      <c r="A368" s="39">
        <v>365</v>
      </c>
      <c r="B368" s="265" t="s">
        <v>115</v>
      </c>
      <c r="C368" s="31">
        <v>40088</v>
      </c>
      <c r="D368" s="32" t="s">
        <v>242</v>
      </c>
      <c r="E368" s="54">
        <v>22</v>
      </c>
      <c r="F368" s="54">
        <v>2</v>
      </c>
      <c r="G368" s="54">
        <v>19</v>
      </c>
      <c r="H368" s="163">
        <v>862</v>
      </c>
      <c r="I368" s="164">
        <v>134</v>
      </c>
      <c r="J368" s="181">
        <f t="shared" si="36"/>
        <v>67</v>
      </c>
      <c r="K368" s="182">
        <f aca="true" t="shared" si="37" ref="K368:K373">H368/I368</f>
        <v>6.432835820895522</v>
      </c>
      <c r="L368" s="183">
        <f>25195+10013.5+1152+270+83.5+141+48+709.5+1424+1356+5416.5+126229.75+19059.5+5814+6475.5+5450+6300+4948+862</f>
        <v>220947.75</v>
      </c>
      <c r="M368" s="181">
        <f>2139+1282+178+44+14+26+8+240+356+299+446+10017+1456+869+877+646+776+686+134</f>
        <v>20493</v>
      </c>
      <c r="N368" s="270">
        <f>L368/M368</f>
        <v>10.781620553359684</v>
      </c>
      <c r="O368" s="303"/>
    </row>
    <row r="369" spans="1:15" ht="15">
      <c r="A369" s="39">
        <v>366</v>
      </c>
      <c r="B369" s="265" t="s">
        <v>115</v>
      </c>
      <c r="C369" s="31">
        <v>40088</v>
      </c>
      <c r="D369" s="32" t="s">
        <v>242</v>
      </c>
      <c r="E369" s="54">
        <v>22</v>
      </c>
      <c r="F369" s="54">
        <v>1</v>
      </c>
      <c r="G369" s="54">
        <v>20</v>
      </c>
      <c r="H369" s="163">
        <v>493</v>
      </c>
      <c r="I369" s="165">
        <v>93</v>
      </c>
      <c r="J369" s="152">
        <f t="shared" si="36"/>
        <v>93</v>
      </c>
      <c r="K369" s="154">
        <f t="shared" si="37"/>
        <v>5.301075268817204</v>
      </c>
      <c r="L369" s="156">
        <f>25195+10013.5+1152+270+83.5+141+48+709.5+1424+1356+5416.5+126229.75+19059.5+5814+6475.5+5450+6300+4948+862+493</f>
        <v>221440.75</v>
      </c>
      <c r="M369" s="152">
        <f>2139+1282+178+44+14+26+8+240+356+299+446+10017+1456+869+877+646+776+686+134+93</f>
        <v>20586</v>
      </c>
      <c r="N369" s="267">
        <f>L369/M369</f>
        <v>10.756861459244147</v>
      </c>
      <c r="O369" s="303"/>
    </row>
    <row r="370" spans="1:15" ht="15">
      <c r="A370" s="39">
        <v>367</v>
      </c>
      <c r="B370" s="269" t="s">
        <v>15</v>
      </c>
      <c r="C370" s="34">
        <v>40151</v>
      </c>
      <c r="D370" s="32" t="s">
        <v>242</v>
      </c>
      <c r="E370" s="57">
        <v>2</v>
      </c>
      <c r="F370" s="57">
        <v>2</v>
      </c>
      <c r="G370" s="57">
        <v>7</v>
      </c>
      <c r="H370" s="159">
        <v>1006</v>
      </c>
      <c r="I370" s="151">
        <v>130</v>
      </c>
      <c r="J370" s="153">
        <f t="shared" si="36"/>
        <v>65</v>
      </c>
      <c r="K370" s="155">
        <f t="shared" si="37"/>
        <v>7.7384615384615385</v>
      </c>
      <c r="L370" s="178">
        <f>14952+6112+2196+2975+2853+674+1006</f>
        <v>30768</v>
      </c>
      <c r="M370" s="158">
        <f>1468+666+254+478+502+81+130</f>
        <v>3579</v>
      </c>
      <c r="N370" s="266">
        <f>L371/M371</f>
        <v>8.001966145422552</v>
      </c>
      <c r="O370" s="311"/>
    </row>
    <row r="371" spans="1:15" ht="15">
      <c r="A371" s="39">
        <v>368</v>
      </c>
      <c r="B371" s="265" t="s">
        <v>39</v>
      </c>
      <c r="C371" s="31">
        <v>39995</v>
      </c>
      <c r="D371" s="27" t="s">
        <v>242</v>
      </c>
      <c r="E371" s="229">
        <v>209</v>
      </c>
      <c r="F371" s="229">
        <v>4</v>
      </c>
      <c r="G371" s="229">
        <v>55</v>
      </c>
      <c r="H371" s="161">
        <v>6614</v>
      </c>
      <c r="I371" s="150">
        <v>1638</v>
      </c>
      <c r="J371" s="152">
        <f t="shared" si="36"/>
        <v>409.5</v>
      </c>
      <c r="K371" s="154">
        <f t="shared" si="37"/>
        <v>4.037851037851038</v>
      </c>
      <c r="L371" s="156">
        <f>11405777.5+385+1188+6614</f>
        <v>11413964.5</v>
      </c>
      <c r="M371" s="152">
        <f>1424397+63+297+1638</f>
        <v>1426395</v>
      </c>
      <c r="N371" s="267">
        <f>L371/M371</f>
        <v>8.001966145422552</v>
      </c>
      <c r="O371" s="349"/>
    </row>
    <row r="372" spans="1:15" ht="15">
      <c r="A372" s="39">
        <v>369</v>
      </c>
      <c r="B372" s="265" t="s">
        <v>39</v>
      </c>
      <c r="C372" s="31">
        <v>39995</v>
      </c>
      <c r="D372" s="27" t="s">
        <v>242</v>
      </c>
      <c r="E372" s="229">
        <v>209</v>
      </c>
      <c r="F372" s="229">
        <v>1</v>
      </c>
      <c r="G372" s="229">
        <v>54</v>
      </c>
      <c r="H372" s="161">
        <v>1188</v>
      </c>
      <c r="I372" s="150">
        <v>297</v>
      </c>
      <c r="J372" s="152">
        <f t="shared" si="36"/>
        <v>297</v>
      </c>
      <c r="K372" s="154">
        <f t="shared" si="37"/>
        <v>4</v>
      </c>
      <c r="L372" s="156">
        <f>11405777.5+385+1188</f>
        <v>11407350.5</v>
      </c>
      <c r="M372" s="152">
        <f>1424397+63+297</f>
        <v>1424757</v>
      </c>
      <c r="N372" s="267">
        <f>L372/M372</f>
        <v>8.006523568580466</v>
      </c>
      <c r="O372" s="303"/>
    </row>
    <row r="373" spans="1:15" ht="15">
      <c r="A373" s="39">
        <v>370</v>
      </c>
      <c r="B373" s="265" t="s">
        <v>39</v>
      </c>
      <c r="C373" s="31">
        <v>39995</v>
      </c>
      <c r="D373" s="27" t="s">
        <v>242</v>
      </c>
      <c r="E373" s="229">
        <v>209</v>
      </c>
      <c r="F373" s="229">
        <v>1</v>
      </c>
      <c r="G373" s="229">
        <v>53</v>
      </c>
      <c r="H373" s="161">
        <v>385</v>
      </c>
      <c r="I373" s="150">
        <v>63</v>
      </c>
      <c r="J373" s="152">
        <f t="shared" si="36"/>
        <v>63</v>
      </c>
      <c r="K373" s="154">
        <f t="shared" si="37"/>
        <v>6.111111111111111</v>
      </c>
      <c r="L373" s="156">
        <f>11405777.5+385</f>
        <v>11406162.5</v>
      </c>
      <c r="M373" s="152">
        <f>1424397+63</f>
        <v>1424460</v>
      </c>
      <c r="N373" s="267">
        <f>L373/M373</f>
        <v>8.007358928997656</v>
      </c>
      <c r="O373" s="311"/>
    </row>
    <row r="374" spans="1:15" ht="15">
      <c r="A374" s="39">
        <v>371</v>
      </c>
      <c r="B374" s="268" t="s">
        <v>39</v>
      </c>
      <c r="C374" s="31">
        <v>39995</v>
      </c>
      <c r="D374" s="27" t="s">
        <v>242</v>
      </c>
      <c r="E374" s="229">
        <v>209</v>
      </c>
      <c r="F374" s="229">
        <v>2</v>
      </c>
      <c r="G374" s="229">
        <v>52</v>
      </c>
      <c r="H374" s="148">
        <v>2972</v>
      </c>
      <c r="I374" s="162">
        <v>743</v>
      </c>
      <c r="J374" s="181">
        <v>371.5</v>
      </c>
      <c r="K374" s="182">
        <v>4</v>
      </c>
      <c r="L374" s="183">
        <v>11405777.5</v>
      </c>
      <c r="M374" s="181">
        <v>1424397</v>
      </c>
      <c r="N374" s="267">
        <v>8.007442798601794</v>
      </c>
      <c r="O374" s="303"/>
    </row>
    <row r="375" spans="1:15" ht="15">
      <c r="A375" s="39">
        <v>372</v>
      </c>
      <c r="B375" s="265" t="s">
        <v>39</v>
      </c>
      <c r="C375" s="31">
        <v>39995</v>
      </c>
      <c r="D375" s="27" t="s">
        <v>261</v>
      </c>
      <c r="E375" s="229">
        <v>209</v>
      </c>
      <c r="F375" s="229">
        <v>4</v>
      </c>
      <c r="G375" s="229">
        <v>51</v>
      </c>
      <c r="H375" s="161">
        <v>4759</v>
      </c>
      <c r="I375" s="150">
        <v>1130</v>
      </c>
      <c r="J375" s="152">
        <f>(I375/F375)</f>
        <v>282.5</v>
      </c>
      <c r="K375" s="154">
        <f>H375/I375</f>
        <v>4.211504424778761</v>
      </c>
      <c r="L375" s="156">
        <f>872160.5+3062686.25+2016658.5+1330226.25+943221.5+742732+516667.5+450351.5+331944.75+238834+191406+133484.5+252388.75+88483.5+54821.5+50455.5+10393.5+13219.5+4551+15537+5404+869+4082+1834+3805+1635+750+1385+2821+5898+4584.5+5853+2137+508+960+2260+10448+960+932+543+451+1939+592+592+592+1545.5+974+2612+2612+3564+4681+4759</f>
        <v>11402805.5</v>
      </c>
      <c r="M375" s="152">
        <f>115039+364710+241056+162109+115810+90639+66180+59650+44695+33272+25508+18324+32600+11489+6695+7353+1723+3013+920+3530+1123+138+968+454+919+396+210+249+551+1381+976+1328+506+127+240+565+2612+240+233+106+87+474+148+148+148+381+237+653+653+891+1067+1130</f>
        <v>1423654</v>
      </c>
      <c r="N375" s="267">
        <f>L375/M375</f>
        <v>8.009534268860271</v>
      </c>
      <c r="O375" s="303"/>
    </row>
    <row r="376" spans="1:15" ht="15">
      <c r="A376" s="39">
        <v>373</v>
      </c>
      <c r="B376" s="265" t="s">
        <v>39</v>
      </c>
      <c r="C376" s="26">
        <v>39995</v>
      </c>
      <c r="D376" s="27" t="s">
        <v>242</v>
      </c>
      <c r="E376" s="230">
        <v>209</v>
      </c>
      <c r="F376" s="230">
        <v>3</v>
      </c>
      <c r="G376" s="230">
        <v>50</v>
      </c>
      <c r="H376" s="149">
        <v>4681</v>
      </c>
      <c r="I376" s="151">
        <v>1067</v>
      </c>
      <c r="J376" s="153">
        <f>(I376/F376)</f>
        <v>355.6666666666667</v>
      </c>
      <c r="K376" s="155">
        <f>H376/I376</f>
        <v>4.387066541705717</v>
      </c>
      <c r="L376" s="157">
        <f>872160.5+3062686.25+2016658.5+1330226.25+943221.5+742732+516667.5+450351.5+331944.75+238834+191406+133484.5+252388.75+88483.5+54821.5+50455.5+10393.5+13219.5+4551+15537+5404+869+4082+1834+3805+1635+750+1385+2821+5898+4584.5+5853+2137+508+960+2260+10448+960+932+543+451+1939+592+592+592+1545.5+974+2612+2612+3564+4681</f>
        <v>11398046.5</v>
      </c>
      <c r="M376" s="158">
        <f>115039+364710+241056+162109+115810+90639+66180+59650+44695+33272+25508+18324+32600+11489+6695+7353+1723+3013+920+3530+1123+138+968+454+919+396+210+249+551+1381+976+1328+506+127+240+565+2612+240+233+106+87+474+148+148+148+381+237+653+653+891+1067</f>
        <v>1422524</v>
      </c>
      <c r="N376" s="266">
        <f>L376/M376</f>
        <v>8.012551282087331</v>
      </c>
      <c r="O376" s="310"/>
    </row>
    <row r="377" spans="1:15" ht="15">
      <c r="A377" s="39">
        <v>374</v>
      </c>
      <c r="B377" s="275" t="s">
        <v>39</v>
      </c>
      <c r="C377" s="46">
        <v>39995</v>
      </c>
      <c r="D377" s="32" t="s">
        <v>242</v>
      </c>
      <c r="E377" s="54">
        <v>209</v>
      </c>
      <c r="F377" s="54">
        <v>5</v>
      </c>
      <c r="G377" s="54">
        <v>36</v>
      </c>
      <c r="H377" s="163">
        <v>10448</v>
      </c>
      <c r="I377" s="164">
        <v>2612</v>
      </c>
      <c r="J377" s="181">
        <f>I377/F377</f>
        <v>522.4</v>
      </c>
      <c r="K377" s="182">
        <f>H377/I377</f>
        <v>4</v>
      </c>
      <c r="L377" s="183">
        <f>872160.5+3062686.25+2016658.5+1330226.25+943221.5+742732+516667.5+450351.5+331944.75+238834+191406+133484.5+252388.75+88483.5+54821.5+50455.5+10393.5+13219.5+4551+15537+5404+869+4082+1834+3805+1635+750+1385+2821+5898+4584.5+5853+2137+508+960+2260+10448</f>
        <v>11375457</v>
      </c>
      <c r="M377" s="181">
        <f>115039+364710+241056+162109+115810+90639+66180+59650+44695+33272+25508+18324+32600+11489+6695+7353+1723+3013+920+3530+1123+138+968+454+919+396+210+249+551+1381+976+1328+506+127+240+565+2612</f>
        <v>1417058</v>
      </c>
      <c r="N377" s="267">
        <f>+L378/M378</f>
        <v>8.044711363971464</v>
      </c>
      <c r="O377" s="349"/>
    </row>
    <row r="378" spans="1:15" ht="15">
      <c r="A378" s="39">
        <v>375</v>
      </c>
      <c r="B378" s="269" t="s">
        <v>39</v>
      </c>
      <c r="C378" s="34">
        <v>39995</v>
      </c>
      <c r="D378" s="32" t="s">
        <v>242</v>
      </c>
      <c r="E378" s="57">
        <v>209</v>
      </c>
      <c r="F378" s="57">
        <v>4</v>
      </c>
      <c r="G378" s="57">
        <v>29</v>
      </c>
      <c r="H378" s="159">
        <v>5898</v>
      </c>
      <c r="I378" s="151">
        <v>1381</v>
      </c>
      <c r="J378" s="153">
        <f aca="true" t="shared" si="38" ref="J378:J385">(I378/F378)</f>
        <v>345.25</v>
      </c>
      <c r="K378" s="155">
        <f>H378/I378</f>
        <v>4.270818247646633</v>
      </c>
      <c r="L378" s="178">
        <f>872160.5+3062686.25+2016658.5+1330226.25+943221.5+742732+516667.5+450351.5+331944.75+238834+191406+133484.5+252388.75+88483.5+54821.5+50455.5+10393.5+13219.5+4551+15537+5404+869+4082+1834+3805+1635+750+1385+2821+5898</f>
        <v>11348706.5</v>
      </c>
      <c r="M378" s="158">
        <f>115039+364710+241056+162109+115810+90639+66180+59650+44695+33272+25508+18324+32600+11489+6695+7353+1723+3013+920+3530+1123+138+968+454+919+396+210+249+551+1381</f>
        <v>1410704</v>
      </c>
      <c r="N378" s="266">
        <f>L379/M379</f>
        <v>8.038980671022387</v>
      </c>
      <c r="O378" s="331"/>
    </row>
    <row r="379" spans="1:15" ht="15">
      <c r="A379" s="39">
        <v>376</v>
      </c>
      <c r="B379" s="269" t="s">
        <v>39</v>
      </c>
      <c r="C379" s="34">
        <v>39995</v>
      </c>
      <c r="D379" s="32" t="s">
        <v>242</v>
      </c>
      <c r="E379" s="57">
        <v>209</v>
      </c>
      <c r="F379" s="57">
        <v>5</v>
      </c>
      <c r="G379" s="57">
        <v>31</v>
      </c>
      <c r="H379" s="149">
        <v>5853</v>
      </c>
      <c r="I379" s="151">
        <v>1328</v>
      </c>
      <c r="J379" s="153">
        <f t="shared" si="38"/>
        <v>265.6</v>
      </c>
      <c r="K379" s="154">
        <f>+H379/I379</f>
        <v>4.407379518072289</v>
      </c>
      <c r="L379" s="157">
        <f>872160.5+3062686.25+2016658.5+1330226.25+943221.5+742732+516667.5+450351.5+331944.75+238834+191406+133484.5+252388.75+88483.5+54821.5+50455.5+10393.5+13219.5+4551+15537+5404+869+4082+1834+3805+1635+750+1385+2821+5898+4584.5+5853</f>
        <v>11359144</v>
      </c>
      <c r="M379" s="158">
        <f>115039+364710+241056+162109+115810+90639+66180+59650+44695+33272+25508+18324+32600+11489+6695+7353+1723+3013+920+3530+1123+138+968+454+919+396+210+249+551+1381+976+1328</f>
        <v>1413008</v>
      </c>
      <c r="N379" s="266">
        <f>L380/M380</f>
        <v>8.042397002153463</v>
      </c>
      <c r="O379" s="331"/>
    </row>
    <row r="380" spans="1:15" ht="15">
      <c r="A380" s="39">
        <v>377</v>
      </c>
      <c r="B380" s="268" t="s">
        <v>39</v>
      </c>
      <c r="C380" s="31">
        <v>39995</v>
      </c>
      <c r="D380" s="32" t="s">
        <v>242</v>
      </c>
      <c r="E380" s="56">
        <v>209</v>
      </c>
      <c r="F380" s="56">
        <v>6</v>
      </c>
      <c r="G380" s="56">
        <v>30</v>
      </c>
      <c r="H380" s="149">
        <v>4584.5</v>
      </c>
      <c r="I380" s="151">
        <v>976</v>
      </c>
      <c r="J380" s="153">
        <f t="shared" si="38"/>
        <v>162.66666666666666</v>
      </c>
      <c r="K380" s="155">
        <f>H380/I380</f>
        <v>4.697233606557377</v>
      </c>
      <c r="L380" s="157">
        <f>872160.5+3062686.25+2016658.5+1330226.25+943221.5+742732+516667.5+450351.5+331944.75+238834+191406+133484.5+252388.75+88483.5+54821.5+50455.5+10393.5+13219.5+4551+15537+5404+869+4082+1834+3805+1635+750+1385+2821+5898+4584.5</f>
        <v>11353291</v>
      </c>
      <c r="M380" s="158">
        <f>115039+364710+241056+162109+115810+90639+66180+59650+44695+33272+25508+18324+32600+11489+6695+7353+1723+3013+920+3530+1123+138+968+454+919+396+210+249+551+1381+976</f>
        <v>1411680</v>
      </c>
      <c r="N380" s="266">
        <f>L381/M381</f>
        <v>8.015272709621184</v>
      </c>
      <c r="O380" s="331"/>
    </row>
    <row r="381" spans="1:15" ht="15">
      <c r="A381" s="39">
        <v>378</v>
      </c>
      <c r="B381" s="265" t="s">
        <v>39</v>
      </c>
      <c r="C381" s="26">
        <v>39995</v>
      </c>
      <c r="D381" s="27" t="s">
        <v>242</v>
      </c>
      <c r="E381" s="55">
        <v>209</v>
      </c>
      <c r="F381" s="55">
        <v>3</v>
      </c>
      <c r="G381" s="55">
        <v>49</v>
      </c>
      <c r="H381" s="159">
        <v>3564</v>
      </c>
      <c r="I381" s="160">
        <v>891</v>
      </c>
      <c r="J381" s="177">
        <f t="shared" si="38"/>
        <v>297</v>
      </c>
      <c r="K381" s="155">
        <f>H381/I381</f>
        <v>4</v>
      </c>
      <c r="L381" s="178">
        <f>872160.5+3062686.25+2016658.5+1330226.25+943221.5+742732+516667.5+450351.5+331944.75+238834+191406+133484.5+252388.75+88483.5+54821.5+50455.5+10393.5+13219.5+4551+15537+5404+869+4082+1834+3805+1635+750+1385+2821+5898+4584.5+5853+2137+508+960+2260+10448+960+932+543+451+1939+592+592+592+1545.5+974+2612+2612+3564</f>
        <v>11393365.5</v>
      </c>
      <c r="M381" s="179">
        <f>115039+364710+241056+162109+115810+90639+66180+59650+44695+33272+25508+18324+32600+11489+6695+7353+1723+3013+920+3530+1123+138+968+454+919+396+210+249+551+1381+976+1328+506+127+240+565+2612+240+233+106+87+474+148+148+148+381+237+653+653+891</f>
        <v>1421457</v>
      </c>
      <c r="N381" s="266">
        <f>L381/M381</f>
        <v>8.015272709621184</v>
      </c>
      <c r="O381" s="301"/>
    </row>
    <row r="382" spans="1:15" ht="15">
      <c r="A382" s="39">
        <v>379</v>
      </c>
      <c r="B382" s="268" t="s">
        <v>39</v>
      </c>
      <c r="C382" s="31">
        <v>39995</v>
      </c>
      <c r="D382" s="32" t="s">
        <v>242</v>
      </c>
      <c r="E382" s="56">
        <v>209</v>
      </c>
      <c r="F382" s="56">
        <v>3</v>
      </c>
      <c r="G382" s="56">
        <v>28</v>
      </c>
      <c r="H382" s="159">
        <v>2821</v>
      </c>
      <c r="I382" s="160">
        <v>551</v>
      </c>
      <c r="J382" s="177">
        <f t="shared" si="38"/>
        <v>183.66666666666666</v>
      </c>
      <c r="K382" s="180">
        <f>H382/I382</f>
        <v>5.11978221415608</v>
      </c>
      <c r="L382" s="178">
        <f>872160.5+3062686.25+2016658.5+1330226.25+943221.5+742732+516667.5+450351.5+331944.75+238834+191406+133484.5+252388.75+88483.5+54821.5+50455.5+10393.5+13219.5+4551+15537+5404+869+4082+1834+3805+1635+750+1385+2821</f>
        <v>11342808.5</v>
      </c>
      <c r="M382" s="179">
        <f>115039+364710+241056+162109+115810+90639+66180+59650+44695+33272+25508+18324+32600+11489+6695+7353+1723+3013+920+3530+1123+138+968+454+919+396+210+249+551</f>
        <v>1409323</v>
      </c>
      <c r="N382" s="267">
        <f>+L383/M383</f>
        <v>8.01779114803536</v>
      </c>
      <c r="O382" s="303"/>
    </row>
    <row r="383" spans="1:15" ht="15">
      <c r="A383" s="39">
        <v>380</v>
      </c>
      <c r="B383" s="265" t="s">
        <v>39</v>
      </c>
      <c r="C383" s="26">
        <v>39995</v>
      </c>
      <c r="D383" s="27" t="s">
        <v>242</v>
      </c>
      <c r="E383" s="230">
        <v>209</v>
      </c>
      <c r="F383" s="230">
        <v>2</v>
      </c>
      <c r="G383" s="230">
        <v>48</v>
      </c>
      <c r="H383" s="149">
        <v>2612</v>
      </c>
      <c r="I383" s="151">
        <v>653</v>
      </c>
      <c r="J383" s="153">
        <f t="shared" si="38"/>
        <v>326.5</v>
      </c>
      <c r="K383" s="155">
        <f>H383/I383</f>
        <v>4</v>
      </c>
      <c r="L383" s="157">
        <f>872160.5+3062686.25+2016658.5+1330226.25+943221.5+742732+516667.5+450351.5+331944.75+238834+191406+133484.5+252388.75+88483.5+54821.5+50455.5+10393.5+13219.5+4551+15537+5404+869+4082+1834+3805+1635+750+1385+2821+5898+4584.5+5853+2137+508+960+2260+10448+960+932+543+451+1939+592+592+592+1545.5+974+2612+2612</f>
        <v>11389801.5</v>
      </c>
      <c r="M383" s="158">
        <f>115039+364710+241056+162109+115810+90639+66180+59650+44695+33272+25508+18324+32600+11489+6695+7353+1723+3013+920+3530+1123+138+968+454+919+396+210+249+551+1381+976+1328+506+127+240+565+2612+240+233+106+87+474+148+148+148+381+237+653+653</f>
        <v>1420566</v>
      </c>
      <c r="N383" s="266">
        <f>L383/M383</f>
        <v>8.01779114803536</v>
      </c>
      <c r="O383" s="312"/>
    </row>
    <row r="384" spans="1:15" ht="15">
      <c r="A384" s="39">
        <v>381</v>
      </c>
      <c r="B384" s="268" t="s">
        <v>39</v>
      </c>
      <c r="C384" s="46">
        <v>39995</v>
      </c>
      <c r="D384" s="32" t="s">
        <v>242</v>
      </c>
      <c r="E384" s="54">
        <v>209</v>
      </c>
      <c r="F384" s="54">
        <v>2</v>
      </c>
      <c r="G384" s="54">
        <v>35</v>
      </c>
      <c r="H384" s="163">
        <v>2260</v>
      </c>
      <c r="I384" s="164">
        <v>565</v>
      </c>
      <c r="J384" s="181">
        <f t="shared" si="38"/>
        <v>282.5</v>
      </c>
      <c r="K384" s="182">
        <f>H384/I384</f>
        <v>4</v>
      </c>
      <c r="L384" s="183">
        <f>872160.5+3062686.25+2016658.5+1330226.25+943221.5+742732+516667.5+450351.5+331944.75+238834+191406+133484.5+252388.75+88483.5+54821.5+50455.5+10393.5+13219.5+4551+15537+5404+869+4082+1834+3805+1635+750+1385+2821+5898+4584.5+5853+2137+508+960+2260</f>
        <v>11365009</v>
      </c>
      <c r="M384" s="181">
        <f>115039+364710+241056+162109+115810+90639+66180+59650+44695+33272+25508+18324+32600+11489+6695+7353+1723+3013+920+3530+1123+138+968+454+919+396+210+249+551+1381+976+1328+506+127+240+565</f>
        <v>1414446</v>
      </c>
      <c r="N384" s="267">
        <f>L385/M385</f>
        <v>8.037614767168915</v>
      </c>
      <c r="O384" s="303"/>
    </row>
    <row r="385" spans="1:15" ht="15">
      <c r="A385" s="39">
        <v>382</v>
      </c>
      <c r="B385" s="268" t="s">
        <v>39</v>
      </c>
      <c r="C385" s="31">
        <v>39995</v>
      </c>
      <c r="D385" s="32" t="s">
        <v>242</v>
      </c>
      <c r="E385" s="56">
        <v>209</v>
      </c>
      <c r="F385" s="56">
        <v>3</v>
      </c>
      <c r="G385" s="56">
        <v>32</v>
      </c>
      <c r="H385" s="161">
        <v>2137</v>
      </c>
      <c r="I385" s="150">
        <v>506</v>
      </c>
      <c r="J385" s="152">
        <f t="shared" si="38"/>
        <v>168.66666666666666</v>
      </c>
      <c r="K385" s="154">
        <f>(J385/G385)</f>
        <v>5.270833333333333</v>
      </c>
      <c r="L385" s="156">
        <f>872160.5+3062686.25+2016658.5+1330226.25+943221.5+742732+516667.5+450351.5+331944.75+238834+191406+133484.5+252388.75+88483.5+54821.5+50455.5+10393.5+13219.5+4551+15537+5404+869+4082+1834+3805+1635+750+1385+2821+5898+4584.5+5853+2137</f>
        <v>11361281</v>
      </c>
      <c r="M385" s="152">
        <f>115039+364710+241056+162109+115810+90639+66180+59650+44695+33272+25508+18324+32600+11489+6695+7353+1723+3013+920+3530+1123+138+968+454+919+396+210+249+551+1381+976+1328+506</f>
        <v>1413514</v>
      </c>
      <c r="N385" s="267">
        <f>L386/M386</f>
        <v>8.024466259295247</v>
      </c>
      <c r="O385" s="331"/>
    </row>
    <row r="386" spans="1:15" ht="15">
      <c r="A386" s="39">
        <v>383</v>
      </c>
      <c r="B386" s="275" t="s">
        <v>39</v>
      </c>
      <c r="C386" s="31">
        <v>39995</v>
      </c>
      <c r="D386" s="32" t="s">
        <v>242</v>
      </c>
      <c r="E386" s="54">
        <v>209</v>
      </c>
      <c r="F386" s="54">
        <v>3</v>
      </c>
      <c r="G386" s="54">
        <v>41</v>
      </c>
      <c r="H386" s="163">
        <v>1939</v>
      </c>
      <c r="I386" s="164">
        <v>474</v>
      </c>
      <c r="J386" s="181">
        <f>I386/F386</f>
        <v>158</v>
      </c>
      <c r="K386" s="182">
        <f aca="true" t="shared" si="39" ref="K386:K392">H386/I386</f>
        <v>4.090717299578059</v>
      </c>
      <c r="L386" s="183">
        <f>872160.5+3062686.25+2016658.5+1330226.25+943221.5+742732+516667.5+450351.5+331944.75+238834+191406+133484.5+252388.75+88483.5+54821.5+50455.5+10393.5+13219.5+4551+15537+5404+869+4082+1834+3805+1635+750+1385+2821+5898+4584.5+5853+2137+508+960+2260+10448+960+932+543+451+1939</f>
        <v>11380282</v>
      </c>
      <c r="M386" s="181">
        <f>115039+364710+241056+162109+115810+90639+66180+59650+44695+33272+25508+18324+32600+11489+6695+7353+1723+3013+920+3530+1123+138+968+454+919+396+210+249+551+1381+976+1328+506+127+240+565+2612+240+233+106+87+474</f>
        <v>1418198</v>
      </c>
      <c r="N386" s="270">
        <f>+L386/M386</f>
        <v>8.024466259295247</v>
      </c>
      <c r="O386" s="313"/>
    </row>
    <row r="387" spans="1:15" ht="15">
      <c r="A387" s="39">
        <v>384</v>
      </c>
      <c r="B387" s="265" t="s">
        <v>39</v>
      </c>
      <c r="C387" s="26">
        <v>39995</v>
      </c>
      <c r="D387" s="27" t="s">
        <v>242</v>
      </c>
      <c r="E387" s="55">
        <v>209</v>
      </c>
      <c r="F387" s="55">
        <v>1</v>
      </c>
      <c r="G387" s="55">
        <v>45</v>
      </c>
      <c r="H387" s="159">
        <v>1545.5</v>
      </c>
      <c r="I387" s="160">
        <v>381</v>
      </c>
      <c r="J387" s="177">
        <f>(I387/F387)</f>
        <v>381</v>
      </c>
      <c r="K387" s="180">
        <f t="shared" si="39"/>
        <v>4.056430446194225</v>
      </c>
      <c r="L387" s="178">
        <f>872160.5+3062686.25+2016658.5+1330226.25+943221.5+742732+516667.5+450351.5+331944.75+238834+191406+133484.5+252388.75+88483.5+54821.5+50455.5+10393.5+13219.5+4551+15537+5404+869+4082+1834+3805+1635+750+1385+2821+5898+4584.5+5853+2137+508+960+2260+10448+960+932+543+451+1939+592+592+592+1545.5</f>
        <v>11383603.5</v>
      </c>
      <c r="M387" s="179">
        <f>115039+364710+241056+162109+115810+90639+66180+59650+44695+33272+25508+18324+32600+11489+6695+7353+1723+3013+920+3530+1123+138+968+454+919+396+210+249+551+1381+976+1328+506+127+240+565+2612+240+233+106+87+474+148+148+148+381</f>
        <v>1419023</v>
      </c>
      <c r="N387" s="266">
        <f>L387/M387</f>
        <v>8.022141642524469</v>
      </c>
      <c r="O387" s="304"/>
    </row>
    <row r="388" spans="1:15" ht="15">
      <c r="A388" s="39">
        <v>385</v>
      </c>
      <c r="B388" s="268" t="s">
        <v>39</v>
      </c>
      <c r="C388" s="46">
        <v>39995</v>
      </c>
      <c r="D388" s="32" t="s">
        <v>242</v>
      </c>
      <c r="E388" s="54">
        <v>209</v>
      </c>
      <c r="F388" s="54">
        <v>1</v>
      </c>
      <c r="G388" s="54">
        <v>34</v>
      </c>
      <c r="H388" s="163">
        <v>1440</v>
      </c>
      <c r="I388" s="164">
        <v>240</v>
      </c>
      <c r="J388" s="181">
        <f>(I388/F388)</f>
        <v>240</v>
      </c>
      <c r="K388" s="182">
        <f t="shared" si="39"/>
        <v>6</v>
      </c>
      <c r="L388" s="183">
        <f>872160.5+3062686.25+2016658.5+1330226.25+943221.5+742732+516667.5+450351.5+331944.75+238834+191406+133484.5+252388.75+88483.5+54821.5+50455.5+10393.5+13219.5+4551+15537+5404+869+4082+1834+3805+1635+750+1385+2821+5898+4584.5+5853+2137+508+1440</f>
        <v>11363229</v>
      </c>
      <c r="M388" s="181">
        <f>115039+364710+241056+162109+115810+90639+66180+59650+44695+33272+25508+18324+32600+11489+6695+7353+1723+3013+920+3530+1123+138+968+454+919+396+210+249+551+1381+976+1328+506+127+240</f>
        <v>1413881</v>
      </c>
      <c r="N388" s="266">
        <f>L389/M389</f>
        <v>8.049554860545213</v>
      </c>
      <c r="O388" s="301"/>
    </row>
    <row r="389" spans="1:15" ht="15">
      <c r="A389" s="39">
        <v>386</v>
      </c>
      <c r="B389" s="268" t="s">
        <v>39</v>
      </c>
      <c r="C389" s="31">
        <v>39995</v>
      </c>
      <c r="D389" s="32" t="s">
        <v>242</v>
      </c>
      <c r="E389" s="56">
        <v>209</v>
      </c>
      <c r="F389" s="56">
        <v>2</v>
      </c>
      <c r="G389" s="56">
        <v>27</v>
      </c>
      <c r="H389" s="159">
        <v>1385</v>
      </c>
      <c r="I389" s="160">
        <v>249</v>
      </c>
      <c r="J389" s="177">
        <f>(I389/F389)</f>
        <v>124.5</v>
      </c>
      <c r="K389" s="155">
        <f t="shared" si="39"/>
        <v>5.562248995983936</v>
      </c>
      <c r="L389" s="178">
        <f>872160.5+3062686.25+2016658.5+1330226.25+943221.5+742732+516667.5+450351.5+331944.75+238834+191406+133484.5+252388.75+88483.5+54821.5+50455.5+10393.5+13219.5+4551+15537+5404+869+4082+1834+3805+1635+750+1385</f>
        <v>11339987.5</v>
      </c>
      <c r="M389" s="179">
        <f>115039+364710+241056+162109+115810+90639+66180+59650+44695+33272+25508+18324+32600+11489+6695+7353+1723+3013+920+3530+1123+138+968+454+919+396+210+249</f>
        <v>1408772</v>
      </c>
      <c r="N389" s="267">
        <f>+L390/M390</f>
        <v>8.02148831080986</v>
      </c>
      <c r="O389" s="303"/>
    </row>
    <row r="390" spans="1:15" ht="15">
      <c r="A390" s="39">
        <v>387</v>
      </c>
      <c r="B390" s="265" t="s">
        <v>39</v>
      </c>
      <c r="C390" s="31">
        <v>39995</v>
      </c>
      <c r="D390" s="32" t="s">
        <v>242</v>
      </c>
      <c r="E390" s="56">
        <v>209</v>
      </c>
      <c r="F390" s="56">
        <v>2</v>
      </c>
      <c r="G390" s="56">
        <v>46</v>
      </c>
      <c r="H390" s="149">
        <v>974</v>
      </c>
      <c r="I390" s="151">
        <v>237</v>
      </c>
      <c r="J390" s="152">
        <f>I390/F390</f>
        <v>118.5</v>
      </c>
      <c r="K390" s="154">
        <f t="shared" si="39"/>
        <v>4.109704641350211</v>
      </c>
      <c r="L390" s="156">
        <f>872160.5+3062686.25+2016658.5+1330226.25+943221.5+742732+516667.5+450351.5+331944.75+238834+191406+133484.5+252388.75+88483.5+54821.5+50455.5+10393.5+13219.5+4551+15537+5404+869+4082+1834+3805+1635+750+1385+2821+5898+4584.5+5853+2137+508+960+2260+10448+960+932+543+451+1939+592+592+592+1545.5+974</f>
        <v>11384577.5</v>
      </c>
      <c r="M390" s="152">
        <f>115039+364710+241056+162109+115810+90639+66180+59650+44695+33272+25508+18324+32600+11489+6695+7353+1723+3013+920+3530+1123+138+968+454+919+396+210+249+551+1381+976+1328+506+127+240+565+2612+240+233+106+87+474+148+148+148+381+237</f>
        <v>1419260</v>
      </c>
      <c r="N390" s="267">
        <f>+L390/M390</f>
        <v>8.02148831080986</v>
      </c>
      <c r="O390" s="303"/>
    </row>
    <row r="391" spans="1:15" ht="15">
      <c r="A391" s="39">
        <v>388</v>
      </c>
      <c r="B391" s="275" t="s">
        <v>39</v>
      </c>
      <c r="C391" s="46">
        <v>39995</v>
      </c>
      <c r="D391" s="32" t="s">
        <v>242</v>
      </c>
      <c r="E391" s="54">
        <v>209</v>
      </c>
      <c r="F391" s="54">
        <v>1</v>
      </c>
      <c r="G391" s="54">
        <v>37</v>
      </c>
      <c r="H391" s="163">
        <v>960</v>
      </c>
      <c r="I391" s="164">
        <v>240</v>
      </c>
      <c r="J391" s="181">
        <f>I391/F391</f>
        <v>240</v>
      </c>
      <c r="K391" s="182">
        <f t="shared" si="39"/>
        <v>4</v>
      </c>
      <c r="L391" s="183">
        <f>872160.5+3062686.25+2016658.5+1330226.25+943221.5+742732+516667.5+450351.5+331944.75+238834+191406+133484.5+252388.75+88483.5+54821.5+50455.5+10393.5+13219.5+4551+15537+5404+869+4082+1834+3805+1635+750+1385+2821+5898+4584.5+5853+2137+508+960+2260+10448+960</f>
        <v>11376417</v>
      </c>
      <c r="M391" s="181">
        <f>115039+364710+241056+162109+115810+90639+66180+59650+44695+33272+25508+18324+32600+11489+6695+7353+1723+3013+920+3530+1123+138+968+454+919+396+210+249+551+1381+976+1328+506+127+240+565+2612+240</f>
        <v>1417298</v>
      </c>
      <c r="N391" s="266">
        <f>L392/M392</f>
        <v>8.026172972584021</v>
      </c>
      <c r="O391" s="301"/>
    </row>
    <row r="392" spans="1:15" ht="15">
      <c r="A392" s="39">
        <v>389</v>
      </c>
      <c r="B392" s="265" t="s">
        <v>39</v>
      </c>
      <c r="C392" s="26">
        <v>39995</v>
      </c>
      <c r="D392" s="32" t="s">
        <v>242</v>
      </c>
      <c r="E392" s="55">
        <v>209</v>
      </c>
      <c r="F392" s="55">
        <v>1</v>
      </c>
      <c r="G392" s="55">
        <v>38</v>
      </c>
      <c r="H392" s="159">
        <v>932</v>
      </c>
      <c r="I392" s="151">
        <v>233</v>
      </c>
      <c r="J392" s="153">
        <f>(I392/F392)</f>
        <v>233</v>
      </c>
      <c r="K392" s="155">
        <f t="shared" si="39"/>
        <v>4</v>
      </c>
      <c r="L392" s="178">
        <f>872160.5+3062686.25+2016658.5+1330226.25+943221.5+742732+516667.5+450351.5+331944.75+238834+191406+133484.5+252388.75+88483.5+54821.5+50455.5+10393.5+13219.5+4551+15537+5404+869+4082+1834+3805+1635+750+1385+2821+5898+4584.5+5853+2137+508+960+2260+10448+960+932</f>
        <v>11377349</v>
      </c>
      <c r="M392" s="158">
        <f>115039+364710+241056+162109+115810+90639+66180+59650+44695+33272+25508+18324+32600+11489+6695+7353+1723+3013+920+3530+1123+138+968+454+919+396+210+249+551+1381+976+1328+506+127+240+565+2612+240+233</f>
        <v>1417531</v>
      </c>
      <c r="N392" s="266">
        <f>IF(L393&lt;&gt;0,L393/M393,"")</f>
        <v>8.024046318740279</v>
      </c>
      <c r="O392" s="303"/>
    </row>
    <row r="393" spans="1:15" ht="15">
      <c r="A393" s="39">
        <v>390</v>
      </c>
      <c r="B393" s="265" t="s">
        <v>39</v>
      </c>
      <c r="C393" s="31">
        <v>39995</v>
      </c>
      <c r="D393" s="32" t="s">
        <v>242</v>
      </c>
      <c r="E393" s="54">
        <v>209</v>
      </c>
      <c r="F393" s="54">
        <v>1</v>
      </c>
      <c r="G393" s="54">
        <v>42</v>
      </c>
      <c r="H393" s="163">
        <v>592</v>
      </c>
      <c r="I393" s="164">
        <v>148</v>
      </c>
      <c r="J393" s="181">
        <f>I393/F393</f>
        <v>148</v>
      </c>
      <c r="K393" s="182">
        <f>+H393/I393</f>
        <v>4</v>
      </c>
      <c r="L393" s="183">
        <f>872160.5+3062686.25+2016658.5+1330226.25+943221.5+742732+516667.5+450351.5+331944.75+238834+191406+133484.5+252388.75+88483.5+54821.5+50455.5+10393.5+13219.5+4551+15537+5404+869+4082+1834+3805+1635+750+1385+2821+5898+4584.5+5853+2137+508+960+2260+10448+960+932+543+451+1939+592</f>
        <v>11380874</v>
      </c>
      <c r="M393" s="181">
        <f>115039+364710+241056+162109+115810+90639+66180+59650+44695+33272+25508+18324+32600+11489+6695+7353+1723+3013+920+3530+1123+138+968+454+919+396+210+249+551+1381+976+1328+506+127+240+565+2612+240+233+106+87+474+148</f>
        <v>1418346</v>
      </c>
      <c r="N393" s="270">
        <f>+L393/M393</f>
        <v>8.024046318740279</v>
      </c>
      <c r="O393" s="301"/>
    </row>
    <row r="394" spans="1:15" ht="15">
      <c r="A394" s="39">
        <v>391</v>
      </c>
      <c r="B394" s="265" t="s">
        <v>39</v>
      </c>
      <c r="C394" s="31">
        <v>39995</v>
      </c>
      <c r="D394" s="32" t="s">
        <v>242</v>
      </c>
      <c r="E394" s="54">
        <v>209</v>
      </c>
      <c r="F394" s="54">
        <v>1</v>
      </c>
      <c r="G394" s="54">
        <v>43</v>
      </c>
      <c r="H394" s="163">
        <v>592</v>
      </c>
      <c r="I394" s="164">
        <v>148</v>
      </c>
      <c r="J394" s="181">
        <f>(I394/F394)</f>
        <v>148</v>
      </c>
      <c r="K394" s="182">
        <f>H394/I394</f>
        <v>4</v>
      </c>
      <c r="L394" s="183">
        <f>872160.5+3062686.25+2016658.5+1330226.25+943221.5+742732+516667.5+450351.5+331944.75+238834+191406+133484.5+252388.75+88483.5+54821.5+50455.5+10393.5+13219.5+4551+15537+5404+869+4082+1834+3805+1635+750+1385+2821+5898+4584.5+5853+2137+508+960+2260+10448+960+932+543+451+1939+592+592</f>
        <v>11381466</v>
      </c>
      <c r="M394" s="181">
        <f>115039+364710+241056+162109+115810+90639+66180+59650+44695+33272+25508+18324+32600+11489+6695+7353+1723+3013+920+3530+1123+138+968+454+919+396+210+249+551+1381+976+1328+506+127+240+565+2612+240+233+106+87+474+148+148</f>
        <v>1418494</v>
      </c>
      <c r="N394" s="270">
        <f>L394/M394</f>
        <v>8.023626465815154</v>
      </c>
      <c r="O394" s="311"/>
    </row>
    <row r="395" spans="1:15" ht="15">
      <c r="A395" s="39">
        <v>392</v>
      </c>
      <c r="B395" s="265" t="s">
        <v>39</v>
      </c>
      <c r="C395" s="31">
        <v>39995</v>
      </c>
      <c r="D395" s="32" t="s">
        <v>242</v>
      </c>
      <c r="E395" s="54">
        <v>209</v>
      </c>
      <c r="F395" s="54">
        <v>1</v>
      </c>
      <c r="G395" s="54">
        <v>44</v>
      </c>
      <c r="H395" s="163">
        <v>592</v>
      </c>
      <c r="I395" s="165">
        <v>148</v>
      </c>
      <c r="J395" s="152">
        <f>(I395/F395)</f>
        <v>148</v>
      </c>
      <c r="K395" s="154">
        <f>H395/I395</f>
        <v>4</v>
      </c>
      <c r="L395" s="156">
        <f>872160.5+3062686.25+2016658.5+1330226.25+943221.5+742732+516667.5+450351.5+331944.75+238834+191406+133484.5+252388.75+88483.5+54821.5+50455.5+10393.5+13219.5+4551+15537+5404+869+4082+1834+3805+1635+750+1385+2821+5898+4584.5+5853+2137+508+960+2260+10448+960+932+543+451+1939+592+592+592</f>
        <v>11382058</v>
      </c>
      <c r="M395" s="152">
        <f>115039+364710+241056+162109+115810+90639+66180+59650+44695+33272+25508+18324+32600+11489+6695+7353+1723+3013+920+3530+1123+138+968+454+919+396+210+249+551+1381+976+1328+506+127+240+565+2612+240+233+106+87+474+148+148+148</f>
        <v>1418642</v>
      </c>
      <c r="N395" s="267">
        <f>L395/M395</f>
        <v>8.023206700492443</v>
      </c>
      <c r="O395" s="303"/>
    </row>
    <row r="396" spans="1:15" ht="15">
      <c r="A396" s="39">
        <v>393</v>
      </c>
      <c r="B396" s="265" t="s">
        <v>39</v>
      </c>
      <c r="C396" s="26">
        <v>39995</v>
      </c>
      <c r="D396" s="32" t="s">
        <v>242</v>
      </c>
      <c r="E396" s="55">
        <v>209</v>
      </c>
      <c r="F396" s="55">
        <v>1</v>
      </c>
      <c r="G396" s="55">
        <v>39</v>
      </c>
      <c r="H396" s="159">
        <v>543</v>
      </c>
      <c r="I396" s="160">
        <v>106</v>
      </c>
      <c r="J396" s="177">
        <f>(I396/F396)</f>
        <v>106</v>
      </c>
      <c r="K396" s="180">
        <f>H396/I396</f>
        <v>5.122641509433962</v>
      </c>
      <c r="L396" s="178">
        <f>872160.5+3062686.25+2016658.5+1330226.25+943221.5+742732+516667.5+450351.5+331944.75+238834+191406+133484.5+252388.75+88483.5+54821.5+50455.5+10393.5+13219.5+4551+15537+5404+869+4082+1834+3805+1635+750+1385+2821+5898+4584.5+5853+2137+508+960+2260+10448+960+932+543</f>
        <v>11377892</v>
      </c>
      <c r="M396" s="179">
        <f>115039+364710+241056+162109+115810+90639+66180+59650+44695+33272+25508+18324+32600+11489+6695+7353+1723+3013+920+3530+1123+138+968+454+919+396+210+249+551+1381+976+1328+506+127+240+565+2612+240+233+106</f>
        <v>1417637</v>
      </c>
      <c r="N396" s="267">
        <f>L397/M397</f>
        <v>8.037252032163753</v>
      </c>
      <c r="O396" s="303"/>
    </row>
    <row r="397" spans="1:15" ht="15">
      <c r="A397" s="39">
        <v>394</v>
      </c>
      <c r="B397" s="268" t="s">
        <v>39</v>
      </c>
      <c r="C397" s="31">
        <v>39995</v>
      </c>
      <c r="D397" s="32" t="s">
        <v>242</v>
      </c>
      <c r="E397" s="56">
        <v>209</v>
      </c>
      <c r="F397" s="56">
        <v>1</v>
      </c>
      <c r="G397" s="56">
        <v>33</v>
      </c>
      <c r="H397" s="148">
        <v>508</v>
      </c>
      <c r="I397" s="162">
        <v>127</v>
      </c>
      <c r="J397" s="181">
        <f>I397/F397</f>
        <v>127</v>
      </c>
      <c r="K397" s="182">
        <f>H397/I397</f>
        <v>4</v>
      </c>
      <c r="L397" s="183">
        <f>872160.5+3062686.25+2016658.5+1330226.25+943221.5+742732+516667.5+450351.5+331944.75+238834+191406+133484.5+252388.75+88483.5+54821.5+50455.5+10393.5+13219.5+4551+15537+5404+869+4082+1834+3805+1635+750+1385+2821+5898+4584.5+5853+2137+508</f>
        <v>11361789</v>
      </c>
      <c r="M397" s="181">
        <f>115039+364710+241056+162109+115810+90639+66180+59650+44695+33272+25508+18324+32600+11489+6695+7353+1723+3013+920+3530+1123+138+968+454+919+396+210+249+551+1381+976+1328+506+127</f>
        <v>1413641</v>
      </c>
      <c r="N397" s="267">
        <f>+L398/M398</f>
        <v>8.02578146381101</v>
      </c>
      <c r="O397" s="303"/>
    </row>
    <row r="398" spans="1:15" ht="15">
      <c r="A398" s="39">
        <v>395</v>
      </c>
      <c r="B398" s="275" t="s">
        <v>39</v>
      </c>
      <c r="C398" s="31">
        <v>39995</v>
      </c>
      <c r="D398" s="32" t="s">
        <v>242</v>
      </c>
      <c r="E398" s="54">
        <v>209</v>
      </c>
      <c r="F398" s="54">
        <v>1</v>
      </c>
      <c r="G398" s="54">
        <v>40</v>
      </c>
      <c r="H398" s="163">
        <v>451</v>
      </c>
      <c r="I398" s="164">
        <v>87</v>
      </c>
      <c r="J398" s="181">
        <f>(I398/F398)</f>
        <v>87</v>
      </c>
      <c r="K398" s="182">
        <f>H398/I398</f>
        <v>5.183908045977011</v>
      </c>
      <c r="L398" s="183">
        <f>872160.5+3062686.25+2016658.5+1330226.25+943221.5+742732+516667.5+450351.5+331944.75+238834+191406+133484.5+252388.75+88483.5+54821.5+50455.5+10393.5+13219.5+4551+15537+5404+869+4082+1834+3805+1635+750+1385+2821+5898+4584.5+5853+2137+508+960+2260+10448+960+932+543+451</f>
        <v>11378343</v>
      </c>
      <c r="M398" s="181">
        <f>115039+364710+241056+162109+115810+90639+66180+59650+44695+33272+25508+18324+32600+11489+6695+7353+1723+3013+920+3530+1123+138+968+454+919+396+210+249+551+1381+976+1328+506+127+240+565+2612+240+233+106+87</f>
        <v>1417724</v>
      </c>
      <c r="N398" s="270">
        <f>L398/M398</f>
        <v>8.02578146381101</v>
      </c>
      <c r="O398" s="308"/>
    </row>
    <row r="399" spans="1:15" ht="15">
      <c r="A399" s="39">
        <v>396</v>
      </c>
      <c r="B399" s="268" t="s">
        <v>367</v>
      </c>
      <c r="C399" s="31">
        <v>40109</v>
      </c>
      <c r="D399" s="27" t="s">
        <v>242</v>
      </c>
      <c r="E399" s="229">
        <v>25</v>
      </c>
      <c r="F399" s="229">
        <v>1</v>
      </c>
      <c r="G399" s="229">
        <v>25</v>
      </c>
      <c r="H399" s="148">
        <v>4160</v>
      </c>
      <c r="I399" s="162">
        <v>1040</v>
      </c>
      <c r="J399" s="181">
        <v>1040</v>
      </c>
      <c r="K399" s="182">
        <v>4</v>
      </c>
      <c r="L399" s="183">
        <v>601657.24</v>
      </c>
      <c r="M399" s="181">
        <v>90424</v>
      </c>
      <c r="N399" s="267">
        <v>6.653733964434221</v>
      </c>
      <c r="O399" s="303"/>
    </row>
    <row r="400" spans="1:15" ht="15">
      <c r="A400" s="39">
        <v>397</v>
      </c>
      <c r="B400" s="268" t="s">
        <v>157</v>
      </c>
      <c r="C400" s="31">
        <v>39738</v>
      </c>
      <c r="D400" s="27" t="s">
        <v>242</v>
      </c>
      <c r="E400" s="229">
        <v>67</v>
      </c>
      <c r="F400" s="229">
        <v>1</v>
      </c>
      <c r="G400" s="229">
        <v>35</v>
      </c>
      <c r="H400" s="148">
        <v>712</v>
      </c>
      <c r="I400" s="162">
        <v>178</v>
      </c>
      <c r="J400" s="181">
        <v>178</v>
      </c>
      <c r="K400" s="182">
        <v>4</v>
      </c>
      <c r="L400" s="183">
        <v>575413.5</v>
      </c>
      <c r="M400" s="181">
        <v>83313</v>
      </c>
      <c r="N400" s="267">
        <v>6.906647221922149</v>
      </c>
      <c r="O400" s="303"/>
    </row>
    <row r="401" spans="1:15" ht="15">
      <c r="A401" s="39">
        <v>398</v>
      </c>
      <c r="B401" s="268" t="s">
        <v>157</v>
      </c>
      <c r="C401" s="31">
        <v>39738</v>
      </c>
      <c r="D401" s="32" t="s">
        <v>242</v>
      </c>
      <c r="E401" s="56">
        <v>67</v>
      </c>
      <c r="F401" s="56">
        <v>1</v>
      </c>
      <c r="G401" s="56">
        <v>31</v>
      </c>
      <c r="H401" s="161">
        <v>1780</v>
      </c>
      <c r="I401" s="150">
        <v>445</v>
      </c>
      <c r="J401" s="152">
        <f>I401/F401</f>
        <v>445</v>
      </c>
      <c r="K401" s="154">
        <f>+H401/I401</f>
        <v>4</v>
      </c>
      <c r="L401" s="156">
        <f>167196+176809+54428+37340+38330.5+23467+11581+5867+4382+2577+3552+2137+545+4006+9422+7992+4936+1547+1147+288+371+2842+1282+168+610+1948+150+3292+132+65+1780</f>
        <v>570189.5</v>
      </c>
      <c r="M401" s="152">
        <f>19168+21164+7719+6215+6404+4964+2339+1306+907+580+859+440+127+905+2170+1822+1050+392+333+56+73+734+411+21+61+466+30+807+26+13+445</f>
        <v>82007</v>
      </c>
      <c r="N401" s="267">
        <f>L402/M402</f>
        <v>6.9369997089215545</v>
      </c>
      <c r="O401" s="303"/>
    </row>
    <row r="402" spans="1:15" ht="15">
      <c r="A402" s="39">
        <v>399</v>
      </c>
      <c r="B402" s="268" t="s">
        <v>157</v>
      </c>
      <c r="C402" s="31">
        <v>39738</v>
      </c>
      <c r="D402" s="32" t="s">
        <v>242</v>
      </c>
      <c r="E402" s="56">
        <v>67</v>
      </c>
      <c r="F402" s="56">
        <v>1</v>
      </c>
      <c r="G402" s="56">
        <v>32</v>
      </c>
      <c r="H402" s="148">
        <v>1780</v>
      </c>
      <c r="I402" s="162">
        <v>445</v>
      </c>
      <c r="J402" s="181">
        <f>(I402/F402)</f>
        <v>445</v>
      </c>
      <c r="K402" s="182">
        <f>H402/I402</f>
        <v>4</v>
      </c>
      <c r="L402" s="183">
        <f>167196+176809+54428+37340+38330.5+23467+11581+5867+4382+2577+3552+2137+545+4006+9422+7992+4936+1547+1147+288+371+2842+1282+168+610+1948+150+3292+132+65+1780+1780</f>
        <v>571969.5</v>
      </c>
      <c r="M402" s="181">
        <f>19168+21164+7719+6215+6404+4964+2339+1306+907+580+859+440+127+905+2170+1822+1050+392+333+56+73+734+411+21+61+466+30+807+26+13+445+445</f>
        <v>82452</v>
      </c>
      <c r="N402" s="267">
        <f>+L403/M403</f>
        <v>6.921233579019748</v>
      </c>
      <c r="O402" s="303"/>
    </row>
    <row r="403" spans="1:15" ht="15">
      <c r="A403" s="39">
        <v>400</v>
      </c>
      <c r="B403" s="275" t="s">
        <v>157</v>
      </c>
      <c r="C403" s="31">
        <v>39738</v>
      </c>
      <c r="D403" s="32" t="s">
        <v>242</v>
      </c>
      <c r="E403" s="54">
        <v>67</v>
      </c>
      <c r="F403" s="54">
        <v>1</v>
      </c>
      <c r="G403" s="54">
        <v>33</v>
      </c>
      <c r="H403" s="163">
        <v>1780</v>
      </c>
      <c r="I403" s="164">
        <v>445</v>
      </c>
      <c r="J403" s="181">
        <f>I403/F403</f>
        <v>445</v>
      </c>
      <c r="K403" s="182">
        <f>H403/I403</f>
        <v>4</v>
      </c>
      <c r="L403" s="183">
        <f>167196+176809+54428+37340+38330.5+23467+11581+5867+4382+2577+3552+2137+545+4006+9422+7992+4936+1547+1147+288+371+2842+1282+168+610+1948+150+3292+132+65+1780+1780+1780</f>
        <v>573749.5</v>
      </c>
      <c r="M403" s="181">
        <f>19168+21164+7719+6215+6404+4964+2339+1306+907+580+859+440+127+905+2170+1822+1050+392+333+56+73+734+411+21+61+466+30+807+26+13+445+445+445</f>
        <v>82897</v>
      </c>
      <c r="N403" s="270">
        <f>+L403/M403</f>
        <v>6.921233579019748</v>
      </c>
      <c r="O403" s="331">
        <v>1</v>
      </c>
    </row>
    <row r="404" spans="1:15" ht="15">
      <c r="A404" s="39">
        <v>401</v>
      </c>
      <c r="B404" s="265" t="s">
        <v>157</v>
      </c>
      <c r="C404" s="31">
        <v>39738</v>
      </c>
      <c r="D404" s="32" t="s">
        <v>242</v>
      </c>
      <c r="E404" s="54">
        <v>67</v>
      </c>
      <c r="F404" s="54">
        <v>1</v>
      </c>
      <c r="G404" s="54">
        <v>34</v>
      </c>
      <c r="H404" s="163">
        <v>952</v>
      </c>
      <c r="I404" s="164">
        <v>238</v>
      </c>
      <c r="J404" s="181">
        <f>I404/F404</f>
        <v>238</v>
      </c>
      <c r="K404" s="182">
        <f>+H404/I404</f>
        <v>4</v>
      </c>
      <c r="L404" s="183">
        <f>167196+176809+54428+37340+38330.5+23467+11581+5867+4382+2577+3552+2137+545+4006+9422+7992+4936+1547+1147+288+371+2842+1282+168+610+1948+150+3292+132+65+1780+1780+1780+952</f>
        <v>574701.5</v>
      </c>
      <c r="M404" s="181">
        <f>19168+21164+7719+6215+6404+4964+2339+1306+907+580+859+440+127+905+2170+1822+1050+392+333+56+73+734+411+21+61+466+30+807+26+13+445+445+445+238</f>
        <v>83135</v>
      </c>
      <c r="N404" s="270">
        <f>+L404/M404</f>
        <v>6.912870632104409</v>
      </c>
      <c r="O404" s="331"/>
    </row>
    <row r="405" spans="1:15" ht="15">
      <c r="A405" s="39">
        <v>402</v>
      </c>
      <c r="B405" s="268" t="s">
        <v>33</v>
      </c>
      <c r="C405" s="31">
        <v>40046</v>
      </c>
      <c r="D405" s="35" t="s">
        <v>240</v>
      </c>
      <c r="E405" s="56">
        <v>55</v>
      </c>
      <c r="F405" s="56">
        <v>1</v>
      </c>
      <c r="G405" s="56">
        <v>20</v>
      </c>
      <c r="H405" s="161">
        <v>609</v>
      </c>
      <c r="I405" s="150">
        <v>280</v>
      </c>
      <c r="J405" s="152">
        <f>I405/F405</f>
        <v>280</v>
      </c>
      <c r="K405" s="154">
        <f>+H405/I405</f>
        <v>2.175</v>
      </c>
      <c r="L405" s="156">
        <v>2895934</v>
      </c>
      <c r="M405" s="152">
        <v>289454</v>
      </c>
      <c r="N405" s="266">
        <f>IF(L406&lt;&gt;0,L406/M406,"")</f>
        <v>8.655390407771161</v>
      </c>
      <c r="O405" s="312"/>
    </row>
    <row r="406" spans="1:15" ht="15">
      <c r="A406" s="39">
        <v>403</v>
      </c>
      <c r="B406" s="268" t="s">
        <v>32</v>
      </c>
      <c r="C406" s="31">
        <v>39836</v>
      </c>
      <c r="D406" s="33" t="s">
        <v>154</v>
      </c>
      <c r="E406" s="56">
        <v>86</v>
      </c>
      <c r="F406" s="56">
        <v>1</v>
      </c>
      <c r="G406" s="56">
        <v>20</v>
      </c>
      <c r="H406" s="149">
        <v>2941</v>
      </c>
      <c r="I406" s="151">
        <v>588</v>
      </c>
      <c r="J406" s="153">
        <f>IF(H406&lt;&gt;0,I406/F406,"")</f>
        <v>588</v>
      </c>
      <c r="K406" s="155">
        <f>IF(H406&lt;&gt;0,H406/I406,"")</f>
        <v>5.0017006802721085</v>
      </c>
      <c r="L406" s="157">
        <v>1450591.5</v>
      </c>
      <c r="M406" s="158">
        <v>167594</v>
      </c>
      <c r="N406" s="266">
        <f>IF(L407&lt;&gt;0,L407/M407,"")</f>
        <v>8.652274095757049</v>
      </c>
      <c r="O406" s="302"/>
    </row>
    <row r="407" spans="1:15" ht="15">
      <c r="A407" s="39">
        <v>404</v>
      </c>
      <c r="B407" s="265" t="s">
        <v>32</v>
      </c>
      <c r="C407" s="26">
        <v>39836</v>
      </c>
      <c r="D407" s="29" t="s">
        <v>154</v>
      </c>
      <c r="E407" s="55">
        <v>86</v>
      </c>
      <c r="F407" s="55">
        <v>1</v>
      </c>
      <c r="G407" s="55">
        <v>21</v>
      </c>
      <c r="H407" s="159">
        <v>715</v>
      </c>
      <c r="I407" s="151">
        <v>143</v>
      </c>
      <c r="J407" s="153">
        <f>IF(H407&lt;&gt;0,I407/F407,"")</f>
        <v>143</v>
      </c>
      <c r="K407" s="155">
        <f>IF(H407&lt;&gt;0,H407/I407,"")</f>
        <v>5</v>
      </c>
      <c r="L407" s="178">
        <v>1451306.5</v>
      </c>
      <c r="M407" s="158">
        <v>167737</v>
      </c>
      <c r="N407" s="266">
        <f>L408/M408</f>
        <v>8.293342667133357</v>
      </c>
      <c r="O407" s="305"/>
    </row>
    <row r="408" spans="1:15" ht="15">
      <c r="A408" s="39">
        <v>405</v>
      </c>
      <c r="B408" s="265" t="s">
        <v>124</v>
      </c>
      <c r="C408" s="31">
        <v>39871</v>
      </c>
      <c r="D408" s="32" t="s">
        <v>242</v>
      </c>
      <c r="E408" s="54">
        <v>6</v>
      </c>
      <c r="F408" s="54">
        <v>1</v>
      </c>
      <c r="G408" s="54">
        <v>13</v>
      </c>
      <c r="H408" s="163">
        <v>396.58</v>
      </c>
      <c r="I408" s="164">
        <v>88</v>
      </c>
      <c r="J408" s="181">
        <f>I408/F408</f>
        <v>88</v>
      </c>
      <c r="K408" s="182">
        <f>+H408/I408</f>
        <v>4.506590909090909</v>
      </c>
      <c r="L408" s="183">
        <f>10784+5573+660+1421+910+383+1328+245+1176.5+396+237+184+396.58</f>
        <v>23694.08</v>
      </c>
      <c r="M408" s="181">
        <f>1170+612+72+185+145+72+129+49+165+72+54+44+88</f>
        <v>2857</v>
      </c>
      <c r="N408" s="270">
        <f>+L408/M408</f>
        <v>8.293342667133357</v>
      </c>
      <c r="O408" s="303"/>
    </row>
    <row r="409" spans="1:15" ht="15">
      <c r="A409" s="39">
        <v>406</v>
      </c>
      <c r="B409" s="265" t="s">
        <v>124</v>
      </c>
      <c r="C409" s="31">
        <v>39871</v>
      </c>
      <c r="D409" s="32" t="s">
        <v>242</v>
      </c>
      <c r="E409" s="54">
        <v>6</v>
      </c>
      <c r="F409" s="54">
        <v>1</v>
      </c>
      <c r="G409" s="54">
        <v>14</v>
      </c>
      <c r="H409" s="163">
        <v>72</v>
      </c>
      <c r="I409" s="164">
        <v>15</v>
      </c>
      <c r="J409" s="181">
        <f aca="true" t="shared" si="40" ref="J409:J416">(I409/F409)</f>
        <v>15</v>
      </c>
      <c r="K409" s="182">
        <f aca="true" t="shared" si="41" ref="K409:K416">H409/I409</f>
        <v>4.8</v>
      </c>
      <c r="L409" s="183">
        <f>10784+5573+660+1421+910+383+1328+245+1176.5+396+237+184+396.58+72</f>
        <v>23766.08</v>
      </c>
      <c r="M409" s="181">
        <f>1170+612+72+185+145+72+129+49+165+72+54+44+88+15</f>
        <v>2872</v>
      </c>
      <c r="N409" s="270">
        <f>L409/M409</f>
        <v>8.275097493036212</v>
      </c>
      <c r="O409" s="303"/>
    </row>
    <row r="410" spans="1:15" ht="15">
      <c r="A410" s="39">
        <v>407</v>
      </c>
      <c r="B410" s="265" t="s">
        <v>124</v>
      </c>
      <c r="C410" s="31">
        <v>39871</v>
      </c>
      <c r="D410" s="32" t="s">
        <v>242</v>
      </c>
      <c r="E410" s="54">
        <v>6</v>
      </c>
      <c r="F410" s="54">
        <v>1</v>
      </c>
      <c r="G410" s="54">
        <v>15</v>
      </c>
      <c r="H410" s="163">
        <v>25.76</v>
      </c>
      <c r="I410" s="165">
        <v>7</v>
      </c>
      <c r="J410" s="152">
        <f t="shared" si="40"/>
        <v>7</v>
      </c>
      <c r="K410" s="154">
        <f t="shared" si="41"/>
        <v>3.68</v>
      </c>
      <c r="L410" s="156">
        <f>10784+5573+660+1421+910+383+1328+245+1176.5+396+237+184+396.58+72+25.76</f>
        <v>23791.84</v>
      </c>
      <c r="M410" s="152">
        <f>1170+612+72+185+145+72+129+49+165+72+54+44+88+15+7</f>
        <v>2879</v>
      </c>
      <c r="N410" s="267">
        <f>L410/M410</f>
        <v>8.263924973949289</v>
      </c>
      <c r="O410" s="301"/>
    </row>
    <row r="411" spans="1:15" ht="15">
      <c r="A411" s="39">
        <v>408</v>
      </c>
      <c r="B411" s="265" t="s">
        <v>302</v>
      </c>
      <c r="C411" s="26">
        <v>40109</v>
      </c>
      <c r="D411" s="27" t="s">
        <v>242</v>
      </c>
      <c r="E411" s="230">
        <v>25</v>
      </c>
      <c r="F411" s="230">
        <v>1</v>
      </c>
      <c r="G411" s="230">
        <v>23</v>
      </c>
      <c r="H411" s="149">
        <v>1780</v>
      </c>
      <c r="I411" s="151">
        <v>445</v>
      </c>
      <c r="J411" s="153">
        <f t="shared" si="40"/>
        <v>445</v>
      </c>
      <c r="K411" s="155">
        <f t="shared" si="41"/>
        <v>4</v>
      </c>
      <c r="L411" s="157">
        <f>198009+121514.5+95148.5+66495+23091+12092+17648.5+7279+6352.5+7838.5+3895+13931+9479.5+3364+826.5+1019+54+36+440+715.04+552.7+2964+1780</f>
        <v>594525.24</v>
      </c>
      <c r="M411" s="158">
        <f>27092+16078+14204+10980+3903+1664+3329+1236+1212+1399+730+2457+1696+753+144+178+18+12+96+166+108+741+445</f>
        <v>88641</v>
      </c>
      <c r="N411" s="266">
        <f>L411/M411</f>
        <v>6.707113412529191</v>
      </c>
      <c r="O411" s="311"/>
    </row>
    <row r="412" spans="1:15" ht="15">
      <c r="A412" s="39">
        <v>409</v>
      </c>
      <c r="B412" s="265" t="s">
        <v>334</v>
      </c>
      <c r="C412" s="31">
        <v>40109</v>
      </c>
      <c r="D412" s="27" t="s">
        <v>242</v>
      </c>
      <c r="E412" s="229">
        <v>25</v>
      </c>
      <c r="F412" s="229">
        <v>1</v>
      </c>
      <c r="G412" s="229">
        <v>24</v>
      </c>
      <c r="H412" s="161">
        <v>2972</v>
      </c>
      <c r="I412" s="150">
        <v>743</v>
      </c>
      <c r="J412" s="152">
        <f t="shared" si="40"/>
        <v>743</v>
      </c>
      <c r="K412" s="154">
        <f t="shared" si="41"/>
        <v>4</v>
      </c>
      <c r="L412" s="156">
        <f>198009+121514.5+95148.5+66495+23091+12092+17648.5+7279+6352.5+7838.5+3895+13931+9479.5+3364+826.5+1019+54+36+440+715.04+552.7+2964+1780+2972</f>
        <v>597497.24</v>
      </c>
      <c r="M412" s="152">
        <f>27092+16078+14204+10980+3903+1664+3329+1236+1212+1399+730+2457+1696+753+144+178+18+12+96+166+108+741+445+743</f>
        <v>89384</v>
      </c>
      <c r="N412" s="267">
        <f>L412/M412</f>
        <v>6.684610668576031</v>
      </c>
      <c r="O412" s="303"/>
    </row>
    <row r="413" spans="1:15" ht="15">
      <c r="A413" s="39">
        <v>410</v>
      </c>
      <c r="B413" s="268" t="s">
        <v>175</v>
      </c>
      <c r="C413" s="31">
        <v>40109</v>
      </c>
      <c r="D413" s="32" t="s">
        <v>242</v>
      </c>
      <c r="E413" s="56">
        <v>25</v>
      </c>
      <c r="F413" s="56">
        <v>8</v>
      </c>
      <c r="G413" s="56">
        <v>12</v>
      </c>
      <c r="H413" s="159">
        <v>13931</v>
      </c>
      <c r="I413" s="160">
        <v>2457</v>
      </c>
      <c r="J413" s="177">
        <f t="shared" si="40"/>
        <v>307.125</v>
      </c>
      <c r="K413" s="180">
        <f t="shared" si="41"/>
        <v>5.66992266992267</v>
      </c>
      <c r="L413" s="178">
        <f>198009+121514.5+95148.5+66495+23091+12092+17648.5+7279+6352.5+7838.5+3895+13931</f>
        <v>573294.5</v>
      </c>
      <c r="M413" s="179">
        <f>27092+16078+14204+10980+3903+1664+3329+1236+1212+1399+730+2457</f>
        <v>84284</v>
      </c>
      <c r="N413" s="266">
        <f>L414/M414</f>
        <v>6.778036241829305</v>
      </c>
      <c r="O413" s="303"/>
    </row>
    <row r="414" spans="1:15" ht="15">
      <c r="A414" s="39">
        <v>411</v>
      </c>
      <c r="B414" s="269" t="s">
        <v>175</v>
      </c>
      <c r="C414" s="34">
        <v>40109</v>
      </c>
      <c r="D414" s="32" t="s">
        <v>242</v>
      </c>
      <c r="E414" s="57">
        <v>25</v>
      </c>
      <c r="F414" s="57">
        <v>7</v>
      </c>
      <c r="G414" s="57">
        <v>13</v>
      </c>
      <c r="H414" s="159">
        <v>9467.5</v>
      </c>
      <c r="I414" s="151">
        <v>1694</v>
      </c>
      <c r="J414" s="153">
        <f t="shared" si="40"/>
        <v>242</v>
      </c>
      <c r="K414" s="155">
        <f t="shared" si="41"/>
        <v>5.588842975206612</v>
      </c>
      <c r="L414" s="178">
        <f>198009+121514.5+95148.5+66495+23091+12092+17648.5+7279+6352.5+7838.5+3895+13931+9467.5</f>
        <v>582762</v>
      </c>
      <c r="M414" s="158">
        <f>27092+16078+14204+10980+3903+1664+3329+1236+1212+1399+730+2457+1694</f>
        <v>85978</v>
      </c>
      <c r="N414" s="266">
        <f>L415/M415</f>
        <v>6.835928238845369</v>
      </c>
      <c r="O414" s="303"/>
    </row>
    <row r="415" spans="1:15" ht="15">
      <c r="A415" s="39">
        <v>412</v>
      </c>
      <c r="B415" s="268" t="s">
        <v>175</v>
      </c>
      <c r="C415" s="31">
        <v>40109</v>
      </c>
      <c r="D415" s="32" t="s">
        <v>242</v>
      </c>
      <c r="E415" s="56">
        <v>25</v>
      </c>
      <c r="F415" s="56">
        <v>5</v>
      </c>
      <c r="G415" s="56">
        <v>11</v>
      </c>
      <c r="H415" s="159">
        <v>3895</v>
      </c>
      <c r="I415" s="160">
        <v>730</v>
      </c>
      <c r="J415" s="177">
        <f t="shared" si="40"/>
        <v>146</v>
      </c>
      <c r="K415" s="155">
        <f t="shared" si="41"/>
        <v>5.335616438356165</v>
      </c>
      <c r="L415" s="178">
        <f>198009+121514.5+95148.5+66495+23091+12092+17648.5+7279+6352.5+7838.5+3895</f>
        <v>559363.5</v>
      </c>
      <c r="M415" s="179">
        <f>27092+16078+14204+10980+3903+1664+3329+1236+1212+1399+730</f>
        <v>81827</v>
      </c>
      <c r="N415" s="266">
        <f>L416/M416</f>
        <v>6.757958331892128</v>
      </c>
      <c r="O415" s="304">
        <v>1</v>
      </c>
    </row>
    <row r="416" spans="1:15" ht="15">
      <c r="A416" s="39">
        <v>413</v>
      </c>
      <c r="B416" s="268" t="s">
        <v>30</v>
      </c>
      <c r="C416" s="31">
        <v>40109</v>
      </c>
      <c r="D416" s="32" t="s">
        <v>242</v>
      </c>
      <c r="E416" s="56">
        <v>25</v>
      </c>
      <c r="F416" s="56">
        <v>3</v>
      </c>
      <c r="G416" s="56">
        <v>14</v>
      </c>
      <c r="H416" s="149">
        <v>3364</v>
      </c>
      <c r="I416" s="151">
        <v>753</v>
      </c>
      <c r="J416" s="153">
        <f t="shared" si="40"/>
        <v>251</v>
      </c>
      <c r="K416" s="155">
        <f t="shared" si="41"/>
        <v>4.46746347941567</v>
      </c>
      <c r="L416" s="157">
        <f>198009+121514.5+95148.5+66495+23091+12092+17648.5+7279+6352.5+7838.5+3895+13931+9479.5+3364</f>
        <v>586138</v>
      </c>
      <c r="M416" s="158">
        <f>27092+16078+14204+10980+3903+1664+3329+1236+1212+1399+730+2457+1696+753</f>
        <v>86733</v>
      </c>
      <c r="N416" s="267">
        <f>L417/M417</f>
        <v>6.754161162483488</v>
      </c>
      <c r="O416" s="331">
        <v>1</v>
      </c>
    </row>
    <row r="417" spans="1:15" ht="15">
      <c r="A417" s="39">
        <v>414</v>
      </c>
      <c r="B417" s="268" t="s">
        <v>175</v>
      </c>
      <c r="C417" s="31">
        <v>40109</v>
      </c>
      <c r="D417" s="32" t="s">
        <v>242</v>
      </c>
      <c r="E417" s="56">
        <v>25</v>
      </c>
      <c r="F417" s="56">
        <v>1</v>
      </c>
      <c r="G417" s="56">
        <v>16</v>
      </c>
      <c r="H417" s="161">
        <v>1019</v>
      </c>
      <c r="I417" s="150">
        <v>178</v>
      </c>
      <c r="J417" s="152">
        <f>I417/F417</f>
        <v>178</v>
      </c>
      <c r="K417" s="154">
        <f>+H417/I417</f>
        <v>5.724719101123595</v>
      </c>
      <c r="L417" s="156">
        <f>198009+121514.5+95148.5+66495+23091+12092+17648.5+7279+6352.5+7838.5+3895+13931+9479.5+3364+826.5+1019</f>
        <v>587983.5</v>
      </c>
      <c r="M417" s="152">
        <f>27092+16078+14204+10980+3903+1664+3329+1236+1212+1399+730+2457+1696+753+144+178</f>
        <v>87055</v>
      </c>
      <c r="N417" s="266">
        <f>L418/M418</f>
        <v>6.756270359243528</v>
      </c>
      <c r="O417" s="301"/>
    </row>
    <row r="418" spans="1:15" ht="15">
      <c r="A418" s="39">
        <v>415</v>
      </c>
      <c r="B418" s="268" t="s">
        <v>30</v>
      </c>
      <c r="C418" s="34">
        <v>40109</v>
      </c>
      <c r="D418" s="32" t="s">
        <v>242</v>
      </c>
      <c r="E418" s="57">
        <v>25</v>
      </c>
      <c r="F418" s="57">
        <v>1</v>
      </c>
      <c r="G418" s="57">
        <v>15</v>
      </c>
      <c r="H418" s="149">
        <v>826.5</v>
      </c>
      <c r="I418" s="151">
        <v>144</v>
      </c>
      <c r="J418" s="153">
        <f>(I418/F418)</f>
        <v>144</v>
      </c>
      <c r="K418" s="154">
        <f>+H418/I418</f>
        <v>5.739583333333333</v>
      </c>
      <c r="L418" s="157">
        <f>198009+121514.5+95148.5+66495+23091+12092+17648.5+7279+6352.5+7838.5+3895+13931+9479.5+3364+826.5</f>
        <v>586964.5</v>
      </c>
      <c r="M418" s="158">
        <f>27092+16078+14204+10980+3903+1664+3329+1236+1212+1399+730+2457+1696+753+144</f>
        <v>86877</v>
      </c>
      <c r="N418" s="266">
        <f>IF(L419&lt;&gt;0,L419/M419,"")</f>
        <v>6.7458360332925</v>
      </c>
      <c r="O418" s="303">
        <v>1</v>
      </c>
    </row>
    <row r="419" spans="1:15" ht="15">
      <c r="A419" s="39">
        <v>416</v>
      </c>
      <c r="B419" s="265" t="s">
        <v>175</v>
      </c>
      <c r="C419" s="31">
        <v>40109</v>
      </c>
      <c r="D419" s="32" t="s">
        <v>242</v>
      </c>
      <c r="E419" s="54">
        <v>25</v>
      </c>
      <c r="F419" s="54">
        <v>1</v>
      </c>
      <c r="G419" s="54">
        <v>20</v>
      </c>
      <c r="H419" s="163">
        <v>715.04</v>
      </c>
      <c r="I419" s="164">
        <v>166</v>
      </c>
      <c r="J419" s="181">
        <f>(I419/F419)</f>
        <v>166</v>
      </c>
      <c r="K419" s="182">
        <f>H419/I419</f>
        <v>4.307469879518072</v>
      </c>
      <c r="L419" s="183">
        <f>198009+121514.5+95148.5+66495+23091+12092+17648.5+7279+6352.5+7838.5+3895+13931+9479.5+3364+826.5+1019+54+36+440+715.04</f>
        <v>589228.54</v>
      </c>
      <c r="M419" s="181">
        <f>27092+16078+14204+10980+3903+1664+3329+1236+1212+1399+730+2457+1696+753+144+178+18+12+96+166</f>
        <v>87347</v>
      </c>
      <c r="N419" s="270">
        <f>L419/M419</f>
        <v>6.7458360332925</v>
      </c>
      <c r="O419" s="303">
        <v>1</v>
      </c>
    </row>
    <row r="420" spans="1:15" ht="15">
      <c r="A420" s="39">
        <v>417</v>
      </c>
      <c r="B420" s="265" t="s">
        <v>175</v>
      </c>
      <c r="C420" s="31">
        <v>40109</v>
      </c>
      <c r="D420" s="32" t="s">
        <v>242</v>
      </c>
      <c r="E420" s="54">
        <v>25</v>
      </c>
      <c r="F420" s="54">
        <v>2</v>
      </c>
      <c r="G420" s="54">
        <v>21</v>
      </c>
      <c r="H420" s="163">
        <v>552.7</v>
      </c>
      <c r="I420" s="165">
        <v>108</v>
      </c>
      <c r="J420" s="152">
        <f>(I420/F420)</f>
        <v>54</v>
      </c>
      <c r="K420" s="154">
        <f>H420/I420</f>
        <v>5.117592592592593</v>
      </c>
      <c r="L420" s="156">
        <f>198009+121514.5+95148.5+66495+23091+12092+17648.5+7279+6352.5+7838.5+3895+13931+9479.5+3364+826.5+1019+54+36+440+715.04+552.7</f>
        <v>589781.24</v>
      </c>
      <c r="M420" s="152">
        <f>27092+16078+14204+10980+3903+1664+3329+1236+1212+1399+730+2457+1696+753+144+178+18+12+96+166+108</f>
        <v>87455</v>
      </c>
      <c r="N420" s="267">
        <f>L420/M420</f>
        <v>6.743825281573381</v>
      </c>
      <c r="O420" s="312">
        <v>1</v>
      </c>
    </row>
    <row r="421" spans="1:15" ht="15">
      <c r="A421" s="39">
        <v>418</v>
      </c>
      <c r="B421" s="265" t="s">
        <v>175</v>
      </c>
      <c r="C421" s="31">
        <v>40109</v>
      </c>
      <c r="D421" s="32" t="s">
        <v>242</v>
      </c>
      <c r="E421" s="54">
        <v>25</v>
      </c>
      <c r="F421" s="54">
        <v>1</v>
      </c>
      <c r="G421" s="54">
        <v>19</v>
      </c>
      <c r="H421" s="163">
        <v>440</v>
      </c>
      <c r="I421" s="164">
        <v>96</v>
      </c>
      <c r="J421" s="181">
        <f>I421/F421</f>
        <v>96</v>
      </c>
      <c r="K421" s="182">
        <f>+H421/I421</f>
        <v>4.583333333333333</v>
      </c>
      <c r="L421" s="183">
        <f>198009+121514.5+95148.5+66495+23091+12092+17648.5+7279+6352.5+7838.5+3895+13931+9479.5+3364+826.5+1019+54+36+440</f>
        <v>588513.5</v>
      </c>
      <c r="M421" s="181">
        <f>27092+16078+14204+10980+3903+1664+3329+1236+1212+1399+730+2457+1696+753+144+178+18+12+96</f>
        <v>87181</v>
      </c>
      <c r="N421" s="270">
        <f>+L421/M421</f>
        <v>6.750478888748695</v>
      </c>
      <c r="O421" s="303">
        <v>1</v>
      </c>
    </row>
    <row r="422" spans="1:15" ht="15">
      <c r="A422" s="39">
        <v>419</v>
      </c>
      <c r="B422" s="265" t="s">
        <v>175</v>
      </c>
      <c r="C422" s="26">
        <v>40109</v>
      </c>
      <c r="D422" s="32" t="s">
        <v>242</v>
      </c>
      <c r="E422" s="55">
        <v>25</v>
      </c>
      <c r="F422" s="55">
        <v>1</v>
      </c>
      <c r="G422" s="55">
        <v>17</v>
      </c>
      <c r="H422" s="159">
        <v>54</v>
      </c>
      <c r="I422" s="160">
        <v>18</v>
      </c>
      <c r="J422" s="177">
        <f>(I422/F422)</f>
        <v>18</v>
      </c>
      <c r="K422" s="180">
        <f>H422/I422</f>
        <v>3</v>
      </c>
      <c r="L422" s="178">
        <f>198009+121514.5+95148.5+66495+23091+12092+17648.5+7279+6352.5+7838.5+3895+13931+9479.5+3364+826.5+1019+54</f>
        <v>588037.5</v>
      </c>
      <c r="M422" s="179">
        <f>27092+16078+14204+10980+3903+1664+3329+1236+1212+1399+730+2457+1696+753+144+178+18</f>
        <v>87073</v>
      </c>
      <c r="N422" s="267">
        <f>+L423/M423</f>
        <v>6.752867887695929</v>
      </c>
      <c r="O422" s="303">
        <v>1</v>
      </c>
    </row>
    <row r="423" spans="1:15" ht="15">
      <c r="A423" s="39">
        <v>420</v>
      </c>
      <c r="B423" s="275" t="s">
        <v>175</v>
      </c>
      <c r="C423" s="31">
        <v>40109</v>
      </c>
      <c r="D423" s="32" t="s">
        <v>242</v>
      </c>
      <c r="E423" s="54">
        <v>25</v>
      </c>
      <c r="F423" s="54">
        <v>1</v>
      </c>
      <c r="G423" s="54">
        <v>18</v>
      </c>
      <c r="H423" s="163">
        <v>36</v>
      </c>
      <c r="I423" s="164">
        <v>12</v>
      </c>
      <c r="J423" s="181">
        <f>(I423/F423)</f>
        <v>12</v>
      </c>
      <c r="K423" s="182">
        <f>H423/I423</f>
        <v>3</v>
      </c>
      <c r="L423" s="183">
        <f>198009+121514.5+95148.5+66495+23091+12092+17648.5+7279+6352.5+7838.5+3895+13931+9479.5+3364+826.5+1019+54+36</f>
        <v>588073.5</v>
      </c>
      <c r="M423" s="181">
        <f>27092+16078+14204+10980+3903+1664+3329+1236+1212+1399+730+2457+1696+753+144+178+18+12</f>
        <v>87085</v>
      </c>
      <c r="N423" s="270">
        <f>L423/M423</f>
        <v>6.752867887695929</v>
      </c>
      <c r="O423" s="303">
        <v>1</v>
      </c>
    </row>
    <row r="424" spans="1:15" ht="15">
      <c r="A424" s="39">
        <v>421</v>
      </c>
      <c r="B424" s="268" t="s">
        <v>99</v>
      </c>
      <c r="C424" s="31">
        <v>40074</v>
      </c>
      <c r="D424" s="32" t="s">
        <v>47</v>
      </c>
      <c r="E424" s="56">
        <v>20</v>
      </c>
      <c r="F424" s="56">
        <v>1</v>
      </c>
      <c r="G424" s="56">
        <v>8</v>
      </c>
      <c r="H424" s="148">
        <v>622</v>
      </c>
      <c r="I424" s="162">
        <v>104</v>
      </c>
      <c r="J424" s="181">
        <f>I424/F424</f>
        <v>104</v>
      </c>
      <c r="K424" s="182">
        <f>+H424/I424</f>
        <v>5.980769230769231</v>
      </c>
      <c r="L424" s="183">
        <f>29605.75+13687.5+1715.5+10167+0.5+1482+874+865+622</f>
        <v>59019.25</v>
      </c>
      <c r="M424" s="181">
        <f>2984+1583+274+1724+229+164+167+104</f>
        <v>7229</v>
      </c>
      <c r="N424" s="272">
        <f>+L425/M425</f>
        <v>8.157885651153155</v>
      </c>
      <c r="O424" s="302">
        <v>1</v>
      </c>
    </row>
    <row r="425" spans="1:15" ht="15">
      <c r="A425" s="39">
        <v>422</v>
      </c>
      <c r="B425" s="268" t="s">
        <v>23</v>
      </c>
      <c r="C425" s="31">
        <v>40074</v>
      </c>
      <c r="D425" s="32" t="s">
        <v>47</v>
      </c>
      <c r="E425" s="56">
        <v>20</v>
      </c>
      <c r="F425" s="56">
        <v>1</v>
      </c>
      <c r="G425" s="56">
        <v>9</v>
      </c>
      <c r="H425" s="148">
        <v>52</v>
      </c>
      <c r="I425" s="150">
        <v>12</v>
      </c>
      <c r="J425" s="184">
        <f>+I425/F425</f>
        <v>12</v>
      </c>
      <c r="K425" s="185">
        <f>+H425/I425</f>
        <v>4.333333333333333</v>
      </c>
      <c r="L425" s="183">
        <f>29605.75+13687.5+1715.5+10167+0.5+1482+874+865+622+52</f>
        <v>59071.25</v>
      </c>
      <c r="M425" s="152">
        <f>2984+1583+274+1724+229+164+167+104+12</f>
        <v>7241</v>
      </c>
      <c r="N425" s="266">
        <f>L426/M426</f>
        <v>9.725345014730966</v>
      </c>
      <c r="O425" s="303">
        <v>1</v>
      </c>
    </row>
    <row r="426" spans="1:15" ht="15">
      <c r="A426" s="39">
        <v>423</v>
      </c>
      <c r="B426" s="268" t="s">
        <v>45</v>
      </c>
      <c r="C426" s="31">
        <v>40109</v>
      </c>
      <c r="D426" s="32" t="s">
        <v>242</v>
      </c>
      <c r="E426" s="56">
        <v>35</v>
      </c>
      <c r="F426" s="56">
        <v>4</v>
      </c>
      <c r="G426" s="56">
        <v>10</v>
      </c>
      <c r="H426" s="159">
        <v>2698</v>
      </c>
      <c r="I426" s="160">
        <v>403</v>
      </c>
      <c r="J426" s="177">
        <f>(I426/F426)</f>
        <v>100.75</v>
      </c>
      <c r="K426" s="180">
        <f>H426/I426</f>
        <v>6.694789081885856</v>
      </c>
      <c r="L426" s="178">
        <f>138311.75+79345.25+13093+10041+3739+971+1340+254+1082+2698</f>
        <v>250875</v>
      </c>
      <c r="M426" s="179">
        <f>12918+7558+2061+1540+644+195+252+48+177+403</f>
        <v>25796</v>
      </c>
      <c r="N426" s="266">
        <f>L427/M427</f>
        <v>9.696593355890496</v>
      </c>
      <c r="O426" s="303">
        <v>1</v>
      </c>
    </row>
    <row r="427" spans="1:15" ht="15">
      <c r="A427" s="39">
        <v>424</v>
      </c>
      <c r="B427" s="269" t="s">
        <v>45</v>
      </c>
      <c r="C427" s="34">
        <v>40109</v>
      </c>
      <c r="D427" s="32" t="s">
        <v>242</v>
      </c>
      <c r="E427" s="57">
        <v>35</v>
      </c>
      <c r="F427" s="57">
        <v>2</v>
      </c>
      <c r="G427" s="57">
        <v>11</v>
      </c>
      <c r="H427" s="159">
        <v>1314</v>
      </c>
      <c r="I427" s="151">
        <v>212</v>
      </c>
      <c r="J427" s="153">
        <f>(I427/F427)</f>
        <v>106</v>
      </c>
      <c r="K427" s="155">
        <f>H427/I427</f>
        <v>6.19811320754717</v>
      </c>
      <c r="L427" s="178">
        <f>138311.75+79345.25+13093+10041+3739+971+1340+254+1082+2698+1314</f>
        <v>252189</v>
      </c>
      <c r="M427" s="158">
        <f>12918+7558+2061+1540+644+195+252+48+177+403+212</f>
        <v>26008</v>
      </c>
      <c r="N427" s="266">
        <f>L428/M428</f>
        <v>9.77344149962588</v>
      </c>
      <c r="O427" s="303">
        <v>1</v>
      </c>
    </row>
    <row r="428" spans="1:15" ht="15">
      <c r="A428" s="39">
        <v>425</v>
      </c>
      <c r="B428" s="268" t="s">
        <v>45</v>
      </c>
      <c r="C428" s="31">
        <v>40109</v>
      </c>
      <c r="D428" s="32" t="s">
        <v>242</v>
      </c>
      <c r="E428" s="56">
        <v>35</v>
      </c>
      <c r="F428" s="56">
        <v>1</v>
      </c>
      <c r="G428" s="56">
        <v>9</v>
      </c>
      <c r="H428" s="159">
        <v>1082</v>
      </c>
      <c r="I428" s="160">
        <v>177</v>
      </c>
      <c r="J428" s="177">
        <f>(I428/F428)</f>
        <v>177</v>
      </c>
      <c r="K428" s="155">
        <f>H428/I428</f>
        <v>6.112994350282486</v>
      </c>
      <c r="L428" s="178">
        <f>138311.75+79345.25+13093+10041+3739+971+1340+254+1082</f>
        <v>248177</v>
      </c>
      <c r="M428" s="179">
        <f>12918+7558+2061+1540+644+195+252+48+177</f>
        <v>25393</v>
      </c>
      <c r="N428" s="267">
        <f>L429/M429</f>
        <v>9.630330854454394</v>
      </c>
      <c r="O428" s="312">
        <v>1</v>
      </c>
    </row>
    <row r="429" spans="1:15" ht="15">
      <c r="A429" s="39">
        <v>426</v>
      </c>
      <c r="B429" s="268" t="s">
        <v>45</v>
      </c>
      <c r="C429" s="31">
        <v>40109</v>
      </c>
      <c r="D429" s="32" t="s">
        <v>242</v>
      </c>
      <c r="E429" s="56">
        <v>35</v>
      </c>
      <c r="F429" s="56">
        <v>1</v>
      </c>
      <c r="G429" s="56">
        <v>13</v>
      </c>
      <c r="H429" s="161">
        <v>952</v>
      </c>
      <c r="I429" s="150">
        <v>238</v>
      </c>
      <c r="J429" s="152">
        <f>(I429/F429)</f>
        <v>238</v>
      </c>
      <c r="K429" s="154">
        <f>(J429/G429)</f>
        <v>18.307692307692307</v>
      </c>
      <c r="L429" s="156">
        <f>138311.75+79345.25+13093+10041+3739+971+1340+254+1082+2698+1314+676+952</f>
        <v>253817</v>
      </c>
      <c r="M429" s="152">
        <f>12918+7558+2061+1540+644+195+252+48+177+403+212+110+238</f>
        <v>26356</v>
      </c>
      <c r="N429" s="266">
        <f>L430/M430</f>
        <v>9.681637185083085</v>
      </c>
      <c r="O429" s="303">
        <v>1</v>
      </c>
    </row>
    <row r="430" spans="1:15" ht="15">
      <c r="A430" s="39">
        <v>427</v>
      </c>
      <c r="B430" s="268" t="s">
        <v>45</v>
      </c>
      <c r="C430" s="31">
        <v>40109</v>
      </c>
      <c r="D430" s="32" t="s">
        <v>242</v>
      </c>
      <c r="E430" s="56">
        <v>35</v>
      </c>
      <c r="F430" s="56">
        <v>2</v>
      </c>
      <c r="G430" s="56">
        <v>12</v>
      </c>
      <c r="H430" s="149">
        <v>676</v>
      </c>
      <c r="I430" s="151">
        <v>110</v>
      </c>
      <c r="J430" s="153">
        <f>(I430/F430)</f>
        <v>55</v>
      </c>
      <c r="K430" s="155">
        <f>H430/I430</f>
        <v>6.1454545454545455</v>
      </c>
      <c r="L430" s="157">
        <f>138311.75+79345.25+13093+10041+3739+971+1340+254+1082+2698+1314+676</f>
        <v>252865</v>
      </c>
      <c r="M430" s="158">
        <f>12918+7558+2061+1540+644+195+252+48+177+403+212+110</f>
        <v>26118</v>
      </c>
      <c r="N430" s="272">
        <f>IF(L431&lt;&gt;0,L431/M431,"")</f>
        <v>8.079533056949597</v>
      </c>
      <c r="O430" s="302">
        <v>1</v>
      </c>
    </row>
    <row r="431" spans="1:15" ht="15">
      <c r="A431" s="39">
        <v>428</v>
      </c>
      <c r="B431" s="265" t="s">
        <v>19</v>
      </c>
      <c r="C431" s="26">
        <v>40088</v>
      </c>
      <c r="D431" s="28" t="s">
        <v>154</v>
      </c>
      <c r="E431" s="55">
        <v>55</v>
      </c>
      <c r="F431" s="55">
        <v>1</v>
      </c>
      <c r="G431" s="55">
        <v>11</v>
      </c>
      <c r="H431" s="166">
        <v>653</v>
      </c>
      <c r="I431" s="167">
        <v>131</v>
      </c>
      <c r="J431" s="184">
        <f>IF(H431&lt;&gt;0,I431/F431,"")</f>
        <v>131</v>
      </c>
      <c r="K431" s="185">
        <f>IF(H431&lt;&gt;0,H431/I431,"")</f>
        <v>4.984732824427481</v>
      </c>
      <c r="L431" s="186">
        <v>148114</v>
      </c>
      <c r="M431" s="152">
        <v>18332</v>
      </c>
      <c r="N431" s="267">
        <f>+L432/M432</f>
        <v>8.066197183098591</v>
      </c>
      <c r="O431" s="303">
        <v>1</v>
      </c>
    </row>
    <row r="432" spans="1:15" ht="15">
      <c r="A432" s="39">
        <v>429</v>
      </c>
      <c r="B432" s="268" t="s">
        <v>100</v>
      </c>
      <c r="C432" s="31">
        <v>40088</v>
      </c>
      <c r="D432" s="28" t="s">
        <v>154</v>
      </c>
      <c r="E432" s="56">
        <v>55</v>
      </c>
      <c r="F432" s="56">
        <v>1</v>
      </c>
      <c r="G432" s="56">
        <v>13</v>
      </c>
      <c r="H432" s="148">
        <v>518</v>
      </c>
      <c r="I432" s="162">
        <v>90</v>
      </c>
      <c r="J432" s="181">
        <f>I432/F432</f>
        <v>90</v>
      </c>
      <c r="K432" s="182">
        <f>H432/I432</f>
        <v>5.7555555555555555</v>
      </c>
      <c r="L432" s="183">
        <v>148902</v>
      </c>
      <c r="M432" s="181">
        <v>18460</v>
      </c>
      <c r="N432" s="266">
        <f>IF(L433&lt;&gt;0,L433/M433,"")</f>
        <v>8.07751769188895</v>
      </c>
      <c r="O432" s="303">
        <v>1</v>
      </c>
    </row>
    <row r="433" spans="1:15" ht="15">
      <c r="A433" s="39">
        <v>430</v>
      </c>
      <c r="B433" s="268" t="s">
        <v>19</v>
      </c>
      <c r="C433" s="31">
        <v>40088</v>
      </c>
      <c r="D433" s="33" t="s">
        <v>154</v>
      </c>
      <c r="E433" s="56">
        <v>55</v>
      </c>
      <c r="F433" s="56">
        <v>1</v>
      </c>
      <c r="G433" s="56">
        <v>12</v>
      </c>
      <c r="H433" s="149">
        <v>270</v>
      </c>
      <c r="I433" s="151">
        <v>38</v>
      </c>
      <c r="J433" s="153">
        <f>IF(H433&lt;&gt;0,I433/F433,"")</f>
        <v>38</v>
      </c>
      <c r="K433" s="155">
        <f>IF(H433&lt;&gt;0,H433/I433,"")</f>
        <v>7.105263157894737</v>
      </c>
      <c r="L433" s="157">
        <v>148384</v>
      </c>
      <c r="M433" s="158">
        <v>18370</v>
      </c>
      <c r="N433" s="272">
        <f>IF(L434&lt;&gt;0,L434/M434,"")</f>
        <v>8.101807592989395</v>
      </c>
      <c r="O433" s="301">
        <v>1</v>
      </c>
    </row>
    <row r="434" spans="1:15" ht="15">
      <c r="A434" s="39">
        <v>431</v>
      </c>
      <c r="B434" s="265" t="s">
        <v>100</v>
      </c>
      <c r="C434" s="26">
        <v>40088</v>
      </c>
      <c r="D434" s="28" t="s">
        <v>101</v>
      </c>
      <c r="E434" s="55">
        <v>55</v>
      </c>
      <c r="F434" s="55">
        <v>1</v>
      </c>
      <c r="G434" s="55">
        <v>10</v>
      </c>
      <c r="H434" s="166">
        <v>210</v>
      </c>
      <c r="I434" s="168">
        <v>42</v>
      </c>
      <c r="J434" s="187">
        <f>IF(H434&lt;&gt;0,I434/F434,"")</f>
        <v>42</v>
      </c>
      <c r="K434" s="188">
        <f>IF(H434&lt;&gt;0,H434/I434,"")</f>
        <v>5</v>
      </c>
      <c r="L434" s="186">
        <v>147461</v>
      </c>
      <c r="M434" s="181">
        <v>18201</v>
      </c>
      <c r="N434" s="266">
        <f>L435/M435</f>
        <v>7.802755492896811</v>
      </c>
      <c r="O434" s="302"/>
    </row>
    <row r="435" spans="1:15" ht="15">
      <c r="A435" s="39">
        <v>432</v>
      </c>
      <c r="B435" s="275" t="s">
        <v>10</v>
      </c>
      <c r="C435" s="31">
        <v>40109</v>
      </c>
      <c r="D435" s="32" t="s">
        <v>242</v>
      </c>
      <c r="E435" s="54">
        <v>179</v>
      </c>
      <c r="F435" s="54">
        <v>1</v>
      </c>
      <c r="G435" s="54">
        <v>13</v>
      </c>
      <c r="H435" s="163">
        <v>2012</v>
      </c>
      <c r="I435" s="164">
        <v>503</v>
      </c>
      <c r="J435" s="181">
        <f>(I435/F435)</f>
        <v>503</v>
      </c>
      <c r="K435" s="182">
        <f>H435/I435</f>
        <v>4</v>
      </c>
      <c r="L435" s="183">
        <f>1128559+561773+266735+93447+7005+1818+273+24520+599+3199+564+1563+2012</f>
        <v>2092067</v>
      </c>
      <c r="M435" s="181">
        <f>129422+68620+41591+19064+1291+300+35+6130+81+717+91+274+503</f>
        <v>268119</v>
      </c>
      <c r="N435" s="270">
        <f>L435/M435</f>
        <v>7.802755492896811</v>
      </c>
      <c r="O435" s="303"/>
    </row>
    <row r="436" spans="1:15" ht="15">
      <c r="A436" s="39">
        <v>433</v>
      </c>
      <c r="B436" s="269" t="s">
        <v>10</v>
      </c>
      <c r="C436" s="34">
        <v>40109</v>
      </c>
      <c r="D436" s="32" t="s">
        <v>242</v>
      </c>
      <c r="E436" s="57">
        <v>179</v>
      </c>
      <c r="F436" s="57">
        <v>1</v>
      </c>
      <c r="G436" s="57">
        <v>12</v>
      </c>
      <c r="H436" s="159">
        <v>1563</v>
      </c>
      <c r="I436" s="151">
        <v>274</v>
      </c>
      <c r="J436" s="153">
        <f>(I436/F436)</f>
        <v>274</v>
      </c>
      <c r="K436" s="155">
        <f>H436/I436</f>
        <v>5.704379562043796</v>
      </c>
      <c r="L436" s="178">
        <f>1128559+561773+266735+93447+7005+1818+273+24520+599+3199+564+1563</f>
        <v>2090055</v>
      </c>
      <c r="M436" s="158">
        <f>129422+68620+41591+19064+1291+300+35+6130+81+717+91+274</f>
        <v>267616</v>
      </c>
      <c r="N436" s="266">
        <f>L437/M437</f>
        <v>7.8120609556298675</v>
      </c>
      <c r="O436" s="301"/>
    </row>
    <row r="437" spans="1:15" ht="15">
      <c r="A437" s="39">
        <v>434</v>
      </c>
      <c r="B437" s="268" t="s">
        <v>10</v>
      </c>
      <c r="C437" s="31">
        <v>40109</v>
      </c>
      <c r="D437" s="32" t="s">
        <v>242</v>
      </c>
      <c r="E437" s="56">
        <v>179</v>
      </c>
      <c r="F437" s="56">
        <v>2</v>
      </c>
      <c r="G437" s="56">
        <v>11</v>
      </c>
      <c r="H437" s="159">
        <v>564</v>
      </c>
      <c r="I437" s="160">
        <v>91</v>
      </c>
      <c r="J437" s="177">
        <f>(I437/F437)</f>
        <v>45.5</v>
      </c>
      <c r="K437" s="155">
        <f>H437/I437</f>
        <v>6.197802197802198</v>
      </c>
      <c r="L437" s="178">
        <f>1128559+561773+266735+93447+7005+1818+273+24520+599+3199+564</f>
        <v>2088492</v>
      </c>
      <c r="M437" s="179">
        <f>129422+68620+41591+19064+1291+300+35+6130+81+717+91</f>
        <v>267342</v>
      </c>
      <c r="N437" s="267">
        <f>+L438/M438</f>
        <v>0.1834276592657089</v>
      </c>
      <c r="O437" s="301"/>
    </row>
    <row r="438" spans="1:15" ht="15">
      <c r="A438" s="39">
        <v>435</v>
      </c>
      <c r="B438" s="265" t="s">
        <v>257</v>
      </c>
      <c r="C438" s="31">
        <v>37981</v>
      </c>
      <c r="D438" s="32" t="s">
        <v>255</v>
      </c>
      <c r="E438" s="56">
        <v>1</v>
      </c>
      <c r="F438" s="56">
        <v>1</v>
      </c>
      <c r="G438" s="56">
        <v>20</v>
      </c>
      <c r="H438" s="149">
        <v>1264</v>
      </c>
      <c r="I438" s="151">
        <v>316</v>
      </c>
      <c r="J438" s="152">
        <f>I438/F438</f>
        <v>316</v>
      </c>
      <c r="K438" s="154">
        <f>H438/I438</f>
        <v>4</v>
      </c>
      <c r="L438" s="156">
        <v>1264</v>
      </c>
      <c r="M438" s="152">
        <v>6891</v>
      </c>
      <c r="N438" s="267">
        <f>+L438/M438</f>
        <v>0.1834276592657089</v>
      </c>
      <c r="O438" s="303"/>
    </row>
    <row r="439" spans="1:15" ht="15">
      <c r="A439" s="39">
        <v>436</v>
      </c>
      <c r="B439" s="268" t="s">
        <v>95</v>
      </c>
      <c r="C439" s="31">
        <v>39934</v>
      </c>
      <c r="D439" s="32" t="s">
        <v>47</v>
      </c>
      <c r="E439" s="56">
        <v>125</v>
      </c>
      <c r="F439" s="56">
        <v>1</v>
      </c>
      <c r="G439" s="56">
        <v>11</v>
      </c>
      <c r="H439" s="148">
        <v>1085</v>
      </c>
      <c r="I439" s="162">
        <v>217</v>
      </c>
      <c r="J439" s="181">
        <f>I439/F439</f>
        <v>217</v>
      </c>
      <c r="K439" s="182">
        <f>+H439/I439</f>
        <v>5</v>
      </c>
      <c r="L439" s="183">
        <f>114460.75+42138+22420+8194+3259+329+823+25444.5+546+3853+1085</f>
        <v>222552.25</v>
      </c>
      <c r="M439" s="181">
        <f>15343+6534+4108+1491+680+62+130+4241+100+770+217</f>
        <v>33676</v>
      </c>
      <c r="N439" s="267">
        <f>+L440/M440</f>
        <v>6.601970960492075</v>
      </c>
      <c r="O439" s="302">
        <v>1</v>
      </c>
    </row>
    <row r="440" spans="1:15" ht="15">
      <c r="A440" s="39">
        <v>437</v>
      </c>
      <c r="B440" s="268" t="s">
        <v>17</v>
      </c>
      <c r="C440" s="31">
        <v>39934</v>
      </c>
      <c r="D440" s="32" t="s">
        <v>47</v>
      </c>
      <c r="E440" s="56">
        <v>125</v>
      </c>
      <c r="F440" s="56">
        <v>1</v>
      </c>
      <c r="G440" s="56">
        <v>12</v>
      </c>
      <c r="H440" s="148">
        <v>700</v>
      </c>
      <c r="I440" s="150">
        <v>140</v>
      </c>
      <c r="J440" s="184">
        <f>+I440/F440</f>
        <v>140</v>
      </c>
      <c r="K440" s="185">
        <f>+H440/I440</f>
        <v>5</v>
      </c>
      <c r="L440" s="183">
        <f>114460.75+42138+22420+8194+3259+329+823+25444.5+546+3853+1085+700</f>
        <v>223252.25</v>
      </c>
      <c r="M440" s="152">
        <f>15343+6534+4108+1491+680+62+130+4241+100+770+217+140</f>
        <v>33816</v>
      </c>
      <c r="N440" s="272">
        <f>IF(L441&lt;&gt;0,L441/M441,"")</f>
        <v>9.888501709077099</v>
      </c>
      <c r="O440" s="303">
        <v>1</v>
      </c>
    </row>
    <row r="441" spans="1:15" ht="15">
      <c r="A441" s="39">
        <v>438</v>
      </c>
      <c r="B441" s="265" t="s">
        <v>89</v>
      </c>
      <c r="C441" s="26">
        <v>40123</v>
      </c>
      <c r="D441" s="30" t="s">
        <v>154</v>
      </c>
      <c r="E441" s="55">
        <v>40</v>
      </c>
      <c r="F441" s="55">
        <v>3</v>
      </c>
      <c r="G441" s="55">
        <v>8</v>
      </c>
      <c r="H441" s="166">
        <v>2876</v>
      </c>
      <c r="I441" s="168">
        <v>477</v>
      </c>
      <c r="J441" s="187">
        <f>IF(H441&lt;&gt;0,I441/F441,"")</f>
        <v>159</v>
      </c>
      <c r="K441" s="185">
        <f>IF(H441&lt;&gt;0,H441/I441,"")</f>
        <v>6.029350104821803</v>
      </c>
      <c r="L441" s="186">
        <v>260364.25</v>
      </c>
      <c r="M441" s="181">
        <v>26330</v>
      </c>
      <c r="N441" s="267">
        <f>IF(L442&lt;&gt;0,L442/M442,"")</f>
        <v>9.673512900788081</v>
      </c>
      <c r="O441" s="302">
        <v>1</v>
      </c>
    </row>
    <row r="442" spans="1:15" ht="15">
      <c r="A442" s="39">
        <v>439</v>
      </c>
      <c r="B442" s="268" t="s">
        <v>9</v>
      </c>
      <c r="C442" s="31">
        <v>40123</v>
      </c>
      <c r="D442" s="28" t="s">
        <v>154</v>
      </c>
      <c r="E442" s="56">
        <v>40</v>
      </c>
      <c r="F442" s="56">
        <v>2</v>
      </c>
      <c r="G442" s="56">
        <v>14</v>
      </c>
      <c r="H442" s="148">
        <v>2069</v>
      </c>
      <c r="I442" s="162">
        <v>334</v>
      </c>
      <c r="J442" s="181">
        <f>IF(H442&lt;&gt;0,I442/F442,"")</f>
        <v>167</v>
      </c>
      <c r="K442" s="182">
        <f>IF(H442&lt;&gt;0,H442/I442,"")</f>
        <v>6.1946107784431135</v>
      </c>
      <c r="L442" s="183">
        <v>268817.25</v>
      </c>
      <c r="M442" s="181">
        <v>27789</v>
      </c>
      <c r="N442" s="272">
        <f>IF(L443&lt;&gt;0,L443/M443,"")</f>
        <v>9.518820107294642</v>
      </c>
      <c r="O442" s="303">
        <v>1</v>
      </c>
    </row>
    <row r="443" spans="1:15" ht="15">
      <c r="A443" s="39">
        <v>440</v>
      </c>
      <c r="B443" s="265" t="s">
        <v>89</v>
      </c>
      <c r="C443" s="31">
        <v>40123</v>
      </c>
      <c r="D443" s="47" t="s">
        <v>154</v>
      </c>
      <c r="E443" s="54">
        <v>40</v>
      </c>
      <c r="F443" s="54">
        <v>2</v>
      </c>
      <c r="G443" s="54">
        <v>19</v>
      </c>
      <c r="H443" s="163">
        <v>1987</v>
      </c>
      <c r="I443" s="165">
        <v>384</v>
      </c>
      <c r="J443" s="152">
        <f>IF(H443&lt;&gt;0,I443/F443,"")</f>
        <v>192</v>
      </c>
      <c r="K443" s="154">
        <f>IF(H443&lt;&gt;0,H443/I443,"")</f>
        <v>5.174479166666667</v>
      </c>
      <c r="L443" s="156">
        <v>273247.25</v>
      </c>
      <c r="M443" s="152">
        <v>28706</v>
      </c>
      <c r="N443" s="267">
        <f>IF(L443&lt;&gt;0,L443/M443,"")</f>
        <v>9.518820107294642</v>
      </c>
      <c r="O443" s="311">
        <v>1</v>
      </c>
    </row>
    <row r="444" spans="1:15" ht="15">
      <c r="A444" s="39">
        <v>441</v>
      </c>
      <c r="B444" s="265" t="s">
        <v>9</v>
      </c>
      <c r="C444" s="26">
        <v>40123</v>
      </c>
      <c r="D444" s="28" t="s">
        <v>154</v>
      </c>
      <c r="E444" s="55">
        <v>40</v>
      </c>
      <c r="F444" s="55">
        <v>5</v>
      </c>
      <c r="G444" s="55">
        <v>10</v>
      </c>
      <c r="H444" s="166">
        <v>1905</v>
      </c>
      <c r="I444" s="167">
        <v>315</v>
      </c>
      <c r="J444" s="184">
        <f>IF(H444&lt;&gt;0,I444/F444,"")</f>
        <v>63</v>
      </c>
      <c r="K444" s="185">
        <f>IF(H444&lt;&gt;0,H444/I444,"")</f>
        <v>6.0476190476190474</v>
      </c>
      <c r="L444" s="186">
        <v>263941.25</v>
      </c>
      <c r="M444" s="152">
        <v>26959</v>
      </c>
      <c r="N444" s="272">
        <f>IF(L445&lt;&gt;0,L445/M445,"")</f>
        <v>9.834718886053146</v>
      </c>
      <c r="O444" s="303">
        <v>1</v>
      </c>
    </row>
    <row r="445" spans="1:15" ht="15">
      <c r="A445" s="39">
        <v>442</v>
      </c>
      <c r="B445" s="265" t="s">
        <v>89</v>
      </c>
      <c r="C445" s="26">
        <v>40123</v>
      </c>
      <c r="D445" s="28" t="s">
        <v>154</v>
      </c>
      <c r="E445" s="55">
        <v>40</v>
      </c>
      <c r="F445" s="55">
        <v>4</v>
      </c>
      <c r="G445" s="55">
        <v>9</v>
      </c>
      <c r="H445" s="166">
        <v>1672</v>
      </c>
      <c r="I445" s="168">
        <v>314</v>
      </c>
      <c r="J445" s="187">
        <f>IF(H445&lt;&gt;0,I445/F445,"")</f>
        <v>78.5</v>
      </c>
      <c r="K445" s="188">
        <f>IF(H445&lt;&gt;0,H445/I445,"")</f>
        <v>5.32484076433121</v>
      </c>
      <c r="L445" s="186">
        <v>262036.25</v>
      </c>
      <c r="M445" s="181">
        <v>26644</v>
      </c>
      <c r="N445" s="267">
        <f>L446/M446</f>
        <v>9.715835002731742</v>
      </c>
      <c r="O445" s="310">
        <v>1</v>
      </c>
    </row>
    <row r="446" spans="1:15" ht="15">
      <c r="A446" s="39">
        <v>443</v>
      </c>
      <c r="B446" s="268" t="s">
        <v>9</v>
      </c>
      <c r="C446" s="31">
        <v>40123</v>
      </c>
      <c r="D446" s="28" t="s">
        <v>154</v>
      </c>
      <c r="E446" s="56">
        <v>40</v>
      </c>
      <c r="F446" s="56">
        <v>2</v>
      </c>
      <c r="G446" s="56">
        <v>13</v>
      </c>
      <c r="H446" s="161">
        <v>1270.5</v>
      </c>
      <c r="I446" s="150">
        <v>209</v>
      </c>
      <c r="J446" s="152">
        <f>I446/F446</f>
        <v>104.5</v>
      </c>
      <c r="K446" s="154">
        <f>+H446/I446</f>
        <v>6.078947368421052</v>
      </c>
      <c r="L446" s="156">
        <v>266748.25</v>
      </c>
      <c r="M446" s="152">
        <v>27455</v>
      </c>
      <c r="N446" s="267">
        <f>+L447/M447</f>
        <v>9.670437851589092</v>
      </c>
      <c r="O446" s="308">
        <v>1</v>
      </c>
    </row>
    <row r="447" spans="1:15" ht="15">
      <c r="A447" s="39">
        <v>444</v>
      </c>
      <c r="B447" s="268" t="s">
        <v>9</v>
      </c>
      <c r="C447" s="31">
        <v>40123</v>
      </c>
      <c r="D447" s="28" t="s">
        <v>154</v>
      </c>
      <c r="E447" s="56">
        <v>40</v>
      </c>
      <c r="F447" s="56">
        <v>1</v>
      </c>
      <c r="G447" s="56">
        <v>15</v>
      </c>
      <c r="H447" s="148">
        <v>1075</v>
      </c>
      <c r="I447" s="162">
        <v>120</v>
      </c>
      <c r="J447" s="181">
        <f>I447/F447</f>
        <v>120</v>
      </c>
      <c r="K447" s="182">
        <f>H447/I447</f>
        <v>8.958333333333334</v>
      </c>
      <c r="L447" s="183">
        <v>269892.25</v>
      </c>
      <c r="M447" s="181">
        <v>27909</v>
      </c>
      <c r="N447" s="266">
        <f>IF(L448&lt;&gt;0,L448/M448,"")</f>
        <v>9.764483139856274</v>
      </c>
      <c r="O447" s="305">
        <v>1</v>
      </c>
    </row>
    <row r="448" spans="1:15" ht="15">
      <c r="A448" s="39">
        <v>445</v>
      </c>
      <c r="B448" s="268" t="s">
        <v>89</v>
      </c>
      <c r="C448" s="31">
        <v>40123</v>
      </c>
      <c r="D448" s="33" t="s">
        <v>154</v>
      </c>
      <c r="E448" s="56">
        <v>40</v>
      </c>
      <c r="F448" s="56">
        <v>4</v>
      </c>
      <c r="G448" s="56">
        <v>11</v>
      </c>
      <c r="H448" s="149">
        <v>1018</v>
      </c>
      <c r="I448" s="151">
        <v>176</v>
      </c>
      <c r="J448" s="153">
        <f>IF(H448&lt;&gt;0,I448/F448,"")</f>
        <v>44</v>
      </c>
      <c r="K448" s="155">
        <f>IF(H448&lt;&gt;0,H448/I448,"")</f>
        <v>5.784090909090909</v>
      </c>
      <c r="L448" s="157">
        <v>264959.25</v>
      </c>
      <c r="M448" s="158">
        <v>27135</v>
      </c>
      <c r="N448" s="267">
        <f>+L449/M449</f>
        <v>9.57990847409711</v>
      </c>
      <c r="O448" s="301">
        <v>1</v>
      </c>
    </row>
    <row r="449" spans="1:15" ht="15">
      <c r="A449" s="39">
        <v>446</v>
      </c>
      <c r="B449" s="268" t="s">
        <v>9</v>
      </c>
      <c r="C449" s="46">
        <v>40123</v>
      </c>
      <c r="D449" s="47" t="s">
        <v>154</v>
      </c>
      <c r="E449" s="54">
        <v>40</v>
      </c>
      <c r="F449" s="54">
        <v>1</v>
      </c>
      <c r="G449" s="54">
        <v>17</v>
      </c>
      <c r="H449" s="163">
        <v>680</v>
      </c>
      <c r="I449" s="164">
        <v>170</v>
      </c>
      <c r="J449" s="181">
        <f>IF(H449&lt;&gt;0,I449/F449,"")</f>
        <v>170</v>
      </c>
      <c r="K449" s="182">
        <f>H449/I449</f>
        <v>4</v>
      </c>
      <c r="L449" s="183">
        <v>271092.25</v>
      </c>
      <c r="M449" s="181">
        <v>28298</v>
      </c>
      <c r="N449" s="267">
        <f>+L450/M450</f>
        <v>9.613632323663253</v>
      </c>
      <c r="O449" s="303">
        <v>1</v>
      </c>
    </row>
    <row r="450" spans="1:15" ht="15">
      <c r="A450" s="39">
        <v>447</v>
      </c>
      <c r="B450" s="268" t="s">
        <v>9</v>
      </c>
      <c r="C450" s="46">
        <v>40123</v>
      </c>
      <c r="D450" s="28" t="s">
        <v>154</v>
      </c>
      <c r="E450" s="54">
        <v>40</v>
      </c>
      <c r="F450" s="54">
        <v>1</v>
      </c>
      <c r="G450" s="54">
        <v>16</v>
      </c>
      <c r="H450" s="163">
        <v>520</v>
      </c>
      <c r="I450" s="164">
        <v>219</v>
      </c>
      <c r="J450" s="181">
        <f>I450/F450</f>
        <v>219</v>
      </c>
      <c r="K450" s="182">
        <f>H450/I450</f>
        <v>2.374429223744292</v>
      </c>
      <c r="L450" s="183">
        <v>270412.25</v>
      </c>
      <c r="M450" s="181">
        <v>28128</v>
      </c>
      <c r="N450" s="267">
        <f>L451/M451</f>
        <v>9.743733025031197</v>
      </c>
      <c r="O450" s="302">
        <v>1</v>
      </c>
    </row>
    <row r="451" spans="1:15" ht="15">
      <c r="A451" s="39">
        <v>448</v>
      </c>
      <c r="B451" s="268" t="s">
        <v>89</v>
      </c>
      <c r="C451" s="31">
        <v>40123</v>
      </c>
      <c r="D451" s="28" t="s">
        <v>154</v>
      </c>
      <c r="E451" s="56">
        <v>40</v>
      </c>
      <c r="F451" s="56">
        <v>3</v>
      </c>
      <c r="G451" s="56">
        <v>12</v>
      </c>
      <c r="H451" s="161">
        <v>518.5</v>
      </c>
      <c r="I451" s="150">
        <v>111</v>
      </c>
      <c r="J451" s="152">
        <f>I451/F451</f>
        <v>37</v>
      </c>
      <c r="K451" s="154">
        <f>H451/I451</f>
        <v>4.671171171171171</v>
      </c>
      <c r="L451" s="156">
        <v>265477.75</v>
      </c>
      <c r="M451" s="152">
        <v>27246</v>
      </c>
      <c r="N451" s="272">
        <f>IF(L452&lt;&gt;0,L452/M452,"")</f>
        <v>9.577722265376739</v>
      </c>
      <c r="O451" s="312">
        <v>1</v>
      </c>
    </row>
    <row r="452" spans="1:15" ht="15">
      <c r="A452" s="39">
        <v>449</v>
      </c>
      <c r="B452" s="275" t="s">
        <v>89</v>
      </c>
      <c r="C452" s="31">
        <v>40123</v>
      </c>
      <c r="D452" s="47" t="s">
        <v>154</v>
      </c>
      <c r="E452" s="54">
        <v>40</v>
      </c>
      <c r="F452" s="54">
        <v>1</v>
      </c>
      <c r="G452" s="54">
        <v>18</v>
      </c>
      <c r="H452" s="163">
        <v>168</v>
      </c>
      <c r="I452" s="164">
        <v>24</v>
      </c>
      <c r="J452" s="181">
        <f>I452/F452</f>
        <v>24</v>
      </c>
      <c r="K452" s="182">
        <f>H452/I452</f>
        <v>7</v>
      </c>
      <c r="L452" s="183">
        <v>271260.25</v>
      </c>
      <c r="M452" s="181">
        <v>28322</v>
      </c>
      <c r="N452" s="270">
        <f>+L452/M452</f>
        <v>9.577722265376739</v>
      </c>
      <c r="O452" s="303">
        <v>1</v>
      </c>
    </row>
    <row r="453" spans="1:15" ht="15">
      <c r="A453" s="39">
        <v>450</v>
      </c>
      <c r="B453" s="265" t="s">
        <v>356</v>
      </c>
      <c r="C453" s="31">
        <v>40116</v>
      </c>
      <c r="D453" s="27" t="s">
        <v>259</v>
      </c>
      <c r="E453" s="229">
        <v>252</v>
      </c>
      <c r="F453" s="229">
        <v>1</v>
      </c>
      <c r="G453" s="229">
        <v>14</v>
      </c>
      <c r="H453" s="161">
        <v>313</v>
      </c>
      <c r="I453" s="150">
        <v>34</v>
      </c>
      <c r="J453" s="152">
        <f>+I453/F453</f>
        <v>34</v>
      </c>
      <c r="K453" s="154">
        <f>+H453/I453</f>
        <v>9.205882352941176</v>
      </c>
      <c r="L453" s="156">
        <f>1669127.75+948082.25+584112.75-1430.5+253635+167357+9936+0.5+7987+1963+4065+3546+1275+1470+1922+313</f>
        <v>3653361.75</v>
      </c>
      <c r="M453" s="152">
        <f>200044+117374+72700-112+36636+25117+1706+1163+472+1036+675+224+234+384+34</f>
        <v>457687</v>
      </c>
      <c r="N453" s="267">
        <f>+L453/M453</f>
        <v>7.982227482974173</v>
      </c>
      <c r="O453" s="302">
        <v>1</v>
      </c>
    </row>
    <row r="454" spans="1:15" ht="15">
      <c r="A454" s="39">
        <v>451</v>
      </c>
      <c r="B454" s="265" t="s">
        <v>335</v>
      </c>
      <c r="C454" s="26">
        <v>40116</v>
      </c>
      <c r="D454" s="27" t="s">
        <v>259</v>
      </c>
      <c r="E454" s="230">
        <v>252</v>
      </c>
      <c r="F454" s="230">
        <v>1</v>
      </c>
      <c r="G454" s="230">
        <v>13</v>
      </c>
      <c r="H454" s="149">
        <v>1922</v>
      </c>
      <c r="I454" s="151">
        <v>384</v>
      </c>
      <c r="J454" s="153">
        <f>I454/F454</f>
        <v>384</v>
      </c>
      <c r="K454" s="155">
        <f>H454/I454</f>
        <v>5.005208333333333</v>
      </c>
      <c r="L454" s="157">
        <f>1669127.75+948082.25+584112.75-1430.5+253635+167357+9936+0.5+7987+1963+4065+3546+1275+1470+1922</f>
        <v>3653048.75</v>
      </c>
      <c r="M454" s="158">
        <f>200044+117374+72700-112+36636+25117+1706+1163+472+1036+675+224+234+384</f>
        <v>457653</v>
      </c>
      <c r="N454" s="266">
        <f>+L454/M454</f>
        <v>7.982136575090735</v>
      </c>
      <c r="O454" s="303">
        <v>1</v>
      </c>
    </row>
    <row r="455" spans="1:15" ht="15">
      <c r="A455" s="39">
        <v>452</v>
      </c>
      <c r="B455" s="268" t="s">
        <v>127</v>
      </c>
      <c r="C455" s="31">
        <v>40116</v>
      </c>
      <c r="D455" s="33" t="s">
        <v>47</v>
      </c>
      <c r="E455" s="56">
        <v>252</v>
      </c>
      <c r="F455" s="56">
        <v>3</v>
      </c>
      <c r="G455" s="56">
        <v>10</v>
      </c>
      <c r="H455" s="148">
        <v>3546</v>
      </c>
      <c r="I455" s="162">
        <v>675</v>
      </c>
      <c r="J455" s="187">
        <f>IF(H455&lt;&gt;0,I455/F455,"")</f>
        <v>225</v>
      </c>
      <c r="K455" s="185">
        <f>IF(H455&lt;&gt;0,H455/I455,"")</f>
        <v>5.253333333333333</v>
      </c>
      <c r="L455" s="183">
        <f>1669127.75+948082.25+584112.75-1430.5+253635+167357+9936+0.5+7987+1963+4065+3546</f>
        <v>3648381.75</v>
      </c>
      <c r="M455" s="181">
        <f>200044+117374+72700-112+36636+25117+1706+1163+472+1036+675</f>
        <v>456811</v>
      </c>
      <c r="N455" s="267">
        <f>+L456/M456</f>
        <v>7.984636504989404</v>
      </c>
      <c r="O455" s="305">
        <v>1</v>
      </c>
    </row>
    <row r="456" spans="1:15" ht="15">
      <c r="A456" s="39">
        <v>453</v>
      </c>
      <c r="B456" s="268" t="s">
        <v>11</v>
      </c>
      <c r="C456" s="31">
        <v>40116</v>
      </c>
      <c r="D456" s="32" t="s">
        <v>47</v>
      </c>
      <c r="E456" s="56">
        <v>252</v>
      </c>
      <c r="F456" s="56">
        <v>3</v>
      </c>
      <c r="G456" s="56">
        <v>12</v>
      </c>
      <c r="H456" s="148">
        <v>1470</v>
      </c>
      <c r="I456" s="150">
        <v>234</v>
      </c>
      <c r="J456" s="184">
        <f>+I456/F456</f>
        <v>78</v>
      </c>
      <c r="K456" s="185">
        <f>+H456/I456</f>
        <v>6.282051282051282</v>
      </c>
      <c r="L456" s="183">
        <f>1669127.75+948082.25+584112.75-1430.5+253635+167357+9936+0.5+7987+1963+4065+3546+1275+1470</f>
        <v>3651126.75</v>
      </c>
      <c r="M456" s="152">
        <f>200044+117374+72700-112+36636+25117+1706+1163+472+1036+675+224+234</f>
        <v>457269</v>
      </c>
      <c r="N456" s="267">
        <f>+L457/M457</f>
        <v>7.985508221471004</v>
      </c>
      <c r="O456" s="318">
        <v>1</v>
      </c>
    </row>
    <row r="457" spans="1:15" ht="15">
      <c r="A457" s="39">
        <v>454</v>
      </c>
      <c r="B457" s="268" t="s">
        <v>11</v>
      </c>
      <c r="C457" s="31">
        <v>40116</v>
      </c>
      <c r="D457" s="32" t="s">
        <v>47</v>
      </c>
      <c r="E457" s="56">
        <v>252</v>
      </c>
      <c r="F457" s="56">
        <v>2</v>
      </c>
      <c r="G457" s="56">
        <v>11</v>
      </c>
      <c r="H457" s="148">
        <v>1275</v>
      </c>
      <c r="I457" s="162">
        <v>224</v>
      </c>
      <c r="J457" s="181">
        <f>I457/F457</f>
        <v>112</v>
      </c>
      <c r="K457" s="182">
        <f>+H457/I457</f>
        <v>5.691964285714286</v>
      </c>
      <c r="L457" s="183">
        <f>1669127.75+948082.25+584112.75-1430.5+253635+167357+9936+0.5+7987+1963+4065+3546+1275</f>
        <v>3649656.75</v>
      </c>
      <c r="M457" s="181">
        <f>200044+117374+72700-112+36636+25117+1706+1163+472+1036+675+224</f>
        <v>457035</v>
      </c>
      <c r="N457" s="266">
        <f>IF(L458&lt;&gt;0,L458/M458,"")</f>
        <v>7.43176810978685</v>
      </c>
      <c r="O457" s="344">
        <v>1</v>
      </c>
    </row>
    <row r="458" spans="1:15" ht="15">
      <c r="A458" s="39">
        <v>455</v>
      </c>
      <c r="B458" s="268" t="s">
        <v>18</v>
      </c>
      <c r="C458" s="31">
        <v>40116</v>
      </c>
      <c r="D458" s="33" t="s">
        <v>154</v>
      </c>
      <c r="E458" s="56">
        <v>88</v>
      </c>
      <c r="F458" s="56">
        <v>2</v>
      </c>
      <c r="G458" s="56">
        <v>12</v>
      </c>
      <c r="H458" s="149">
        <v>1492</v>
      </c>
      <c r="I458" s="151">
        <v>303</v>
      </c>
      <c r="J458" s="153">
        <f>IF(H458&lt;&gt;0,I458/F458,"")</f>
        <v>151.5</v>
      </c>
      <c r="K458" s="155">
        <f>IF(H458&lt;&gt;0,H458/I458,"")</f>
        <v>4.924092409240924</v>
      </c>
      <c r="L458" s="157">
        <v>279977</v>
      </c>
      <c r="M458" s="158">
        <v>37673</v>
      </c>
      <c r="N458" s="272">
        <f>IF(L459&lt;&gt;0,L459/M459,"")</f>
        <v>7.458905029132992</v>
      </c>
      <c r="O458" s="331">
        <v>1</v>
      </c>
    </row>
    <row r="459" spans="1:15" ht="15">
      <c r="A459" s="39">
        <v>456</v>
      </c>
      <c r="B459" s="265" t="s">
        <v>98</v>
      </c>
      <c r="C459" s="26">
        <v>40116</v>
      </c>
      <c r="D459" s="28" t="s">
        <v>154</v>
      </c>
      <c r="E459" s="55">
        <v>88</v>
      </c>
      <c r="F459" s="55">
        <v>3</v>
      </c>
      <c r="G459" s="55">
        <v>10</v>
      </c>
      <c r="H459" s="166">
        <v>720</v>
      </c>
      <c r="I459" s="168">
        <v>126</v>
      </c>
      <c r="J459" s="187">
        <f>IF(H459&lt;&gt;0,I459/F459,"")</f>
        <v>42</v>
      </c>
      <c r="K459" s="188">
        <f>IF(H459&lt;&gt;0,H459/I459,"")</f>
        <v>5.714285714285714</v>
      </c>
      <c r="L459" s="186">
        <v>277792</v>
      </c>
      <c r="M459" s="181">
        <v>37243</v>
      </c>
      <c r="N459" s="272">
        <f>IF(L460&lt;&gt;0,L460/M460,"")</f>
        <v>7.452100615466952</v>
      </c>
      <c r="O459" s="301">
        <v>1</v>
      </c>
    </row>
    <row r="460" spans="1:15" ht="15">
      <c r="A460" s="39">
        <v>457</v>
      </c>
      <c r="B460" s="265" t="s">
        <v>18</v>
      </c>
      <c r="C460" s="26">
        <v>40116</v>
      </c>
      <c r="D460" s="28" t="s">
        <v>154</v>
      </c>
      <c r="E460" s="55">
        <v>88</v>
      </c>
      <c r="F460" s="55">
        <v>1</v>
      </c>
      <c r="G460" s="55">
        <v>11</v>
      </c>
      <c r="H460" s="166">
        <v>693</v>
      </c>
      <c r="I460" s="167">
        <v>127</v>
      </c>
      <c r="J460" s="184">
        <f>IF(H460&lt;&gt;0,I460/F460,"")</f>
        <v>127</v>
      </c>
      <c r="K460" s="185">
        <f>IF(H460&lt;&gt;0,H460/I460,"")</f>
        <v>5.456692913385827</v>
      </c>
      <c r="L460" s="186">
        <v>278485</v>
      </c>
      <c r="M460" s="152">
        <v>37370</v>
      </c>
      <c r="N460" s="267">
        <f>L461/M461</f>
        <v>7.430544143762093</v>
      </c>
      <c r="O460" s="303">
        <v>1</v>
      </c>
    </row>
    <row r="461" spans="1:15" ht="15">
      <c r="A461" s="39">
        <v>458</v>
      </c>
      <c r="B461" s="268" t="s">
        <v>18</v>
      </c>
      <c r="C461" s="31">
        <v>40116</v>
      </c>
      <c r="D461" s="28" t="s">
        <v>154</v>
      </c>
      <c r="E461" s="56">
        <v>88</v>
      </c>
      <c r="F461" s="56">
        <v>1</v>
      </c>
      <c r="G461" s="56">
        <v>13</v>
      </c>
      <c r="H461" s="161">
        <v>370</v>
      </c>
      <c r="I461" s="150">
        <v>56</v>
      </c>
      <c r="J461" s="152">
        <f>I461/F461</f>
        <v>56</v>
      </c>
      <c r="K461" s="154">
        <f>H461/I461</f>
        <v>6.607142857142857</v>
      </c>
      <c r="L461" s="156">
        <v>280347</v>
      </c>
      <c r="M461" s="152">
        <v>37729</v>
      </c>
      <c r="N461" s="267">
        <f>+L462/M462</f>
        <v>7.19661938270226</v>
      </c>
      <c r="O461" s="302">
        <v>1</v>
      </c>
    </row>
    <row r="462" spans="1:15" ht="15">
      <c r="A462" s="39">
        <v>459</v>
      </c>
      <c r="B462" s="268" t="s">
        <v>169</v>
      </c>
      <c r="C462" s="31">
        <v>39633</v>
      </c>
      <c r="D462" s="35" t="s">
        <v>240</v>
      </c>
      <c r="E462" s="56">
        <v>123</v>
      </c>
      <c r="F462" s="56">
        <v>1</v>
      </c>
      <c r="G462" s="56">
        <v>86</v>
      </c>
      <c r="H462" s="148">
        <v>609</v>
      </c>
      <c r="I462" s="162">
        <v>280</v>
      </c>
      <c r="J462" s="181">
        <f>I462/F462</f>
        <v>280</v>
      </c>
      <c r="K462" s="182">
        <f>H462/I462</f>
        <v>2.175</v>
      </c>
      <c r="L462" s="183">
        <v>1546352</v>
      </c>
      <c r="M462" s="181">
        <v>214872</v>
      </c>
      <c r="N462" s="272">
        <f>IF(L463&lt;&gt;0,L463/M463,"")</f>
        <v>7.89011423092633</v>
      </c>
      <c r="O462" s="305">
        <v>1</v>
      </c>
    </row>
    <row r="463" spans="1:15" ht="15">
      <c r="A463" s="39">
        <v>460</v>
      </c>
      <c r="B463" s="268" t="s">
        <v>369</v>
      </c>
      <c r="C463" s="31">
        <v>40137</v>
      </c>
      <c r="D463" s="27" t="s">
        <v>259</v>
      </c>
      <c r="E463" s="229">
        <v>311</v>
      </c>
      <c r="F463" s="229">
        <v>1</v>
      </c>
      <c r="G463" s="229">
        <v>11</v>
      </c>
      <c r="H463" s="148">
        <v>2032</v>
      </c>
      <c r="I463" s="162">
        <v>339</v>
      </c>
      <c r="J463" s="181">
        <f>I463/F463</f>
        <v>339</v>
      </c>
      <c r="K463" s="182">
        <f>H463/I463</f>
        <v>5.994100294985251</v>
      </c>
      <c r="L463" s="183">
        <f>3304754.25+2499078+631694+23+231806.5+262+75092+83827.5+39718+180+150+8500+0.5+18992+2032</f>
        <v>6896109.75</v>
      </c>
      <c r="M463" s="181">
        <f>413699+312050+80320+31253+42+12537-15+13061+6551+45+15+1409+2713+339</f>
        <v>874019</v>
      </c>
      <c r="N463" s="267">
        <f>+L463/M463</f>
        <v>7.89011423092633</v>
      </c>
      <c r="O463" s="303">
        <v>1</v>
      </c>
    </row>
    <row r="464" spans="1:15" ht="15">
      <c r="A464" s="39">
        <v>461</v>
      </c>
      <c r="B464" s="268" t="s">
        <v>131</v>
      </c>
      <c r="C464" s="31">
        <v>40137</v>
      </c>
      <c r="D464" s="33" t="s">
        <v>47</v>
      </c>
      <c r="E464" s="56">
        <v>311</v>
      </c>
      <c r="F464" s="56">
        <v>3</v>
      </c>
      <c r="G464" s="56">
        <v>7</v>
      </c>
      <c r="H464" s="148">
        <v>39718</v>
      </c>
      <c r="I464" s="162">
        <v>6551</v>
      </c>
      <c r="J464" s="187">
        <f>IF(H464&lt;&gt;0,I464/F464,"")</f>
        <v>2183.6666666666665</v>
      </c>
      <c r="K464" s="185">
        <f>IF(H464&lt;&gt;0,H464/I464,"")</f>
        <v>6.06289116165471</v>
      </c>
      <c r="L464" s="183">
        <f>3304754.25+2499078+631694+23+231806.5+262+75092+83827.5+39718+180</f>
        <v>6866435.25</v>
      </c>
      <c r="M464" s="181">
        <f>413699+312050+80320+31253+42+12537-15+13061+6551+45</f>
        <v>869543</v>
      </c>
      <c r="N464" s="267">
        <f>+L465/M465</f>
        <v>7.890849910722461</v>
      </c>
      <c r="O464" s="302">
        <v>1</v>
      </c>
    </row>
    <row r="465" spans="1:15" ht="15">
      <c r="A465" s="39">
        <v>462</v>
      </c>
      <c r="B465" s="275" t="s">
        <v>131</v>
      </c>
      <c r="C465" s="46">
        <v>40137</v>
      </c>
      <c r="D465" s="47" t="s">
        <v>47</v>
      </c>
      <c r="E465" s="54">
        <v>311</v>
      </c>
      <c r="F465" s="54">
        <v>1</v>
      </c>
      <c r="G465" s="54">
        <v>10</v>
      </c>
      <c r="H465" s="163">
        <v>18992</v>
      </c>
      <c r="I465" s="164">
        <v>2713</v>
      </c>
      <c r="J465" s="181">
        <f>I465/F465</f>
        <v>2713</v>
      </c>
      <c r="K465" s="182">
        <f>H465/I465</f>
        <v>7.0003685956505715</v>
      </c>
      <c r="L465" s="183">
        <f>3304754.25+2499078+631694+23+231806.5+262+75092+83827.5+39718+180+150+8500+0.5+18992</f>
        <v>6894077.75</v>
      </c>
      <c r="M465" s="181">
        <f>413699+312050+80320+31253+42+12537-15+13061+6551+45+15+1409+2713</f>
        <v>873680</v>
      </c>
      <c r="N465" s="272">
        <f>IF(L466&lt;&gt;0,L466/M466,"")</f>
        <v>7.893623696420186</v>
      </c>
      <c r="O465" s="305">
        <v>1</v>
      </c>
    </row>
    <row r="466" spans="1:15" ht="15">
      <c r="A466" s="39">
        <v>463</v>
      </c>
      <c r="B466" s="268" t="s">
        <v>131</v>
      </c>
      <c r="C466" s="31">
        <v>40137</v>
      </c>
      <c r="D466" s="32" t="s">
        <v>47</v>
      </c>
      <c r="E466" s="56">
        <v>311</v>
      </c>
      <c r="F466" s="56">
        <v>2</v>
      </c>
      <c r="G466" s="56">
        <v>9</v>
      </c>
      <c r="H466" s="148">
        <v>8500.5</v>
      </c>
      <c r="I466" s="150">
        <v>1409</v>
      </c>
      <c r="J466" s="184">
        <f>+I466/F466</f>
        <v>704.5</v>
      </c>
      <c r="K466" s="185">
        <f>+H466/I466</f>
        <v>6.033002129169624</v>
      </c>
      <c r="L466" s="183">
        <f>3304754.25+2499078+631694+23+231806.5+262+75092+83827.5+39718+180+150+8500+0.5</f>
        <v>6875085.75</v>
      </c>
      <c r="M466" s="152">
        <f>413699+312050+80320+31253+42+12537-15+13061+6551+45+15+1409</f>
        <v>870967</v>
      </c>
      <c r="N466" s="267">
        <f>+L467/M467</f>
        <v>7.896638579600211</v>
      </c>
      <c r="O466" s="303">
        <v>1</v>
      </c>
    </row>
    <row r="467" spans="1:15" ht="15">
      <c r="A467" s="39">
        <v>464</v>
      </c>
      <c r="B467" s="268" t="s">
        <v>131</v>
      </c>
      <c r="C467" s="31">
        <v>40137</v>
      </c>
      <c r="D467" s="32" t="s">
        <v>47</v>
      </c>
      <c r="E467" s="56">
        <v>311</v>
      </c>
      <c r="F467" s="56">
        <v>1</v>
      </c>
      <c r="G467" s="56">
        <v>8</v>
      </c>
      <c r="H467" s="148">
        <v>150</v>
      </c>
      <c r="I467" s="162">
        <v>15</v>
      </c>
      <c r="J467" s="181">
        <f>I467/F467</f>
        <v>15</v>
      </c>
      <c r="K467" s="182">
        <f>+H467/I467</f>
        <v>10</v>
      </c>
      <c r="L467" s="183">
        <f>3304754.25+2499078+631694+23+231806.5+262+75092+83827.5+39718+180+150</f>
        <v>6866585.25</v>
      </c>
      <c r="M467" s="181">
        <f>413699+312050+80320+31253+42+12537-15+13061+6551+45+15</f>
        <v>869558</v>
      </c>
      <c r="N467" s="267">
        <f>+L468/M468</f>
        <v>8.217792189661518</v>
      </c>
      <c r="O467" s="349">
        <v>1</v>
      </c>
    </row>
    <row r="468" spans="1:15" ht="15">
      <c r="A468" s="39">
        <v>465</v>
      </c>
      <c r="B468" s="265" t="s">
        <v>40</v>
      </c>
      <c r="C468" s="31">
        <v>40067</v>
      </c>
      <c r="D468" s="27" t="s">
        <v>101</v>
      </c>
      <c r="E468" s="229">
        <v>105</v>
      </c>
      <c r="F468" s="229">
        <v>1</v>
      </c>
      <c r="G468" s="229">
        <v>40</v>
      </c>
      <c r="H468" s="161">
        <v>144</v>
      </c>
      <c r="I468" s="150">
        <v>24</v>
      </c>
      <c r="J468" s="152">
        <f aca="true" t="shared" si="42" ref="J468:J474">IF(H468&lt;&gt;0,I468/F468,"")</f>
        <v>24</v>
      </c>
      <c r="K468" s="154">
        <f aca="true" t="shared" si="43" ref="K468:K474">IF(H468&lt;&gt;0,H468/I468,"")</f>
        <v>6</v>
      </c>
      <c r="L468" s="156">
        <v>647504.5</v>
      </c>
      <c r="M468" s="152">
        <v>78793</v>
      </c>
      <c r="N468" s="267">
        <f>+L468/M468</f>
        <v>8.217792189661518</v>
      </c>
      <c r="O468" s="349"/>
    </row>
    <row r="469" spans="1:15" ht="15">
      <c r="A469" s="39">
        <v>466</v>
      </c>
      <c r="B469" s="265" t="s">
        <v>40</v>
      </c>
      <c r="C469" s="31">
        <v>40067</v>
      </c>
      <c r="D469" s="27" t="s">
        <v>101</v>
      </c>
      <c r="E469" s="229">
        <v>105</v>
      </c>
      <c r="F469" s="229">
        <v>1</v>
      </c>
      <c r="G469" s="229">
        <v>39</v>
      </c>
      <c r="H469" s="161">
        <v>144</v>
      </c>
      <c r="I469" s="150">
        <v>24</v>
      </c>
      <c r="J469" s="152">
        <f t="shared" si="42"/>
        <v>24</v>
      </c>
      <c r="K469" s="154">
        <f t="shared" si="43"/>
        <v>6</v>
      </c>
      <c r="L469" s="156">
        <f>647360.5+H469</f>
        <v>647504.5</v>
      </c>
      <c r="M469" s="152">
        <f>78769+I469</f>
        <v>78793</v>
      </c>
      <c r="N469" s="267">
        <f>IF(L469&lt;&gt;0,L469/M469,"")</f>
        <v>8.217792189661518</v>
      </c>
      <c r="O469" s="303">
        <v>1</v>
      </c>
    </row>
    <row r="470" spans="1:15" ht="15">
      <c r="A470" s="39">
        <v>467</v>
      </c>
      <c r="B470" s="265" t="s">
        <v>40</v>
      </c>
      <c r="C470" s="31">
        <v>40067</v>
      </c>
      <c r="D470" s="27" t="s">
        <v>101</v>
      </c>
      <c r="E470" s="229">
        <v>105</v>
      </c>
      <c r="F470" s="229">
        <v>2</v>
      </c>
      <c r="G470" s="229">
        <v>38</v>
      </c>
      <c r="H470" s="161">
        <v>460</v>
      </c>
      <c r="I470" s="150">
        <v>73</v>
      </c>
      <c r="J470" s="152">
        <f t="shared" si="42"/>
        <v>36.5</v>
      </c>
      <c r="K470" s="154">
        <f t="shared" si="43"/>
        <v>6.301369863013699</v>
      </c>
      <c r="L470" s="156">
        <f>646900.5+H470</f>
        <v>647360.5</v>
      </c>
      <c r="M470" s="152">
        <f>78696+I470</f>
        <v>78769</v>
      </c>
      <c r="N470" s="267">
        <f>IF(L470&lt;&gt;0,L470/M470,"")</f>
        <v>8.218467925199</v>
      </c>
      <c r="O470" s="303">
        <v>1</v>
      </c>
    </row>
    <row r="471" spans="1:15" ht="15">
      <c r="A471" s="39">
        <v>468</v>
      </c>
      <c r="B471" s="268" t="s">
        <v>40</v>
      </c>
      <c r="C471" s="31">
        <v>40067</v>
      </c>
      <c r="D471" s="27" t="s">
        <v>101</v>
      </c>
      <c r="E471" s="229">
        <v>105</v>
      </c>
      <c r="F471" s="229">
        <v>1</v>
      </c>
      <c r="G471" s="229">
        <v>37</v>
      </c>
      <c r="H471" s="148">
        <v>329.5</v>
      </c>
      <c r="I471" s="162">
        <v>51</v>
      </c>
      <c r="J471" s="181">
        <f t="shared" si="42"/>
        <v>51</v>
      </c>
      <c r="K471" s="182">
        <f t="shared" si="43"/>
        <v>6.46078431372549</v>
      </c>
      <c r="L471" s="183">
        <v>646900.5</v>
      </c>
      <c r="M471" s="181">
        <v>78696</v>
      </c>
      <c r="N471" s="267">
        <f>IF(L471&lt;&gt;0,L471/M471,"")</f>
        <v>8.22024626410491</v>
      </c>
      <c r="O471" s="303">
        <v>1</v>
      </c>
    </row>
    <row r="472" spans="1:15" ht="15">
      <c r="A472" s="39">
        <v>469</v>
      </c>
      <c r="B472" s="265" t="s">
        <v>40</v>
      </c>
      <c r="C472" s="31">
        <v>40067</v>
      </c>
      <c r="D472" s="27" t="s">
        <v>101</v>
      </c>
      <c r="E472" s="229">
        <v>105</v>
      </c>
      <c r="F472" s="229">
        <v>1</v>
      </c>
      <c r="G472" s="229">
        <v>36</v>
      </c>
      <c r="H472" s="161">
        <v>84.5</v>
      </c>
      <c r="I472" s="150">
        <v>15</v>
      </c>
      <c r="J472" s="152">
        <f t="shared" si="42"/>
        <v>15</v>
      </c>
      <c r="K472" s="154">
        <f t="shared" si="43"/>
        <v>5.633333333333334</v>
      </c>
      <c r="L472" s="156">
        <v>646571</v>
      </c>
      <c r="M472" s="152">
        <v>78645</v>
      </c>
      <c r="N472" s="267">
        <f>IF(L472&lt;&gt;0,L472/M472,"")</f>
        <v>8.22138724648738</v>
      </c>
      <c r="O472" s="303"/>
    </row>
    <row r="473" spans="1:15" ht="15">
      <c r="A473" s="39">
        <v>470</v>
      </c>
      <c r="B473" s="265" t="s">
        <v>40</v>
      </c>
      <c r="C473" s="26">
        <v>40067</v>
      </c>
      <c r="D473" s="28" t="s">
        <v>154</v>
      </c>
      <c r="E473" s="55">
        <v>105</v>
      </c>
      <c r="F473" s="55">
        <v>10</v>
      </c>
      <c r="G473" s="55">
        <v>19</v>
      </c>
      <c r="H473" s="166">
        <v>7181.5</v>
      </c>
      <c r="I473" s="167">
        <v>1825</v>
      </c>
      <c r="J473" s="184">
        <f t="shared" si="42"/>
        <v>182.5</v>
      </c>
      <c r="K473" s="185">
        <f t="shared" si="43"/>
        <v>3.935068493150685</v>
      </c>
      <c r="L473" s="186">
        <v>621501</v>
      </c>
      <c r="M473" s="152">
        <v>73921</v>
      </c>
      <c r="N473" s="272">
        <f>IF(L474&lt;&gt;0,L474/M474,"")</f>
        <v>8.520854138925877</v>
      </c>
      <c r="O473" s="349"/>
    </row>
    <row r="474" spans="1:15" ht="15">
      <c r="A474" s="39">
        <v>471</v>
      </c>
      <c r="B474" s="265" t="s">
        <v>40</v>
      </c>
      <c r="C474" s="26">
        <v>40067</v>
      </c>
      <c r="D474" s="28" t="s">
        <v>154</v>
      </c>
      <c r="E474" s="55">
        <v>105</v>
      </c>
      <c r="F474" s="55">
        <v>9</v>
      </c>
      <c r="G474" s="55">
        <v>18</v>
      </c>
      <c r="H474" s="166">
        <v>4342.75</v>
      </c>
      <c r="I474" s="168">
        <v>845</v>
      </c>
      <c r="J474" s="187">
        <f t="shared" si="42"/>
        <v>93.88888888888889</v>
      </c>
      <c r="K474" s="188">
        <f t="shared" si="43"/>
        <v>5.139349112426036</v>
      </c>
      <c r="L474" s="186">
        <v>614319.5</v>
      </c>
      <c r="M474" s="181">
        <v>72096</v>
      </c>
      <c r="N474" s="267">
        <f>L475/M475</f>
        <v>8.290251909595062</v>
      </c>
      <c r="O474" s="349"/>
    </row>
    <row r="475" spans="1:15" ht="15">
      <c r="A475" s="39">
        <v>472</v>
      </c>
      <c r="B475" s="275" t="s">
        <v>40</v>
      </c>
      <c r="C475" s="46">
        <v>40067</v>
      </c>
      <c r="D475" s="47" t="s">
        <v>154</v>
      </c>
      <c r="E475" s="54">
        <v>105</v>
      </c>
      <c r="F475" s="54">
        <v>1</v>
      </c>
      <c r="G475" s="54">
        <v>25</v>
      </c>
      <c r="H475" s="163">
        <v>3920</v>
      </c>
      <c r="I475" s="164">
        <v>784</v>
      </c>
      <c r="J475" s="181">
        <f>I475/F475</f>
        <v>784</v>
      </c>
      <c r="K475" s="182">
        <f>H475/I475</f>
        <v>5</v>
      </c>
      <c r="L475" s="183">
        <v>633839.5</v>
      </c>
      <c r="M475" s="181">
        <v>76456</v>
      </c>
      <c r="N475" s="266">
        <f>IF(L476&lt;&gt;0,L476/M476,"")</f>
        <v>8.35497572815534</v>
      </c>
      <c r="O475" s="344"/>
    </row>
    <row r="476" spans="1:15" ht="15">
      <c r="A476" s="39">
        <v>473</v>
      </c>
      <c r="B476" s="268" t="s">
        <v>40</v>
      </c>
      <c r="C476" s="31">
        <v>40067</v>
      </c>
      <c r="D476" s="28" t="s">
        <v>154</v>
      </c>
      <c r="E476" s="56">
        <v>105</v>
      </c>
      <c r="F476" s="56">
        <v>8</v>
      </c>
      <c r="G476" s="56">
        <v>21</v>
      </c>
      <c r="H476" s="161">
        <v>2959.5</v>
      </c>
      <c r="I476" s="150">
        <v>645</v>
      </c>
      <c r="J476" s="152">
        <f>I476/F476</f>
        <v>80.625</v>
      </c>
      <c r="K476" s="154">
        <f>H476/I476</f>
        <v>4.588372093023255</v>
      </c>
      <c r="L476" s="156">
        <v>626489.5</v>
      </c>
      <c r="M476" s="152">
        <v>74984</v>
      </c>
      <c r="N476" s="266">
        <f>IF(L477&lt;&gt;0,L477/M477,"")</f>
        <v>8.236854288029011</v>
      </c>
      <c r="O476" s="303">
        <v>1</v>
      </c>
    </row>
    <row r="477" spans="1:15" ht="15">
      <c r="A477" s="39">
        <v>474</v>
      </c>
      <c r="B477" s="265" t="s">
        <v>40</v>
      </c>
      <c r="C477" s="31">
        <v>40067</v>
      </c>
      <c r="D477" s="32" t="s">
        <v>154</v>
      </c>
      <c r="E477" s="56">
        <v>105</v>
      </c>
      <c r="F477" s="56">
        <v>3</v>
      </c>
      <c r="G477" s="56">
        <v>31</v>
      </c>
      <c r="H477" s="148">
        <v>2819</v>
      </c>
      <c r="I477" s="150">
        <v>459</v>
      </c>
      <c r="J477" s="152">
        <f>I477/F477</f>
        <v>153</v>
      </c>
      <c r="K477" s="154">
        <f>H477/I477</f>
        <v>6.14161220043573</v>
      </c>
      <c r="L477" s="156">
        <v>640522.5</v>
      </c>
      <c r="M477" s="152">
        <v>77763</v>
      </c>
      <c r="N477" s="267">
        <f>+L477/M477</f>
        <v>8.236854288029011</v>
      </c>
      <c r="O477" s="303">
        <v>1</v>
      </c>
    </row>
    <row r="478" spans="1:15" ht="15">
      <c r="A478" s="39">
        <v>475</v>
      </c>
      <c r="B478" s="265" t="s">
        <v>40</v>
      </c>
      <c r="C478" s="26">
        <v>40067</v>
      </c>
      <c r="D478" s="28" t="s">
        <v>101</v>
      </c>
      <c r="E478" s="230">
        <v>105</v>
      </c>
      <c r="F478" s="230">
        <v>1</v>
      </c>
      <c r="G478" s="230">
        <v>34</v>
      </c>
      <c r="H478" s="231">
        <v>2140</v>
      </c>
      <c r="I478" s="167">
        <v>428</v>
      </c>
      <c r="J478" s="184">
        <f>IF(H478&lt;&gt;0,I478/F478,"")</f>
        <v>428</v>
      </c>
      <c r="K478" s="185">
        <f>IF(H478&lt;&gt;0,H478/I478,"")</f>
        <v>5</v>
      </c>
      <c r="L478" s="232">
        <v>646348.5</v>
      </c>
      <c r="M478" s="152">
        <v>78607</v>
      </c>
      <c r="N478" s="272">
        <f>IF(L478&lt;&gt;0,L478/M478,"")</f>
        <v>8.222531072296361</v>
      </c>
      <c r="O478" s="303">
        <v>1</v>
      </c>
    </row>
    <row r="479" spans="1:15" ht="15">
      <c r="A479" s="39">
        <v>476</v>
      </c>
      <c r="B479" s="268" t="s">
        <v>40</v>
      </c>
      <c r="C479" s="31">
        <v>40067</v>
      </c>
      <c r="D479" s="33" t="s">
        <v>154</v>
      </c>
      <c r="E479" s="56">
        <v>105</v>
      </c>
      <c r="F479" s="56">
        <v>8</v>
      </c>
      <c r="G479" s="56">
        <v>20</v>
      </c>
      <c r="H479" s="149">
        <v>2029</v>
      </c>
      <c r="I479" s="151">
        <v>418</v>
      </c>
      <c r="J479" s="153">
        <f>IF(H479&lt;&gt;0,I479/F479,"")</f>
        <v>52.25</v>
      </c>
      <c r="K479" s="155">
        <f>IF(H479&lt;&gt;0,H479/I479,"")</f>
        <v>4.854066985645933</v>
      </c>
      <c r="L479" s="157">
        <v>623530</v>
      </c>
      <c r="M479" s="158">
        <v>74339</v>
      </c>
      <c r="N479" s="267">
        <f>L480/M480</f>
        <v>8.236131588056564</v>
      </c>
      <c r="O479" s="303">
        <v>1</v>
      </c>
    </row>
    <row r="480" spans="1:15" ht="15">
      <c r="A480" s="39">
        <v>477</v>
      </c>
      <c r="B480" s="265" t="s">
        <v>40</v>
      </c>
      <c r="C480" s="31">
        <v>40067</v>
      </c>
      <c r="D480" s="32" t="s">
        <v>154</v>
      </c>
      <c r="E480" s="56">
        <v>105</v>
      </c>
      <c r="F480" s="56">
        <v>3</v>
      </c>
      <c r="G480" s="56">
        <v>32</v>
      </c>
      <c r="H480" s="149">
        <v>1904</v>
      </c>
      <c r="I480" s="151">
        <v>238</v>
      </c>
      <c r="J480" s="152">
        <f>IF(H480&lt;&gt;0,I480/F480,"")</f>
        <v>79.33333333333333</v>
      </c>
      <c r="K480" s="154">
        <f>IF(H480&lt;&gt;0,H480/I480,"")</f>
        <v>8</v>
      </c>
      <c r="L480" s="156">
        <f>640522.5+1904</f>
        <v>642426.5</v>
      </c>
      <c r="M480" s="152">
        <f>77763+238</f>
        <v>78001</v>
      </c>
      <c r="N480" s="267">
        <f>IF(L480&lt;&gt;0,L480/M480,"")</f>
        <v>8.236131588056564</v>
      </c>
      <c r="O480" s="303"/>
    </row>
    <row r="481" spans="1:15" ht="15">
      <c r="A481" s="39">
        <v>478</v>
      </c>
      <c r="B481" s="265" t="s">
        <v>40</v>
      </c>
      <c r="C481" s="31">
        <v>40067</v>
      </c>
      <c r="D481" s="32" t="s">
        <v>154</v>
      </c>
      <c r="E481" s="56">
        <v>105</v>
      </c>
      <c r="F481" s="56">
        <v>1</v>
      </c>
      <c r="G481" s="56">
        <v>33</v>
      </c>
      <c r="H481" s="149">
        <v>1782</v>
      </c>
      <c r="I481" s="151">
        <v>178</v>
      </c>
      <c r="J481" s="152">
        <f>I481/F481</f>
        <v>178</v>
      </c>
      <c r="K481" s="154">
        <f>H481/I481</f>
        <v>10.01123595505618</v>
      </c>
      <c r="L481" s="156">
        <v>644208.5</v>
      </c>
      <c r="M481" s="152">
        <v>78179</v>
      </c>
      <c r="N481" s="267">
        <f>+L481/M481</f>
        <v>8.24017319228949</v>
      </c>
      <c r="O481" s="305"/>
    </row>
    <row r="482" spans="1:15" ht="15">
      <c r="A482" s="39">
        <v>479</v>
      </c>
      <c r="B482" s="268" t="s">
        <v>40</v>
      </c>
      <c r="C482" s="31">
        <v>40067</v>
      </c>
      <c r="D482" s="28" t="s">
        <v>154</v>
      </c>
      <c r="E482" s="56">
        <v>105</v>
      </c>
      <c r="F482" s="56">
        <v>8</v>
      </c>
      <c r="G482" s="56">
        <v>22</v>
      </c>
      <c r="H482" s="161">
        <v>1703</v>
      </c>
      <c r="I482" s="150">
        <v>277</v>
      </c>
      <c r="J482" s="152">
        <f>I482/F482</f>
        <v>34.625</v>
      </c>
      <c r="K482" s="154">
        <f>+H482/I482</f>
        <v>6.148014440433213</v>
      </c>
      <c r="L482" s="156">
        <v>628192.5</v>
      </c>
      <c r="M482" s="152">
        <v>75261</v>
      </c>
      <c r="N482" s="267">
        <f>+L483/M483</f>
        <v>8.324340575113649</v>
      </c>
      <c r="O482" s="303"/>
    </row>
    <row r="483" spans="1:15" ht="15">
      <c r="A483" s="39">
        <v>480</v>
      </c>
      <c r="B483" s="268" t="s">
        <v>40</v>
      </c>
      <c r="C483" s="46">
        <v>40067</v>
      </c>
      <c r="D483" s="47" t="s">
        <v>154</v>
      </c>
      <c r="E483" s="54">
        <v>105</v>
      </c>
      <c r="F483" s="54">
        <v>1</v>
      </c>
      <c r="G483" s="54">
        <v>24</v>
      </c>
      <c r="H483" s="163">
        <v>1164</v>
      </c>
      <c r="I483" s="164">
        <v>332</v>
      </c>
      <c r="J483" s="181">
        <f>IF(H483&lt;&gt;0,I483/F483,"")</f>
        <v>332</v>
      </c>
      <c r="K483" s="182">
        <f>H483/I483</f>
        <v>3.5060240963855422</v>
      </c>
      <c r="L483" s="183">
        <v>629919.5</v>
      </c>
      <c r="M483" s="181">
        <v>75672</v>
      </c>
      <c r="N483" s="272">
        <f>IF(L484&lt;&gt;0,L484/M484,"")</f>
        <v>8.266026140733812</v>
      </c>
      <c r="O483" s="310"/>
    </row>
    <row r="484" spans="1:15" ht="15">
      <c r="A484" s="39">
        <v>481</v>
      </c>
      <c r="B484" s="265" t="s">
        <v>40</v>
      </c>
      <c r="C484" s="31">
        <v>40067</v>
      </c>
      <c r="D484" s="47" t="s">
        <v>154</v>
      </c>
      <c r="E484" s="54">
        <v>105</v>
      </c>
      <c r="F484" s="54">
        <v>3</v>
      </c>
      <c r="G484" s="54">
        <v>28</v>
      </c>
      <c r="H484" s="163">
        <v>1086</v>
      </c>
      <c r="I484" s="164">
        <v>239</v>
      </c>
      <c r="J484" s="181">
        <f>I484/F484</f>
        <v>79.66666666666667</v>
      </c>
      <c r="K484" s="182">
        <f>+H484/I484</f>
        <v>4.543933054393306</v>
      </c>
      <c r="L484" s="183">
        <v>636219.5</v>
      </c>
      <c r="M484" s="181">
        <v>76968</v>
      </c>
      <c r="N484" s="270">
        <f>+L484/M484</f>
        <v>8.266026140733812</v>
      </c>
      <c r="O484" s="309"/>
    </row>
    <row r="485" spans="1:15" ht="15">
      <c r="A485" s="39">
        <v>482</v>
      </c>
      <c r="B485" s="265" t="s">
        <v>40</v>
      </c>
      <c r="C485" s="31">
        <v>40067</v>
      </c>
      <c r="D485" s="47" t="s">
        <v>154</v>
      </c>
      <c r="E485" s="54">
        <v>105</v>
      </c>
      <c r="F485" s="54">
        <v>2</v>
      </c>
      <c r="G485" s="54">
        <v>30</v>
      </c>
      <c r="H485" s="163">
        <v>1011</v>
      </c>
      <c r="I485" s="165">
        <v>195</v>
      </c>
      <c r="J485" s="152">
        <f>IF(H485&lt;&gt;0,I485/F485,"")</f>
        <v>97.5</v>
      </c>
      <c r="K485" s="154">
        <f>IF(H485&lt;&gt;0,H485/I485,"")</f>
        <v>5.184615384615385</v>
      </c>
      <c r="L485" s="156">
        <v>637703.5</v>
      </c>
      <c r="M485" s="152">
        <v>77304</v>
      </c>
      <c r="N485" s="267">
        <f>IF(L485&lt;&gt;0,L485/M485,"")</f>
        <v>8.24929499120356</v>
      </c>
      <c r="O485" s="314"/>
    </row>
    <row r="486" spans="1:15" ht="15">
      <c r="A486" s="39">
        <v>483</v>
      </c>
      <c r="B486" s="265" t="s">
        <v>40</v>
      </c>
      <c r="C486" s="26">
        <v>40067</v>
      </c>
      <c r="D486" s="30" t="s">
        <v>154</v>
      </c>
      <c r="E486" s="55">
        <v>105</v>
      </c>
      <c r="F486" s="55">
        <v>7</v>
      </c>
      <c r="G486" s="55">
        <v>17</v>
      </c>
      <c r="H486" s="166">
        <v>810</v>
      </c>
      <c r="I486" s="168">
        <v>154</v>
      </c>
      <c r="J486" s="187">
        <f>IF(H486&lt;&gt;0,I486/F486,"")</f>
        <v>22</v>
      </c>
      <c r="K486" s="185">
        <f>IF(H486&lt;&gt;0,H486/I486,"")</f>
        <v>5.259740259740259</v>
      </c>
      <c r="L486" s="186">
        <v>609976.75</v>
      </c>
      <c r="M486" s="181">
        <v>71251</v>
      </c>
      <c r="N486" s="267">
        <f>IF(L487&lt;&gt;0,L487/M487,"")</f>
        <v>8.28410945312602</v>
      </c>
      <c r="O486" s="303"/>
    </row>
    <row r="487" spans="1:15" ht="15">
      <c r="A487" s="39">
        <v>484</v>
      </c>
      <c r="B487" s="265" t="s">
        <v>40</v>
      </c>
      <c r="C487" s="26">
        <v>40067</v>
      </c>
      <c r="D487" s="29" t="s">
        <v>154</v>
      </c>
      <c r="E487" s="55">
        <v>105</v>
      </c>
      <c r="F487" s="55">
        <v>1</v>
      </c>
      <c r="G487" s="55">
        <v>26</v>
      </c>
      <c r="H487" s="159">
        <v>715</v>
      </c>
      <c r="I487" s="151">
        <v>143</v>
      </c>
      <c r="J487" s="153">
        <f>IF(H487&lt;&gt;0,I487/F487,"")</f>
        <v>143</v>
      </c>
      <c r="K487" s="155">
        <f>IF(H487&lt;&gt;0,H487/I487,"")</f>
        <v>5</v>
      </c>
      <c r="L487" s="178">
        <v>634554.5</v>
      </c>
      <c r="M487" s="158">
        <v>76599</v>
      </c>
      <c r="N487" s="266">
        <f>L488/M488</f>
        <v>8.277619935096247</v>
      </c>
      <c r="O487" s="308"/>
    </row>
    <row r="488" spans="1:15" ht="15">
      <c r="A488" s="39">
        <v>485</v>
      </c>
      <c r="B488" s="275" t="s">
        <v>40</v>
      </c>
      <c r="C488" s="31">
        <v>40067</v>
      </c>
      <c r="D488" s="47" t="s">
        <v>154</v>
      </c>
      <c r="E488" s="54">
        <v>105</v>
      </c>
      <c r="F488" s="54">
        <v>2</v>
      </c>
      <c r="G488" s="54">
        <v>27</v>
      </c>
      <c r="H488" s="163">
        <v>579</v>
      </c>
      <c r="I488" s="164">
        <v>130</v>
      </c>
      <c r="J488" s="181">
        <f>I488/F488</f>
        <v>65</v>
      </c>
      <c r="K488" s="182">
        <f>H488/I488</f>
        <v>4.453846153846154</v>
      </c>
      <c r="L488" s="183">
        <v>635133.5</v>
      </c>
      <c r="M488" s="181">
        <v>76729</v>
      </c>
      <c r="N488" s="270">
        <f>+L488/M488</f>
        <v>8.277619935096247</v>
      </c>
      <c r="O488" s="308"/>
    </row>
    <row r="489" spans="1:15" ht="15">
      <c r="A489" s="39">
        <v>486</v>
      </c>
      <c r="B489" s="268" t="s">
        <v>40</v>
      </c>
      <c r="C489" s="31">
        <v>40067</v>
      </c>
      <c r="D489" s="28" t="s">
        <v>154</v>
      </c>
      <c r="E489" s="56">
        <v>105</v>
      </c>
      <c r="F489" s="56">
        <v>3</v>
      </c>
      <c r="G489" s="56">
        <v>23</v>
      </c>
      <c r="H489" s="148">
        <v>563</v>
      </c>
      <c r="I489" s="162">
        <v>79</v>
      </c>
      <c r="J489" s="181">
        <f>IF(H489&lt;&gt;0,I489/F489,"")</f>
        <v>26.333333333333332</v>
      </c>
      <c r="K489" s="182">
        <f>IF(H489&lt;&gt;0,H489/I489,"")</f>
        <v>7.1265822784810124</v>
      </c>
      <c r="L489" s="183">
        <v>628755.5</v>
      </c>
      <c r="M489" s="181">
        <v>75340</v>
      </c>
      <c r="N489" s="267">
        <f>+L490/M490</f>
        <v>8.257045221699153</v>
      </c>
      <c r="O489" s="303"/>
    </row>
    <row r="490" spans="1:15" ht="15">
      <c r="A490" s="39">
        <v>487</v>
      </c>
      <c r="B490" s="265" t="s">
        <v>40</v>
      </c>
      <c r="C490" s="31">
        <v>40067</v>
      </c>
      <c r="D490" s="47" t="s">
        <v>154</v>
      </c>
      <c r="E490" s="54">
        <v>105</v>
      </c>
      <c r="F490" s="54">
        <v>1</v>
      </c>
      <c r="G490" s="54">
        <v>29</v>
      </c>
      <c r="H490" s="163">
        <v>473</v>
      </c>
      <c r="I490" s="164">
        <v>141</v>
      </c>
      <c r="J490" s="181">
        <f>IF(H490&lt;&gt;0,I490/F490,"")</f>
        <v>141</v>
      </c>
      <c r="K490" s="182">
        <f>IF(H490&lt;&gt;0,H490/I490,"")</f>
        <v>3.354609929078014</v>
      </c>
      <c r="L490" s="183">
        <v>636692.5</v>
      </c>
      <c r="M490" s="181">
        <v>77109</v>
      </c>
      <c r="N490" s="270">
        <f>IF(L490&lt;&gt;0,L490/M490,"")</f>
        <v>8.257045221699153</v>
      </c>
      <c r="O490" s="303"/>
    </row>
    <row r="491" spans="1:15" ht="15">
      <c r="A491" s="39">
        <v>488</v>
      </c>
      <c r="B491" s="275" t="s">
        <v>40</v>
      </c>
      <c r="C491" s="26">
        <v>40067</v>
      </c>
      <c r="D491" s="28" t="s">
        <v>101</v>
      </c>
      <c r="E491" s="230">
        <v>105</v>
      </c>
      <c r="F491" s="230">
        <v>1</v>
      </c>
      <c r="G491" s="230">
        <v>35</v>
      </c>
      <c r="H491" s="166">
        <v>138</v>
      </c>
      <c r="I491" s="168">
        <v>23</v>
      </c>
      <c r="J491" s="187">
        <f>IF(H491&lt;&gt;0,I491/F491,"")</f>
        <v>23</v>
      </c>
      <c r="K491" s="185">
        <f>IF(H491&lt;&gt;0,H491/I491,"")</f>
        <v>6</v>
      </c>
      <c r="L491" s="186">
        <v>646486.5</v>
      </c>
      <c r="M491" s="181">
        <v>78630</v>
      </c>
      <c r="N491" s="272">
        <f>IF(L491&lt;&gt;0,L491/M491,"")</f>
        <v>8.22188096146509</v>
      </c>
      <c r="O491" s="303"/>
    </row>
    <row r="492" spans="1:15" ht="15">
      <c r="A492" s="39">
        <v>489</v>
      </c>
      <c r="B492" s="268" t="s">
        <v>155</v>
      </c>
      <c r="C492" s="31">
        <v>39871</v>
      </c>
      <c r="D492" s="32" t="s">
        <v>242</v>
      </c>
      <c r="E492" s="56">
        <v>1</v>
      </c>
      <c r="F492" s="56">
        <v>1</v>
      </c>
      <c r="G492" s="56">
        <v>22</v>
      </c>
      <c r="H492" s="159">
        <v>1780</v>
      </c>
      <c r="I492" s="160">
        <v>445</v>
      </c>
      <c r="J492" s="177">
        <f>(I492/F492)</f>
        <v>445</v>
      </c>
      <c r="K492" s="180">
        <f>H492/I492</f>
        <v>4</v>
      </c>
      <c r="L492" s="178">
        <f>1088+1510+1304+856+387+214+424+106+162+130+476+60.5+118+96+1664+1780+454+259.5+1188+119.5+1188+1780+1780</f>
        <v>17144.5</v>
      </c>
      <c r="M492" s="179">
        <f>267+175+155+102+46+26+51+12+18+16+57+8+22+16+416+445+57+31+297+19+297+445+445</f>
        <v>3423</v>
      </c>
      <c r="N492" s="272">
        <f>IF(L493&lt;&gt;0,L493/M493,"")</f>
        <v>5.15933512424446</v>
      </c>
      <c r="O492" s="312"/>
    </row>
    <row r="493" spans="1:15" ht="15">
      <c r="A493" s="39">
        <v>490</v>
      </c>
      <c r="B493" s="268" t="s">
        <v>155</v>
      </c>
      <c r="C493" s="31">
        <v>39871</v>
      </c>
      <c r="D493" s="32" t="s">
        <v>242</v>
      </c>
      <c r="E493" s="56">
        <v>1</v>
      </c>
      <c r="F493" s="56">
        <v>1</v>
      </c>
      <c r="G493" s="56">
        <v>21</v>
      </c>
      <c r="H493" s="159">
        <v>1780</v>
      </c>
      <c r="I493" s="160">
        <v>445</v>
      </c>
      <c r="J493" s="177">
        <f>(I493/F493)</f>
        <v>445</v>
      </c>
      <c r="K493" s="155">
        <f>H493/I493</f>
        <v>4</v>
      </c>
      <c r="L493" s="178">
        <f>1088+1510+1304+856+387+214+424+106+162+130+476+60.5+118+96+1664+1780+454+259.5+1188+119.5+1188+1780</f>
        <v>15364.5</v>
      </c>
      <c r="M493" s="179">
        <f>267+175+155+102+46+26+51+12+18+16+57+8+22+16+416+445+57+31+297+19+297+445</f>
        <v>2978</v>
      </c>
      <c r="N493" s="266">
        <f>L494/M494</f>
        <v>10.934982258401169</v>
      </c>
      <c r="O493" s="301"/>
    </row>
    <row r="494" spans="1:15" ht="15">
      <c r="A494" s="39">
        <v>491</v>
      </c>
      <c r="B494" s="280" t="s">
        <v>77</v>
      </c>
      <c r="C494" s="26">
        <v>40158</v>
      </c>
      <c r="D494" s="37" t="s">
        <v>78</v>
      </c>
      <c r="E494" s="60" t="s">
        <v>79</v>
      </c>
      <c r="F494" s="60" t="s">
        <v>79</v>
      </c>
      <c r="G494" s="60" t="s">
        <v>80</v>
      </c>
      <c r="H494" s="174">
        <v>10169</v>
      </c>
      <c r="I494" s="176">
        <v>1579</v>
      </c>
      <c r="J494" s="203">
        <f>+I494/F494</f>
        <v>157.9</v>
      </c>
      <c r="K494" s="188">
        <f>IF(H494&lt;&gt;0,H494/I494,"")</f>
        <v>6.440151994933502</v>
      </c>
      <c r="L494" s="201">
        <v>104779</v>
      </c>
      <c r="M494" s="204">
        <v>9582</v>
      </c>
      <c r="N494" s="272">
        <f>IF(L495&lt;&gt;0,L495/M495,"")</f>
        <v>10.378987548850313</v>
      </c>
      <c r="O494" s="301"/>
    </row>
    <row r="495" spans="1:15" ht="15">
      <c r="A495" s="39">
        <v>492</v>
      </c>
      <c r="B495" s="280" t="s">
        <v>77</v>
      </c>
      <c r="C495" s="26">
        <v>40158</v>
      </c>
      <c r="D495" s="37" t="s">
        <v>78</v>
      </c>
      <c r="E495" s="60" t="s">
        <v>79</v>
      </c>
      <c r="F495" s="60" t="s">
        <v>79</v>
      </c>
      <c r="G495" s="60" t="s">
        <v>4</v>
      </c>
      <c r="H495" s="174">
        <v>9421</v>
      </c>
      <c r="I495" s="175">
        <v>1421</v>
      </c>
      <c r="J495" s="205">
        <f>+I495/F495</f>
        <v>142.1</v>
      </c>
      <c r="K495" s="206"/>
      <c r="L495" s="201">
        <v>114200</v>
      </c>
      <c r="M495" s="202">
        <v>11003</v>
      </c>
      <c r="N495" s="267">
        <f>L496/M496</f>
        <v>10.20235824518814</v>
      </c>
      <c r="O495" s="305"/>
    </row>
    <row r="496" spans="1:15" ht="15">
      <c r="A496" s="39">
        <v>493</v>
      </c>
      <c r="B496" s="268" t="s">
        <v>77</v>
      </c>
      <c r="C496" s="31">
        <v>40158</v>
      </c>
      <c r="D496" s="28" t="s">
        <v>78</v>
      </c>
      <c r="E496" s="56" t="s">
        <v>79</v>
      </c>
      <c r="F496" s="56" t="s">
        <v>4</v>
      </c>
      <c r="G496" s="56" t="s">
        <v>156</v>
      </c>
      <c r="H496" s="161">
        <v>1882</v>
      </c>
      <c r="I496" s="150">
        <v>269</v>
      </c>
      <c r="J496" s="152">
        <f>(I496/F496)</f>
        <v>44.833333333333336</v>
      </c>
      <c r="K496" s="154">
        <f>(J496/G496)</f>
        <v>4.981481481481482</v>
      </c>
      <c r="L496" s="156">
        <v>117674</v>
      </c>
      <c r="M496" s="152">
        <v>11534</v>
      </c>
      <c r="N496" s="267">
        <f>L497/M497</f>
        <v>10.278916999556147</v>
      </c>
      <c r="O496" s="303"/>
    </row>
    <row r="497" spans="1:15" ht="15">
      <c r="A497" s="39">
        <v>494</v>
      </c>
      <c r="B497" s="280" t="s">
        <v>77</v>
      </c>
      <c r="C497" s="31">
        <v>40158</v>
      </c>
      <c r="D497" s="28" t="s">
        <v>78</v>
      </c>
      <c r="E497" s="56" t="s">
        <v>79</v>
      </c>
      <c r="F497" s="56" t="s">
        <v>80</v>
      </c>
      <c r="G497" s="56" t="s">
        <v>114</v>
      </c>
      <c r="H497" s="161">
        <v>1592</v>
      </c>
      <c r="I497" s="150">
        <v>262</v>
      </c>
      <c r="J497" s="152">
        <f>I497/F497</f>
        <v>52.4</v>
      </c>
      <c r="K497" s="154">
        <f aca="true" t="shared" si="44" ref="K497:K505">H497/I497</f>
        <v>6.076335877862595</v>
      </c>
      <c r="L497" s="156">
        <v>115792</v>
      </c>
      <c r="M497" s="152">
        <v>11265</v>
      </c>
      <c r="N497" s="267">
        <f>L498/M498</f>
        <v>8.840697826656193</v>
      </c>
      <c r="O497" s="303"/>
    </row>
    <row r="498" spans="1:15" ht="15">
      <c r="A498" s="39">
        <v>495</v>
      </c>
      <c r="B498" s="265" t="s">
        <v>221</v>
      </c>
      <c r="C498" s="31">
        <v>40123</v>
      </c>
      <c r="D498" s="32" t="s">
        <v>47</v>
      </c>
      <c r="E498" s="54">
        <v>42</v>
      </c>
      <c r="F498" s="54">
        <v>1</v>
      </c>
      <c r="G498" s="54">
        <v>7</v>
      </c>
      <c r="H498" s="163">
        <v>1474</v>
      </c>
      <c r="I498" s="164">
        <v>205</v>
      </c>
      <c r="J498" s="181">
        <f>I498/F498</f>
        <v>205</v>
      </c>
      <c r="K498" s="182">
        <f t="shared" si="44"/>
        <v>7.190243902439025</v>
      </c>
      <c r="L498" s="183">
        <f>47428.75+11738.5+1089+270+547+3735+1243+1474</f>
        <v>67525.25</v>
      </c>
      <c r="M498" s="181">
        <f>4865+1345+40+185+107+665+226+205</f>
        <v>7638</v>
      </c>
      <c r="N498" s="270">
        <f>+L498/M498</f>
        <v>8.840697826656193</v>
      </c>
      <c r="O498" s="301"/>
    </row>
    <row r="499" spans="1:15" ht="15">
      <c r="A499" s="39">
        <v>496</v>
      </c>
      <c r="B499" s="265" t="s">
        <v>221</v>
      </c>
      <c r="C499" s="31">
        <v>40123</v>
      </c>
      <c r="D499" s="32" t="s">
        <v>47</v>
      </c>
      <c r="E499" s="54">
        <v>42</v>
      </c>
      <c r="F499" s="54">
        <v>1</v>
      </c>
      <c r="G499" s="54">
        <v>8</v>
      </c>
      <c r="H499" s="163">
        <v>124</v>
      </c>
      <c r="I499" s="165">
        <v>16</v>
      </c>
      <c r="J499" s="152">
        <f>I499/F499</f>
        <v>16</v>
      </c>
      <c r="K499" s="154">
        <f t="shared" si="44"/>
        <v>7.75</v>
      </c>
      <c r="L499" s="156">
        <f>47428.75+11738.5+1089+270+547+3735+1243+1474+124</f>
        <v>67649.25</v>
      </c>
      <c r="M499" s="152">
        <f>4865+1345+40+185+107+665+226+205+16</f>
        <v>7654</v>
      </c>
      <c r="N499" s="267">
        <f>+L499/M499</f>
        <v>8.838417820747322</v>
      </c>
      <c r="O499" s="303"/>
    </row>
    <row r="500" spans="1:15" ht="15">
      <c r="A500" s="39">
        <v>497</v>
      </c>
      <c r="B500" s="268" t="s">
        <v>12</v>
      </c>
      <c r="C500" s="46">
        <v>39920</v>
      </c>
      <c r="D500" s="32" t="s">
        <v>242</v>
      </c>
      <c r="E500" s="54">
        <v>43</v>
      </c>
      <c r="F500" s="54">
        <v>4</v>
      </c>
      <c r="G500" s="54">
        <v>30</v>
      </c>
      <c r="H500" s="163">
        <v>6292</v>
      </c>
      <c r="I500" s="164">
        <v>1573</v>
      </c>
      <c r="J500" s="181">
        <f aca="true" t="shared" si="45" ref="J500:J505">(I500/F500)</f>
        <v>393.25</v>
      </c>
      <c r="K500" s="182">
        <f t="shared" si="44"/>
        <v>4</v>
      </c>
      <c r="L500" s="183">
        <f>71921.5+55489+28896+23842.5+13474.5+19552.5+14027+10409+7091.5+1088.5+1046+1608+982+3368+433+2156+3870+2362+588+3564+2376+1424+1780+1424+1512+1188+952+952+952+6292</f>
        <v>284621</v>
      </c>
      <c r="M500" s="181">
        <f>9131+7791+4520+4728+2735+3857+3026+2110+1463+203+226+324+239+809+81+469+941+537+95+891+594+356+445+356+378+297+238+238+238+1573</f>
        <v>48889</v>
      </c>
      <c r="N500" s="267">
        <f>+L501/M501</f>
        <v>5.773355367951577</v>
      </c>
      <c r="O500" s="302"/>
    </row>
    <row r="501" spans="1:15" ht="15">
      <c r="A501" s="39">
        <v>498</v>
      </c>
      <c r="B501" s="268" t="s">
        <v>12</v>
      </c>
      <c r="C501" s="46">
        <v>39920</v>
      </c>
      <c r="D501" s="32" t="s">
        <v>242</v>
      </c>
      <c r="E501" s="54">
        <v>43</v>
      </c>
      <c r="F501" s="54">
        <v>3</v>
      </c>
      <c r="G501" s="54">
        <v>31</v>
      </c>
      <c r="H501" s="163">
        <v>5340</v>
      </c>
      <c r="I501" s="164">
        <v>1335</v>
      </c>
      <c r="J501" s="181">
        <f t="shared" si="45"/>
        <v>445</v>
      </c>
      <c r="K501" s="182">
        <f t="shared" si="44"/>
        <v>4</v>
      </c>
      <c r="L501" s="183">
        <f>71921.5+55489+28896+23842.5+13474.5+19552.5+14027+10409+7091.5+1088.5+1046+1608+982+3368+433+2156+3870+2362+588+3564+2376+1424+1780+1424+1512+1188+952+952+952+6292+5340</f>
        <v>289961</v>
      </c>
      <c r="M501" s="181">
        <f>9131+7791+4520+4728+2735+3857+3026+2110+1463+203+226+324+239+809+81+469+941+537+95+891+594+356+445+356+378+297+238+238+238+1573+1335</f>
        <v>50224</v>
      </c>
      <c r="N501" s="266">
        <f>L502/M502</f>
        <v>5.729921336311547</v>
      </c>
      <c r="O501" s="303"/>
    </row>
    <row r="502" spans="1:15" ht="15">
      <c r="A502" s="39">
        <v>499</v>
      </c>
      <c r="B502" s="275" t="s">
        <v>12</v>
      </c>
      <c r="C502" s="31">
        <v>39920</v>
      </c>
      <c r="D502" s="32" t="s">
        <v>242</v>
      </c>
      <c r="E502" s="54">
        <v>43</v>
      </c>
      <c r="F502" s="54">
        <v>2</v>
      </c>
      <c r="G502" s="54">
        <v>33</v>
      </c>
      <c r="H502" s="163">
        <v>3532</v>
      </c>
      <c r="I502" s="164">
        <v>883</v>
      </c>
      <c r="J502" s="181">
        <f t="shared" si="45"/>
        <v>441.5</v>
      </c>
      <c r="K502" s="182">
        <f t="shared" si="44"/>
        <v>4</v>
      </c>
      <c r="L502" s="183">
        <f>71921.5+55489+28896+23842.5+13474.5+19552.5+14027+10409+7091.5+1088.5+1046+1608+982+3368+433+2156+3870+2362+588+3564+2376+1424+1780+1424+1512+1188+952+952+952+6292+5340+1512+3532</f>
        <v>295005</v>
      </c>
      <c r="M502" s="181">
        <f>9131+7791+4520+4728+2735+3857+3026+2110+1463+203+226+324+239+809+81+469+941+537+95+891+594+356+445+356+378+297+238+238+238+1573+1335+378+883</f>
        <v>51485</v>
      </c>
      <c r="N502" s="270">
        <f>L502/M502</f>
        <v>5.729921336311547</v>
      </c>
      <c r="O502" s="303"/>
    </row>
    <row r="503" spans="1:15" ht="15">
      <c r="A503" s="39">
        <v>500</v>
      </c>
      <c r="B503" s="265" t="s">
        <v>12</v>
      </c>
      <c r="C503" s="31">
        <v>39920</v>
      </c>
      <c r="D503" s="32" t="s">
        <v>242</v>
      </c>
      <c r="E503" s="54">
        <v>43</v>
      </c>
      <c r="F503" s="54">
        <v>1</v>
      </c>
      <c r="G503" s="54">
        <v>34</v>
      </c>
      <c r="H503" s="163">
        <v>1780</v>
      </c>
      <c r="I503" s="164">
        <v>445</v>
      </c>
      <c r="J503" s="181">
        <f t="shared" si="45"/>
        <v>445</v>
      </c>
      <c r="K503" s="182">
        <f t="shared" si="44"/>
        <v>4</v>
      </c>
      <c r="L503" s="183">
        <f>71921.5+55489+28896+23842.5+13474.5+19552.5+14027+10409+7091.5+1088.5+1046+1608+982+3368+433+2156+3870+2362+588+3564+2376+1424+1780+1424+1512+1188+952+952+952+6292+5340+1512+3532+1780</f>
        <v>296785</v>
      </c>
      <c r="M503" s="181">
        <f>9131+7791+4520+4728+2735+3857+3026+2110+1463+203+226+324+239+809+81+469+941+537+95+891+594+356+445+356+378+297+238+238+238+1573+1335+378+883+445</f>
        <v>51930</v>
      </c>
      <c r="N503" s="270">
        <f>L503/M503</f>
        <v>5.7150972462930865</v>
      </c>
      <c r="O503" s="303"/>
    </row>
    <row r="504" spans="1:15" ht="15">
      <c r="A504" s="39">
        <v>501</v>
      </c>
      <c r="B504" s="265" t="s">
        <v>12</v>
      </c>
      <c r="C504" s="26">
        <v>39920</v>
      </c>
      <c r="D504" s="32" t="s">
        <v>242</v>
      </c>
      <c r="E504" s="55">
        <v>43</v>
      </c>
      <c r="F504" s="55">
        <v>1</v>
      </c>
      <c r="G504" s="55">
        <v>32</v>
      </c>
      <c r="H504" s="159">
        <v>1512</v>
      </c>
      <c r="I504" s="160">
        <v>378</v>
      </c>
      <c r="J504" s="177">
        <f t="shared" si="45"/>
        <v>378</v>
      </c>
      <c r="K504" s="180">
        <f t="shared" si="44"/>
        <v>4</v>
      </c>
      <c r="L504" s="178">
        <f>71921.5+55489+28896+23842.5+13474.5+19552.5+14027+10409+7091.5+1088.5+1046+1608+982+3368+433+2156+3870+2362+588+3564+2376+1424+1780+1424+1512+1188+952+952+952+6292+5340+1512</f>
        <v>291473</v>
      </c>
      <c r="M504" s="179">
        <f>9131+7791+4520+4728+2735+3857+3026+2110+1463+203+226+324+239+809+81+469+941+537+95+891+594+356+445+356+378+297+238+238+238+1573+1335+378</f>
        <v>50602</v>
      </c>
      <c r="N504" s="267">
        <f>L505/M505</f>
        <v>5.911184069353246</v>
      </c>
      <c r="O504" s="303">
        <v>1</v>
      </c>
    </row>
    <row r="505" spans="1:15" ht="15">
      <c r="A505" s="39">
        <v>502</v>
      </c>
      <c r="B505" s="268" t="s">
        <v>12</v>
      </c>
      <c r="C505" s="31">
        <v>39920</v>
      </c>
      <c r="D505" s="32" t="s">
        <v>242</v>
      </c>
      <c r="E505" s="56">
        <v>43</v>
      </c>
      <c r="F505" s="56">
        <v>1</v>
      </c>
      <c r="G505" s="56">
        <v>26</v>
      </c>
      <c r="H505" s="159">
        <v>1188</v>
      </c>
      <c r="I505" s="151">
        <v>297</v>
      </c>
      <c r="J505" s="153">
        <f t="shared" si="45"/>
        <v>297</v>
      </c>
      <c r="K505" s="155">
        <f t="shared" si="44"/>
        <v>4</v>
      </c>
      <c r="L505" s="178">
        <f>71921.5+55489+28896+23842.5+13474.5+19552.5+14027+10409+7091.5+1088.5+1046+1608+982+3368+433+2156+3870+2362+588+3564+2376+1424+1780+1424+1512+1188</f>
        <v>275473</v>
      </c>
      <c r="M505" s="158">
        <f>9131+7791+4520+4728+2735+3857+3026+2110+1463+203+226+324+239+809+81+469+941+537+95+891+594+356+445+356+378+297</f>
        <v>46602</v>
      </c>
      <c r="N505" s="267">
        <f>L506/M506</f>
        <v>5.901473099914603</v>
      </c>
      <c r="O505" s="303">
        <v>1</v>
      </c>
    </row>
    <row r="506" spans="1:15" ht="15">
      <c r="A506" s="39">
        <v>503</v>
      </c>
      <c r="B506" s="268" t="s">
        <v>12</v>
      </c>
      <c r="C506" s="31">
        <v>39920</v>
      </c>
      <c r="D506" s="32" t="s">
        <v>242</v>
      </c>
      <c r="E506" s="56">
        <v>43</v>
      </c>
      <c r="F506" s="56">
        <v>1</v>
      </c>
      <c r="G506" s="56">
        <v>27</v>
      </c>
      <c r="H506" s="161">
        <v>952</v>
      </c>
      <c r="I506" s="150">
        <v>238</v>
      </c>
      <c r="J506" s="152">
        <f>I506/F506</f>
        <v>238</v>
      </c>
      <c r="K506" s="154">
        <f>+H506/I506</f>
        <v>4</v>
      </c>
      <c r="L506" s="156">
        <f>71921.5+55489+28896+23842.5+13474.5+19552.5+14027+10409+7091.5+1088.5+1046+1608+982+3368+433+2156+3870+2362+588+3564+2376+1424+1780+1424+1512+1188+952</f>
        <v>276425</v>
      </c>
      <c r="M506" s="152">
        <f>9131+7791+4520+4728+2735+3857+3026+2110+1463+203+226+324+239+809+81+469+941+537+95+891+594+356+445+356+378+297+238</f>
        <v>46840</v>
      </c>
      <c r="N506" s="267">
        <f>L507/M507</f>
        <v>5.891860316920854</v>
      </c>
      <c r="O506" s="303">
        <v>1</v>
      </c>
    </row>
    <row r="507" spans="1:15" ht="15">
      <c r="A507" s="39">
        <v>504</v>
      </c>
      <c r="B507" s="268" t="s">
        <v>12</v>
      </c>
      <c r="C507" s="31">
        <v>39920</v>
      </c>
      <c r="D507" s="32" t="s">
        <v>242</v>
      </c>
      <c r="E507" s="56">
        <v>43</v>
      </c>
      <c r="F507" s="56">
        <v>1</v>
      </c>
      <c r="G507" s="56">
        <v>28</v>
      </c>
      <c r="H507" s="148">
        <v>952</v>
      </c>
      <c r="I507" s="162">
        <v>238</v>
      </c>
      <c r="J507" s="181">
        <f>(I507/F507)</f>
        <v>238</v>
      </c>
      <c r="K507" s="182">
        <f>H507/I507</f>
        <v>4</v>
      </c>
      <c r="L507" s="183">
        <f>71921.5+55489+28896+23842.5+13474.5+19552.5+14027+10409+7091.5+1088.5+1046+1608+982+3368+433+2156+3870+2362+588+3564+2376+1424+1780+1424+1512+1188+952+952</f>
        <v>277377</v>
      </c>
      <c r="M507" s="181">
        <f>9131+7791+4520+4728+2735+3857+3026+2110+1463+203+226+324+239+809+81+469+941+537+95+891+594+356+445+356+378+297+238+238</f>
        <v>47078</v>
      </c>
      <c r="N507" s="267">
        <f>+L508/M508</f>
        <v>5.882344238735311</v>
      </c>
      <c r="O507" s="305">
        <v>1</v>
      </c>
    </row>
    <row r="508" spans="1:15" ht="15">
      <c r="A508" s="39">
        <v>505</v>
      </c>
      <c r="B508" s="268" t="s">
        <v>12</v>
      </c>
      <c r="C508" s="31">
        <v>39920</v>
      </c>
      <c r="D508" s="32" t="s">
        <v>242</v>
      </c>
      <c r="E508" s="56">
        <v>43</v>
      </c>
      <c r="F508" s="56">
        <v>1</v>
      </c>
      <c r="G508" s="56">
        <v>29</v>
      </c>
      <c r="H508" s="148">
        <v>952</v>
      </c>
      <c r="I508" s="162">
        <v>238</v>
      </c>
      <c r="J508" s="181">
        <f>I508/F508</f>
        <v>238</v>
      </c>
      <c r="K508" s="182">
        <f>H508/I508</f>
        <v>4</v>
      </c>
      <c r="L508" s="183">
        <f>71921.5+55489+28896+23842.5+13474.5+19552.5+14027+10409+7091.5+1088.5+1046+1608+982+3368+433+2156+3870+2362+588+3564+2376+1424+1780+1424+1512+1188+952+952+952</f>
        <v>278329</v>
      </c>
      <c r="M508" s="181">
        <f>9131+7791+4520+4728+2735+3857+3026+2110+1463+203+226+324+239+809+81+469+941+537+95+891+594+356+445+356+378+297+238+238+238</f>
        <v>47316</v>
      </c>
      <c r="N508" s="266">
        <f>IF(L509&lt;&gt;0,L509/M509,"")</f>
        <v>8.40086134960224</v>
      </c>
      <c r="O508" s="311">
        <v>1</v>
      </c>
    </row>
    <row r="509" spans="1:15" ht="15">
      <c r="A509" s="39">
        <v>506</v>
      </c>
      <c r="B509" s="268" t="s">
        <v>164</v>
      </c>
      <c r="C509" s="31">
        <v>39955</v>
      </c>
      <c r="D509" s="32" t="s">
        <v>242</v>
      </c>
      <c r="E509" s="56">
        <v>49</v>
      </c>
      <c r="F509" s="56">
        <v>1</v>
      </c>
      <c r="G509" s="56">
        <v>20</v>
      </c>
      <c r="H509" s="148">
        <v>1780</v>
      </c>
      <c r="I509" s="162">
        <v>445</v>
      </c>
      <c r="J509" s="181">
        <f>(I509/F509)</f>
        <v>445</v>
      </c>
      <c r="K509" s="182">
        <f>H509/I509</f>
        <v>4</v>
      </c>
      <c r="L509" s="183">
        <f>156835.75+123241.75+64169.25+38530+14718+8349.5+5553+9905+6647+2168.5+2346+2372+3658.5+879+4291.5+2227+3697.5+1188+476+1780</f>
        <v>453033.25</v>
      </c>
      <c r="M509" s="181">
        <f>15124+12366+7559+6566+2380+1342+923+1526+1461+575+437+426+642+167+566+379+627+297+119+445</f>
        <v>53927</v>
      </c>
      <c r="N509" s="267">
        <f>+L510/M510</f>
        <v>8.364843117781211</v>
      </c>
      <c r="O509" s="303">
        <v>1</v>
      </c>
    </row>
    <row r="510" spans="1:15" ht="15">
      <c r="A510" s="39">
        <v>507</v>
      </c>
      <c r="B510" s="268" t="s">
        <v>164</v>
      </c>
      <c r="C510" s="31">
        <v>39955</v>
      </c>
      <c r="D510" s="32" t="s">
        <v>242</v>
      </c>
      <c r="E510" s="56">
        <v>49</v>
      </c>
      <c r="F510" s="56">
        <v>1</v>
      </c>
      <c r="G510" s="56">
        <v>21</v>
      </c>
      <c r="H510" s="148">
        <v>1780</v>
      </c>
      <c r="I510" s="162">
        <v>445</v>
      </c>
      <c r="J510" s="181">
        <f>I510/F510</f>
        <v>445</v>
      </c>
      <c r="K510" s="182">
        <f>H510/I510</f>
        <v>4</v>
      </c>
      <c r="L510" s="183">
        <f>156835.75+123241.75+64169.25+38530+14718+8349.5+5553+9905+6647+2168.5+2346+2372+3658.5+879+4291.5+2227+3697.5+1188+476+1780+1780</f>
        <v>454813.25</v>
      </c>
      <c r="M510" s="181">
        <f>15124+12366+7559+6566+2380+1342+923+1526+1461+575+437+426+642+167+566+379+627+297+119+445+445</f>
        <v>54372</v>
      </c>
      <c r="N510" s="272">
        <f>IF(L511&lt;&gt;0,L511/M511,"")</f>
        <v>8.135051078688413</v>
      </c>
      <c r="O510" s="301">
        <v>1</v>
      </c>
    </row>
    <row r="511" spans="1:15" ht="15">
      <c r="A511" s="39">
        <v>508</v>
      </c>
      <c r="B511" s="265" t="s">
        <v>353</v>
      </c>
      <c r="C511" s="31">
        <v>40102</v>
      </c>
      <c r="D511" s="27" t="s">
        <v>101</v>
      </c>
      <c r="E511" s="229">
        <v>319</v>
      </c>
      <c r="F511" s="229">
        <v>6</v>
      </c>
      <c r="G511" s="229">
        <v>31</v>
      </c>
      <c r="H511" s="161">
        <v>816</v>
      </c>
      <c r="I511" s="150">
        <v>135</v>
      </c>
      <c r="J511" s="152">
        <f aca="true" t="shared" si="46" ref="J511:J517">IF(H511&lt;&gt;0,I511/F511,"")</f>
        <v>22.5</v>
      </c>
      <c r="K511" s="154">
        <f aca="true" t="shared" si="47" ref="K511:K517">IF(H511&lt;&gt;0,H511/I511,"")</f>
        <v>6.044444444444444</v>
      </c>
      <c r="L511" s="156">
        <v>19805408.25</v>
      </c>
      <c r="M511" s="152">
        <v>2434577</v>
      </c>
      <c r="N511" s="267">
        <f>IF(L511&lt;&gt;0,L511/M511,"")</f>
        <v>8.135051078688413</v>
      </c>
      <c r="O511" s="302">
        <v>1</v>
      </c>
    </row>
    <row r="512" spans="1:15" ht="15">
      <c r="A512" s="39">
        <v>509</v>
      </c>
      <c r="B512" s="265" t="s">
        <v>331</v>
      </c>
      <c r="C512" s="31">
        <v>40102</v>
      </c>
      <c r="D512" s="27" t="s">
        <v>101</v>
      </c>
      <c r="E512" s="229">
        <v>319</v>
      </c>
      <c r="F512" s="229">
        <v>2</v>
      </c>
      <c r="G512" s="229">
        <v>34</v>
      </c>
      <c r="H512" s="161">
        <v>461</v>
      </c>
      <c r="I512" s="150">
        <v>89</v>
      </c>
      <c r="J512" s="152">
        <f t="shared" si="46"/>
        <v>44.5</v>
      </c>
      <c r="K512" s="154">
        <f t="shared" si="47"/>
        <v>5.179775280898877</v>
      </c>
      <c r="L512" s="156">
        <f>19810911.25+H512</f>
        <v>19811372.25</v>
      </c>
      <c r="M512" s="152">
        <f>2435667+I512</f>
        <v>2435756</v>
      </c>
      <c r="N512" s="267">
        <f>IF(L512&lt;&gt;0,L512/M512,"")</f>
        <v>8.133561920816371</v>
      </c>
      <c r="O512" s="310">
        <v>1</v>
      </c>
    </row>
    <row r="513" spans="1:15" ht="15">
      <c r="A513" s="39">
        <v>510</v>
      </c>
      <c r="B513" s="265" t="s">
        <v>331</v>
      </c>
      <c r="C513" s="26">
        <v>40102</v>
      </c>
      <c r="D513" s="27" t="s">
        <v>101</v>
      </c>
      <c r="E513" s="230">
        <v>319</v>
      </c>
      <c r="F513" s="230">
        <v>18</v>
      </c>
      <c r="G513" s="230">
        <v>30</v>
      </c>
      <c r="H513" s="149">
        <v>6813</v>
      </c>
      <c r="I513" s="151">
        <v>1291</v>
      </c>
      <c r="J513" s="153">
        <f t="shared" si="46"/>
        <v>71.72222222222223</v>
      </c>
      <c r="K513" s="155">
        <f t="shared" si="47"/>
        <v>5.277304415182029</v>
      </c>
      <c r="L513" s="157">
        <v>19804592.25</v>
      </c>
      <c r="M513" s="158">
        <v>2434442</v>
      </c>
      <c r="N513" s="266">
        <f>IF(L513&lt;&gt;0,L513/M513,"")</f>
        <v>8.135167011578012</v>
      </c>
      <c r="O513" s="301">
        <v>1</v>
      </c>
    </row>
    <row r="514" spans="1:15" ht="15">
      <c r="A514" s="39">
        <v>511</v>
      </c>
      <c r="B514" s="265" t="s">
        <v>357</v>
      </c>
      <c r="C514" s="31">
        <v>40102</v>
      </c>
      <c r="D514" s="27" t="s">
        <v>101</v>
      </c>
      <c r="E514" s="229">
        <v>319</v>
      </c>
      <c r="F514" s="229">
        <v>2</v>
      </c>
      <c r="G514" s="229">
        <v>35</v>
      </c>
      <c r="H514" s="161">
        <v>298</v>
      </c>
      <c r="I514" s="150">
        <v>57</v>
      </c>
      <c r="J514" s="152">
        <f t="shared" si="46"/>
        <v>28.5</v>
      </c>
      <c r="K514" s="154">
        <f t="shared" si="47"/>
        <v>5.228070175438597</v>
      </c>
      <c r="L514" s="156">
        <f>19811372.25+H514</f>
        <v>19811670.25</v>
      </c>
      <c r="M514" s="152">
        <f>2435756+I514</f>
        <v>2435813</v>
      </c>
      <c r="N514" s="267">
        <f>+L514/M514</f>
        <v>8.133493929952751</v>
      </c>
      <c r="O514" s="349">
        <v>1</v>
      </c>
    </row>
    <row r="515" spans="1:16" s="48" customFormat="1" ht="15">
      <c r="A515" s="39">
        <v>512</v>
      </c>
      <c r="B515" s="265" t="s">
        <v>384</v>
      </c>
      <c r="C515" s="31">
        <v>40102</v>
      </c>
      <c r="D515" s="27" t="s">
        <v>101</v>
      </c>
      <c r="E515" s="229">
        <v>319</v>
      </c>
      <c r="F515" s="229">
        <v>2</v>
      </c>
      <c r="G515" s="229">
        <v>33</v>
      </c>
      <c r="H515" s="161">
        <v>388</v>
      </c>
      <c r="I515" s="150">
        <v>76</v>
      </c>
      <c r="J515" s="152">
        <f t="shared" si="46"/>
        <v>38</v>
      </c>
      <c r="K515" s="154">
        <f t="shared" si="47"/>
        <v>5.105263157894737</v>
      </c>
      <c r="L515" s="156">
        <f>19810523.25+H515</f>
        <v>19810911.25</v>
      </c>
      <c r="M515" s="152">
        <f>2435591+I515</f>
        <v>2435667</v>
      </c>
      <c r="N515" s="267">
        <f>IF(L515&lt;&gt;0,L515/M515,"")</f>
        <v>8.133669853062836</v>
      </c>
      <c r="O515" s="344">
        <v>1</v>
      </c>
      <c r="P515" s="51"/>
    </row>
    <row r="516" spans="1:16" s="48" customFormat="1" ht="15">
      <c r="A516" s="39">
        <v>513</v>
      </c>
      <c r="B516" s="268" t="s">
        <v>357</v>
      </c>
      <c r="C516" s="31">
        <v>40102</v>
      </c>
      <c r="D516" s="27" t="s">
        <v>101</v>
      </c>
      <c r="E516" s="229">
        <v>319</v>
      </c>
      <c r="F516" s="229">
        <v>4</v>
      </c>
      <c r="G516" s="229">
        <v>32</v>
      </c>
      <c r="H516" s="148">
        <v>5115</v>
      </c>
      <c r="I516" s="162">
        <v>1014</v>
      </c>
      <c r="J516" s="181">
        <f t="shared" si="46"/>
        <v>253.5</v>
      </c>
      <c r="K516" s="182">
        <f t="shared" si="47"/>
        <v>5.044378698224852</v>
      </c>
      <c r="L516" s="183">
        <v>19810523.25</v>
      </c>
      <c r="M516" s="181">
        <v>2435591</v>
      </c>
      <c r="N516" s="267">
        <f>IF(L516&lt;&gt;0,L516/M516,"")</f>
        <v>8.133764351239597</v>
      </c>
      <c r="O516" s="331">
        <v>1</v>
      </c>
      <c r="P516" s="51"/>
    </row>
    <row r="517" spans="1:16" s="48" customFormat="1" ht="15">
      <c r="A517" s="39">
        <v>514</v>
      </c>
      <c r="B517" s="265" t="s">
        <v>312</v>
      </c>
      <c r="C517" s="26">
        <v>40102</v>
      </c>
      <c r="D517" s="27" t="s">
        <v>101</v>
      </c>
      <c r="E517" s="55">
        <v>319</v>
      </c>
      <c r="F517" s="55">
        <v>106</v>
      </c>
      <c r="G517" s="55">
        <v>29</v>
      </c>
      <c r="H517" s="159">
        <v>22215.5</v>
      </c>
      <c r="I517" s="160">
        <v>3162</v>
      </c>
      <c r="J517" s="177">
        <f t="shared" si="46"/>
        <v>29.830188679245282</v>
      </c>
      <c r="K517" s="155">
        <f t="shared" si="47"/>
        <v>7.025774826059456</v>
      </c>
      <c r="L517" s="178">
        <v>19797779.25</v>
      </c>
      <c r="M517" s="179">
        <v>2433151</v>
      </c>
      <c r="N517" s="266">
        <f>IF(L517&lt;&gt;0,L517/M517,"")</f>
        <v>8.136683358328357</v>
      </c>
      <c r="O517" s="349">
        <v>1</v>
      </c>
      <c r="P517" s="51"/>
    </row>
    <row r="518" spans="1:16" s="48" customFormat="1" ht="15">
      <c r="A518" s="39">
        <v>515</v>
      </c>
      <c r="B518" s="275" t="s">
        <v>86</v>
      </c>
      <c r="C518" s="46">
        <v>40102</v>
      </c>
      <c r="D518" s="47" t="s">
        <v>154</v>
      </c>
      <c r="E518" s="54">
        <v>319</v>
      </c>
      <c r="F518" s="54">
        <v>3</v>
      </c>
      <c r="G518" s="54">
        <v>22</v>
      </c>
      <c r="H518" s="163">
        <v>12872</v>
      </c>
      <c r="I518" s="164">
        <v>2574</v>
      </c>
      <c r="J518" s="181">
        <f>I518/F518</f>
        <v>858</v>
      </c>
      <c r="K518" s="182">
        <f>H518/I518</f>
        <v>5.000777000777001</v>
      </c>
      <c r="L518" s="183">
        <v>19767007.75</v>
      </c>
      <c r="M518" s="181">
        <v>2428120</v>
      </c>
      <c r="N518" s="267">
        <f>+L519/M519</f>
        <v>8.151244707920165</v>
      </c>
      <c r="O518" s="349">
        <v>1</v>
      </c>
      <c r="P518" s="51"/>
    </row>
    <row r="519" spans="1:16" s="48" customFormat="1" ht="15">
      <c r="A519" s="39">
        <v>516</v>
      </c>
      <c r="B519" s="265" t="s">
        <v>86</v>
      </c>
      <c r="C519" s="26">
        <v>40102</v>
      </c>
      <c r="D519" s="30" t="s">
        <v>154</v>
      </c>
      <c r="E519" s="55">
        <v>319</v>
      </c>
      <c r="F519" s="55">
        <v>13</v>
      </c>
      <c r="G519" s="55">
        <v>12</v>
      </c>
      <c r="H519" s="166">
        <v>6659</v>
      </c>
      <c r="I519" s="168">
        <v>990</v>
      </c>
      <c r="J519" s="187">
        <f>IF(H519&lt;&gt;0,I519/F519,"")</f>
        <v>76.15384615384616</v>
      </c>
      <c r="K519" s="185">
        <f>IF(H519&lt;&gt;0,H519/I519,"")</f>
        <v>6.726262626262626</v>
      </c>
      <c r="L519" s="186">
        <v>19727039.25</v>
      </c>
      <c r="M519" s="181">
        <v>2420126</v>
      </c>
      <c r="N519" s="267">
        <f>+L520/M520</f>
        <v>8.145321986420493</v>
      </c>
      <c r="O519" s="331">
        <v>1</v>
      </c>
      <c r="P519" s="51"/>
    </row>
    <row r="520" spans="1:16" s="48" customFormat="1" ht="15">
      <c r="A520" s="39">
        <v>517</v>
      </c>
      <c r="B520" s="268" t="s">
        <v>86</v>
      </c>
      <c r="C520" s="31">
        <v>40102</v>
      </c>
      <c r="D520" s="28" t="s">
        <v>154</v>
      </c>
      <c r="E520" s="56">
        <v>319</v>
      </c>
      <c r="F520" s="56">
        <v>3</v>
      </c>
      <c r="G520" s="56">
        <v>19</v>
      </c>
      <c r="H520" s="148">
        <v>5750</v>
      </c>
      <c r="I520" s="162">
        <v>1314</v>
      </c>
      <c r="J520" s="181">
        <f>I520/F520</f>
        <v>438</v>
      </c>
      <c r="K520" s="182">
        <f>H520/I520</f>
        <v>4.375951293759513</v>
      </c>
      <c r="L520" s="183">
        <v>19749823.75</v>
      </c>
      <c r="M520" s="181">
        <v>2424683</v>
      </c>
      <c r="N520" s="266">
        <f>IF(L521&lt;&gt;0,L521/M521,"")</f>
        <v>8.148806980343684</v>
      </c>
      <c r="O520" s="303">
        <v>1</v>
      </c>
      <c r="P520" s="51"/>
    </row>
    <row r="521" spans="1:16" s="48" customFormat="1" ht="15">
      <c r="A521" s="39">
        <v>518</v>
      </c>
      <c r="B521" s="268" t="s">
        <v>86</v>
      </c>
      <c r="C521" s="31">
        <v>40102</v>
      </c>
      <c r="D521" s="33" t="s">
        <v>154</v>
      </c>
      <c r="E521" s="56">
        <v>319</v>
      </c>
      <c r="F521" s="56">
        <v>4</v>
      </c>
      <c r="G521" s="56">
        <v>15</v>
      </c>
      <c r="H521" s="149">
        <v>5067</v>
      </c>
      <c r="I521" s="151">
        <v>1028</v>
      </c>
      <c r="J521" s="153">
        <f>IF(H521&lt;&gt;0,I521/F521,"")</f>
        <v>257</v>
      </c>
      <c r="K521" s="155">
        <f>IF(H521&lt;&gt;0,H521/I521,"")</f>
        <v>4.928988326848249</v>
      </c>
      <c r="L521" s="157">
        <v>19737820.25</v>
      </c>
      <c r="M521" s="158">
        <v>2422173</v>
      </c>
      <c r="N521" s="272">
        <f>IF(L522&lt;&gt;0,L522/M522,"")</f>
        <v>8.15017409118413</v>
      </c>
      <c r="O521" s="302"/>
      <c r="P521" s="51"/>
    </row>
    <row r="522" spans="1:16" s="49" customFormat="1" ht="15">
      <c r="A522" s="39">
        <v>519</v>
      </c>
      <c r="B522" s="265" t="s">
        <v>6</v>
      </c>
      <c r="C522" s="26">
        <v>40102</v>
      </c>
      <c r="D522" s="28" t="s">
        <v>154</v>
      </c>
      <c r="E522" s="55">
        <v>319</v>
      </c>
      <c r="F522" s="55">
        <v>6</v>
      </c>
      <c r="G522" s="55">
        <v>14</v>
      </c>
      <c r="H522" s="166">
        <v>3814</v>
      </c>
      <c r="I522" s="167">
        <v>755</v>
      </c>
      <c r="J522" s="184">
        <f>IF(H522&lt;&gt;0,I522/F522,"")</f>
        <v>125.83333333333333</v>
      </c>
      <c r="K522" s="185">
        <f>IF(H522&lt;&gt;0,H522/I522,"")</f>
        <v>5.051655629139073</v>
      </c>
      <c r="L522" s="186">
        <v>19732753.25</v>
      </c>
      <c r="M522" s="152">
        <v>2421145</v>
      </c>
      <c r="N522" s="267">
        <f>+L523/M523</f>
        <v>8.144201656039506</v>
      </c>
      <c r="O522" s="303"/>
      <c r="P522" s="52"/>
    </row>
    <row r="523" spans="1:16" s="48" customFormat="1" ht="15">
      <c r="A523" s="39">
        <v>520</v>
      </c>
      <c r="B523" s="268" t="s">
        <v>86</v>
      </c>
      <c r="C523" s="46">
        <v>40102</v>
      </c>
      <c r="D523" s="47" t="s">
        <v>154</v>
      </c>
      <c r="E523" s="54">
        <v>319</v>
      </c>
      <c r="F523" s="54">
        <v>1</v>
      </c>
      <c r="G523" s="54">
        <v>21</v>
      </c>
      <c r="H523" s="163">
        <v>3564</v>
      </c>
      <c r="I523" s="164">
        <v>713</v>
      </c>
      <c r="J523" s="181">
        <f>IF(H523&lt;&gt;0,I523/F523,"")</f>
        <v>713</v>
      </c>
      <c r="K523" s="182">
        <f>H523/I523</f>
        <v>4.998597475455821</v>
      </c>
      <c r="L523" s="183">
        <v>19754135.75</v>
      </c>
      <c r="M523" s="181">
        <v>2425546</v>
      </c>
      <c r="N523" s="267">
        <f>IF(L524&lt;&gt;0,L524/M524,"")</f>
        <v>8.147355113056074</v>
      </c>
      <c r="O523" s="319">
        <v>1</v>
      </c>
      <c r="P523" s="51"/>
    </row>
    <row r="524" spans="1:16" s="50" customFormat="1" ht="15">
      <c r="A524" s="39">
        <v>521</v>
      </c>
      <c r="B524" s="268" t="s">
        <v>86</v>
      </c>
      <c r="C524" s="31">
        <v>40102</v>
      </c>
      <c r="D524" s="28" t="s">
        <v>154</v>
      </c>
      <c r="E524" s="56">
        <v>319</v>
      </c>
      <c r="F524" s="56">
        <v>3</v>
      </c>
      <c r="G524" s="56">
        <v>17</v>
      </c>
      <c r="H524" s="161">
        <v>3454.5</v>
      </c>
      <c r="I524" s="150">
        <v>766</v>
      </c>
      <c r="J524" s="152">
        <f>I524/F524</f>
        <v>255.33333333333334</v>
      </c>
      <c r="K524" s="154">
        <f>+H524/I524</f>
        <v>4.509791122715405</v>
      </c>
      <c r="L524" s="156">
        <v>19743933.75</v>
      </c>
      <c r="M524" s="152">
        <v>2423355</v>
      </c>
      <c r="N524" s="267">
        <f>L525/M525</f>
        <v>8.14850527679272</v>
      </c>
      <c r="O524" s="303">
        <v>1</v>
      </c>
      <c r="P524" s="53"/>
    </row>
    <row r="525" spans="1:16" s="49" customFormat="1" ht="15">
      <c r="A525" s="39">
        <v>522</v>
      </c>
      <c r="B525" s="268" t="s">
        <v>86</v>
      </c>
      <c r="C525" s="31">
        <v>40102</v>
      </c>
      <c r="D525" s="28" t="s">
        <v>154</v>
      </c>
      <c r="E525" s="56">
        <v>319</v>
      </c>
      <c r="F525" s="56">
        <v>2</v>
      </c>
      <c r="G525" s="56">
        <v>16</v>
      </c>
      <c r="H525" s="161">
        <v>2659</v>
      </c>
      <c r="I525" s="150">
        <v>416</v>
      </c>
      <c r="J525" s="152">
        <f>I525/F525</f>
        <v>208</v>
      </c>
      <c r="K525" s="154">
        <f>H525/I525</f>
        <v>6.391826923076923</v>
      </c>
      <c r="L525" s="156">
        <v>19740479.25</v>
      </c>
      <c r="M525" s="152">
        <v>2422589</v>
      </c>
      <c r="N525" s="272">
        <f>IF(L526&lt;&gt;0,L526/M526,"")</f>
        <v>8.140193412535313</v>
      </c>
      <c r="O525" s="303">
        <v>1</v>
      </c>
      <c r="P525" s="52"/>
    </row>
    <row r="526" spans="1:16" s="48" customFormat="1" ht="15">
      <c r="A526" s="39">
        <v>523</v>
      </c>
      <c r="B526" s="275" t="s">
        <v>86</v>
      </c>
      <c r="C526" s="31">
        <v>40102</v>
      </c>
      <c r="D526" s="47" t="s">
        <v>154</v>
      </c>
      <c r="E526" s="54">
        <v>319</v>
      </c>
      <c r="F526" s="54">
        <v>1</v>
      </c>
      <c r="G526" s="54">
        <v>25</v>
      </c>
      <c r="H526" s="163">
        <v>2376</v>
      </c>
      <c r="I526" s="164">
        <v>475</v>
      </c>
      <c r="J526" s="181">
        <f>I526/F526</f>
        <v>475</v>
      </c>
      <c r="K526" s="182">
        <f>H526/I526</f>
        <v>5.002105263157895</v>
      </c>
      <c r="L526" s="183">
        <v>19769623.75</v>
      </c>
      <c r="M526" s="181">
        <v>2428643</v>
      </c>
      <c r="N526" s="270">
        <f>+L526/M526</f>
        <v>8.140193412535313</v>
      </c>
      <c r="O526" s="303">
        <v>1</v>
      </c>
      <c r="P526" s="51"/>
    </row>
    <row r="527" spans="1:16" s="48" customFormat="1" ht="15">
      <c r="A527" s="39">
        <v>524</v>
      </c>
      <c r="B527" s="265" t="s">
        <v>86</v>
      </c>
      <c r="C527" s="31">
        <v>40102</v>
      </c>
      <c r="D527" s="47" t="s">
        <v>154</v>
      </c>
      <c r="E527" s="54">
        <v>319</v>
      </c>
      <c r="F527" s="54">
        <v>1</v>
      </c>
      <c r="G527" s="54">
        <v>27</v>
      </c>
      <c r="H527" s="163">
        <v>2376</v>
      </c>
      <c r="I527" s="165">
        <v>475</v>
      </c>
      <c r="J527" s="152">
        <f>IF(H527&lt;&gt;0,I527/F527,"")</f>
        <v>475</v>
      </c>
      <c r="K527" s="154">
        <f>IF(H527&lt;&gt;0,H527/I527,"")</f>
        <v>5.002105263157895</v>
      </c>
      <c r="L527" s="156">
        <v>19773187.75</v>
      </c>
      <c r="M527" s="152">
        <v>2429514</v>
      </c>
      <c r="N527" s="267">
        <f>IF(L527&lt;&gt;0,L527/M527,"")</f>
        <v>8.138742048821287</v>
      </c>
      <c r="O527" s="320">
        <v>1</v>
      </c>
      <c r="P527" s="51"/>
    </row>
    <row r="528" spans="1:16" s="48" customFormat="1" ht="15">
      <c r="A528" s="39">
        <v>525</v>
      </c>
      <c r="B528" s="265" t="s">
        <v>86</v>
      </c>
      <c r="C528" s="26">
        <v>40102</v>
      </c>
      <c r="D528" s="27" t="s">
        <v>154</v>
      </c>
      <c r="E528" s="55">
        <v>319</v>
      </c>
      <c r="F528" s="55">
        <v>1</v>
      </c>
      <c r="G528" s="55">
        <v>28</v>
      </c>
      <c r="H528" s="159">
        <v>2376</v>
      </c>
      <c r="I528" s="160">
        <v>475</v>
      </c>
      <c r="J528" s="177">
        <f>I528/F528</f>
        <v>475</v>
      </c>
      <c r="K528" s="180">
        <f>H528/I528</f>
        <v>5.002105263157895</v>
      </c>
      <c r="L528" s="178">
        <v>19775563.75</v>
      </c>
      <c r="M528" s="179">
        <v>2429989</v>
      </c>
      <c r="N528" s="266">
        <f>+L528/M528</f>
        <v>8.138128917456005</v>
      </c>
      <c r="O528" s="303">
        <v>1</v>
      </c>
      <c r="P528" s="51"/>
    </row>
    <row r="529" spans="1:16" s="49" customFormat="1" ht="15">
      <c r="A529" s="39">
        <v>526</v>
      </c>
      <c r="B529" s="265" t="s">
        <v>86</v>
      </c>
      <c r="C529" s="26">
        <v>40102</v>
      </c>
      <c r="D529" s="28" t="s">
        <v>154</v>
      </c>
      <c r="E529" s="55">
        <v>319</v>
      </c>
      <c r="F529" s="55">
        <v>7</v>
      </c>
      <c r="G529" s="55">
        <v>13</v>
      </c>
      <c r="H529" s="166">
        <v>1900</v>
      </c>
      <c r="I529" s="168">
        <v>264</v>
      </c>
      <c r="J529" s="187">
        <f>IF(H529&lt;&gt;0,I529/F529,"")</f>
        <v>37.714285714285715</v>
      </c>
      <c r="K529" s="188">
        <f>IF(H529&lt;&gt;0,H529/I529,"")</f>
        <v>7.196969696969697</v>
      </c>
      <c r="L529" s="186">
        <v>19728939.25</v>
      </c>
      <c r="M529" s="181">
        <v>2420390</v>
      </c>
      <c r="N529" s="267">
        <f>+L530/M530</f>
        <v>8.139355419982964</v>
      </c>
      <c r="O529" s="303">
        <v>1</v>
      </c>
      <c r="P529" s="52"/>
    </row>
    <row r="530" spans="1:16" s="50" customFormat="1" ht="15">
      <c r="A530" s="39">
        <v>527</v>
      </c>
      <c r="B530" s="265" t="s">
        <v>86</v>
      </c>
      <c r="C530" s="31">
        <v>40102</v>
      </c>
      <c r="D530" s="47" t="s">
        <v>154</v>
      </c>
      <c r="E530" s="54">
        <v>319</v>
      </c>
      <c r="F530" s="54">
        <v>1</v>
      </c>
      <c r="G530" s="54">
        <v>26</v>
      </c>
      <c r="H530" s="163">
        <v>1188</v>
      </c>
      <c r="I530" s="164">
        <v>396</v>
      </c>
      <c r="J530" s="181">
        <f>I530/F530</f>
        <v>396</v>
      </c>
      <c r="K530" s="182">
        <f>+H530/I530</f>
        <v>3</v>
      </c>
      <c r="L530" s="183">
        <v>19770811.75</v>
      </c>
      <c r="M530" s="181">
        <v>2429039</v>
      </c>
      <c r="N530" s="270">
        <f>+L530/M530</f>
        <v>8.139355419982964</v>
      </c>
      <c r="O530" s="303">
        <v>1</v>
      </c>
      <c r="P530" s="53"/>
    </row>
    <row r="531" spans="1:16" s="48" customFormat="1" ht="15">
      <c r="A531" s="39">
        <v>528</v>
      </c>
      <c r="B531" s="268" t="s">
        <v>86</v>
      </c>
      <c r="C531" s="46">
        <v>40102</v>
      </c>
      <c r="D531" s="28" t="s">
        <v>154</v>
      </c>
      <c r="E531" s="54">
        <v>319</v>
      </c>
      <c r="F531" s="54">
        <v>1</v>
      </c>
      <c r="G531" s="54">
        <v>20</v>
      </c>
      <c r="H531" s="163">
        <v>748</v>
      </c>
      <c r="I531" s="164">
        <v>150</v>
      </c>
      <c r="J531" s="181">
        <f>I531/F531</f>
        <v>150</v>
      </c>
      <c r="K531" s="182">
        <f>H531/I531</f>
        <v>4.986666666666666</v>
      </c>
      <c r="L531" s="183">
        <v>19750571.75</v>
      </c>
      <c r="M531" s="181">
        <v>2424833</v>
      </c>
      <c r="N531" s="267">
        <f>IF(L532&lt;&gt;0,L532/M532,"")</f>
        <v>8.140830570599016</v>
      </c>
      <c r="O531" s="305">
        <v>1</v>
      </c>
      <c r="P531" s="51"/>
    </row>
    <row r="532" spans="1:16" s="48" customFormat="1" ht="15">
      <c r="A532" s="39">
        <v>529</v>
      </c>
      <c r="B532" s="275" t="s">
        <v>86</v>
      </c>
      <c r="C532" s="46">
        <v>40102</v>
      </c>
      <c r="D532" s="47" t="s">
        <v>154</v>
      </c>
      <c r="E532" s="54">
        <v>319</v>
      </c>
      <c r="F532" s="54">
        <v>1</v>
      </c>
      <c r="G532" s="54">
        <v>23</v>
      </c>
      <c r="H532" s="163">
        <v>150</v>
      </c>
      <c r="I532" s="164">
        <v>30</v>
      </c>
      <c r="J532" s="181">
        <f>I532/F532</f>
        <v>30</v>
      </c>
      <c r="K532" s="182">
        <f>H532/I532</f>
        <v>5</v>
      </c>
      <c r="L532" s="183">
        <v>19767157.75</v>
      </c>
      <c r="M532" s="181">
        <v>2428150</v>
      </c>
      <c r="N532" s="266">
        <f>IF(L533&lt;&gt;0,L533/M533,"")</f>
        <v>8.147365815936409</v>
      </c>
      <c r="O532" s="312">
        <v>1</v>
      </c>
      <c r="P532" s="51"/>
    </row>
    <row r="533" spans="1:16" s="48" customFormat="1" ht="15">
      <c r="A533" s="39">
        <v>530</v>
      </c>
      <c r="B533" s="268" t="s">
        <v>86</v>
      </c>
      <c r="C533" s="31">
        <v>40102</v>
      </c>
      <c r="D533" s="28" t="s">
        <v>154</v>
      </c>
      <c r="E533" s="56">
        <v>319</v>
      </c>
      <c r="F533" s="56">
        <v>1</v>
      </c>
      <c r="G533" s="56">
        <v>18</v>
      </c>
      <c r="H533" s="148">
        <v>140</v>
      </c>
      <c r="I533" s="162">
        <v>14</v>
      </c>
      <c r="J533" s="181">
        <f>IF(H533&lt;&gt;0,I533/F533,"")</f>
        <v>14</v>
      </c>
      <c r="K533" s="182">
        <f>IF(H533&lt;&gt;0,H533/I533,"")</f>
        <v>10</v>
      </c>
      <c r="L533" s="183">
        <v>19744073.75</v>
      </c>
      <c r="M533" s="181">
        <v>2423369</v>
      </c>
      <c r="N533" s="267">
        <f>+L534/M534</f>
        <v>8.140809874613186</v>
      </c>
      <c r="O533" s="303">
        <v>1</v>
      </c>
      <c r="P533" s="51"/>
    </row>
    <row r="534" spans="1:15" ht="15">
      <c r="A534" s="39">
        <v>531</v>
      </c>
      <c r="B534" s="265" t="s">
        <v>86</v>
      </c>
      <c r="C534" s="26">
        <v>40102</v>
      </c>
      <c r="D534" s="29" t="s">
        <v>154</v>
      </c>
      <c r="E534" s="55">
        <v>319</v>
      </c>
      <c r="F534" s="55">
        <v>1</v>
      </c>
      <c r="G534" s="55">
        <v>24</v>
      </c>
      <c r="H534" s="159">
        <v>80</v>
      </c>
      <c r="I534" s="151">
        <v>16</v>
      </c>
      <c r="J534" s="153">
        <f>IF(H534&lt;&gt;0,I534/F534,"")</f>
        <v>16</v>
      </c>
      <c r="K534" s="155">
        <f>IF(H534&lt;&gt;0,H534/I534,"")</f>
        <v>5</v>
      </c>
      <c r="L534" s="178">
        <v>19767237.75</v>
      </c>
      <c r="M534" s="158">
        <v>2428166</v>
      </c>
      <c r="N534" s="274">
        <f>+L535/M535</f>
        <v>8.625511347627889</v>
      </c>
      <c r="O534" s="303">
        <v>1</v>
      </c>
    </row>
    <row r="535" spans="1:15" ht="15">
      <c r="A535" s="39">
        <v>532</v>
      </c>
      <c r="B535" s="273" t="s">
        <v>1</v>
      </c>
      <c r="C535" s="26">
        <v>40144</v>
      </c>
      <c r="D535" s="28" t="s">
        <v>243</v>
      </c>
      <c r="E535" s="58">
        <v>258</v>
      </c>
      <c r="F535" s="58">
        <v>176</v>
      </c>
      <c r="G535" s="58">
        <v>6</v>
      </c>
      <c r="H535" s="169">
        <v>225694.5</v>
      </c>
      <c r="I535" s="170">
        <v>35788</v>
      </c>
      <c r="J535" s="189">
        <f>I535/F535</f>
        <v>203.3409090909091</v>
      </c>
      <c r="K535" s="190">
        <f>H535/I535</f>
        <v>6.306429529451212</v>
      </c>
      <c r="L535" s="191">
        <v>9551615.25</v>
      </c>
      <c r="M535" s="192">
        <v>1107368</v>
      </c>
      <c r="N535" s="272">
        <f>IF(L536&lt;&gt;0,L536/M536,"")</f>
        <v>8.60634048334202</v>
      </c>
      <c r="O535" s="303">
        <v>1</v>
      </c>
    </row>
    <row r="536" spans="1:15" ht="15">
      <c r="A536" s="39">
        <v>533</v>
      </c>
      <c r="B536" s="273" t="s">
        <v>68</v>
      </c>
      <c r="C536" s="26">
        <v>40144</v>
      </c>
      <c r="D536" s="28" t="s">
        <v>243</v>
      </c>
      <c r="E536" s="58">
        <v>258</v>
      </c>
      <c r="F536" s="58">
        <v>55</v>
      </c>
      <c r="G536" s="58">
        <v>7</v>
      </c>
      <c r="H536" s="169">
        <v>58586</v>
      </c>
      <c r="I536" s="170">
        <v>9274</v>
      </c>
      <c r="J536" s="189">
        <f>I536/F536</f>
        <v>168.61818181818182</v>
      </c>
      <c r="K536" s="193">
        <f>H536/I536</f>
        <v>6.317230968298468</v>
      </c>
      <c r="L536" s="191">
        <v>9610201.25</v>
      </c>
      <c r="M536" s="192">
        <v>1116642</v>
      </c>
      <c r="N536" s="272">
        <f>IF(L537&lt;&gt;0,L537/M537,"")</f>
        <v>8.59450453332668</v>
      </c>
      <c r="O536" s="301">
        <v>1</v>
      </c>
    </row>
    <row r="537" spans="1:15" ht="15">
      <c r="A537" s="39">
        <v>534</v>
      </c>
      <c r="B537" s="273" t="s">
        <v>1</v>
      </c>
      <c r="C537" s="26">
        <v>40144</v>
      </c>
      <c r="D537" s="28" t="s">
        <v>243</v>
      </c>
      <c r="E537" s="58">
        <v>258</v>
      </c>
      <c r="F537" s="58">
        <v>27</v>
      </c>
      <c r="G537" s="58">
        <v>8</v>
      </c>
      <c r="H537" s="169">
        <v>33984.5</v>
      </c>
      <c r="I537" s="171">
        <v>5492</v>
      </c>
      <c r="J537" s="194">
        <f>I537/F537</f>
        <v>203.40740740740742</v>
      </c>
      <c r="K537" s="190">
        <f>H537/I537</f>
        <v>6.18800072833212</v>
      </c>
      <c r="L537" s="191">
        <v>9644185.75</v>
      </c>
      <c r="M537" s="195">
        <v>1122134</v>
      </c>
      <c r="N537" s="266">
        <f>+L538/M538</f>
        <v>8.586948196986127</v>
      </c>
      <c r="O537" s="303">
        <v>1</v>
      </c>
    </row>
    <row r="538" spans="1:15" ht="15">
      <c r="A538" s="39">
        <v>535</v>
      </c>
      <c r="B538" s="268" t="s">
        <v>1</v>
      </c>
      <c r="C538" s="31">
        <v>40144</v>
      </c>
      <c r="D538" s="28" t="s">
        <v>243</v>
      </c>
      <c r="E538" s="56">
        <v>258</v>
      </c>
      <c r="F538" s="56">
        <v>13</v>
      </c>
      <c r="G538" s="56">
        <v>9</v>
      </c>
      <c r="H538" s="161">
        <v>9270</v>
      </c>
      <c r="I538" s="150">
        <v>2067</v>
      </c>
      <c r="J538" s="153">
        <f>I538/F538</f>
        <v>159</v>
      </c>
      <c r="K538" s="155">
        <f>H538/I538</f>
        <v>4.484760522496371</v>
      </c>
      <c r="L538" s="156">
        <v>9653455.75</v>
      </c>
      <c r="M538" s="152">
        <v>1124201</v>
      </c>
      <c r="N538" s="267">
        <f>L539/M539</f>
        <v>8.584887040676378</v>
      </c>
      <c r="O538" s="303">
        <v>1</v>
      </c>
    </row>
    <row r="539" spans="1:15" ht="15">
      <c r="A539" s="39">
        <v>536</v>
      </c>
      <c r="B539" s="268" t="s">
        <v>1</v>
      </c>
      <c r="C539" s="31">
        <v>40144</v>
      </c>
      <c r="D539" s="28" t="s">
        <v>243</v>
      </c>
      <c r="E539" s="56">
        <v>258</v>
      </c>
      <c r="F539" s="56">
        <v>7</v>
      </c>
      <c r="G539" s="56">
        <v>9</v>
      </c>
      <c r="H539" s="161">
        <v>4980</v>
      </c>
      <c r="I539" s="150">
        <v>850</v>
      </c>
      <c r="J539" s="152">
        <f>I539/F539</f>
        <v>121.42857142857143</v>
      </c>
      <c r="K539" s="154">
        <f>H539/I539</f>
        <v>5.858823529411764</v>
      </c>
      <c r="L539" s="156">
        <v>9658435.75</v>
      </c>
      <c r="M539" s="152">
        <v>1125051</v>
      </c>
      <c r="N539" s="267">
        <f>L540/M540</f>
        <v>8.584972996655798</v>
      </c>
      <c r="O539" s="303">
        <v>1</v>
      </c>
    </row>
    <row r="540" spans="1:15" ht="15">
      <c r="A540" s="39">
        <v>537</v>
      </c>
      <c r="B540" s="268" t="s">
        <v>1</v>
      </c>
      <c r="C540" s="31">
        <v>40144</v>
      </c>
      <c r="D540" s="28" t="s">
        <v>243</v>
      </c>
      <c r="E540" s="56">
        <v>258</v>
      </c>
      <c r="F540" s="56">
        <v>5</v>
      </c>
      <c r="G540" s="56">
        <v>11</v>
      </c>
      <c r="H540" s="161">
        <v>1642</v>
      </c>
      <c r="I540" s="150">
        <v>180</v>
      </c>
      <c r="J540" s="152">
        <f>(I540/F540)</f>
        <v>36</v>
      </c>
      <c r="K540" s="154">
        <f>(J540/G540)</f>
        <v>3.272727272727273</v>
      </c>
      <c r="L540" s="156">
        <v>9660077.75</v>
      </c>
      <c r="M540" s="152">
        <v>1125231</v>
      </c>
      <c r="N540" s="267">
        <f>+L541/M541</f>
        <v>8.583208214989147</v>
      </c>
      <c r="O540" s="303">
        <v>1</v>
      </c>
    </row>
    <row r="541" spans="1:15" ht="15">
      <c r="A541" s="39">
        <v>538</v>
      </c>
      <c r="B541" s="268" t="s">
        <v>1</v>
      </c>
      <c r="C541" s="31">
        <v>40144</v>
      </c>
      <c r="D541" s="28" t="s">
        <v>243</v>
      </c>
      <c r="E541" s="54">
        <v>258</v>
      </c>
      <c r="F541" s="54">
        <v>1</v>
      </c>
      <c r="G541" s="54">
        <v>13</v>
      </c>
      <c r="H541" s="163">
        <v>1190</v>
      </c>
      <c r="I541" s="164">
        <v>370</v>
      </c>
      <c r="J541" s="181">
        <f>I541/F541</f>
        <v>370</v>
      </c>
      <c r="K541" s="182">
        <f aca="true" t="shared" si="48" ref="K541:K553">H541/I541</f>
        <v>3.2162162162162162</v>
      </c>
      <c r="L541" s="183">
        <v>9661267.75</v>
      </c>
      <c r="M541" s="181">
        <v>1125601</v>
      </c>
      <c r="N541" s="266">
        <f>L542/M542</f>
        <v>7.406269572025052</v>
      </c>
      <c r="O541" s="303">
        <v>1</v>
      </c>
    </row>
    <row r="542" spans="1:15" ht="15">
      <c r="A542" s="39">
        <v>539</v>
      </c>
      <c r="B542" s="268" t="s">
        <v>196</v>
      </c>
      <c r="C542" s="46">
        <v>39955</v>
      </c>
      <c r="D542" s="32" t="s">
        <v>242</v>
      </c>
      <c r="E542" s="54">
        <v>88</v>
      </c>
      <c r="F542" s="54">
        <v>1</v>
      </c>
      <c r="G542" s="54">
        <v>27</v>
      </c>
      <c r="H542" s="163">
        <v>43620</v>
      </c>
      <c r="I542" s="164">
        <v>10905</v>
      </c>
      <c r="J542" s="181">
        <f>I542/F542</f>
        <v>10905</v>
      </c>
      <c r="K542" s="182">
        <f t="shared" si="48"/>
        <v>4</v>
      </c>
      <c r="L542" s="183">
        <f>253985.25+197941+176827+129137.25+73306.5+36496.5+20735+12653+3137+3974+3108+6704.75+3312+1885+643+108556.75+31027+8660.5+1196.5+2137+5262+2140+4040+1780+1188+1780+43620</f>
        <v>1135233</v>
      </c>
      <c r="M542" s="181">
        <f>26929+21325+23241+17550+10624+6388+4049+2644+577+882+663+1354+764+460+116+14641+4967+986+117+181+1185+535+1010+445+297+445+10905</f>
        <v>153280</v>
      </c>
      <c r="N542" s="267">
        <f>L543/M543</f>
        <v>7.66716769095698</v>
      </c>
      <c r="O542" s="303">
        <v>1</v>
      </c>
    </row>
    <row r="543" spans="1:15" ht="15">
      <c r="A543" s="39">
        <v>540</v>
      </c>
      <c r="B543" s="268" t="s">
        <v>196</v>
      </c>
      <c r="C543" s="46">
        <v>39955</v>
      </c>
      <c r="D543" s="32" t="s">
        <v>242</v>
      </c>
      <c r="E543" s="54">
        <v>88</v>
      </c>
      <c r="F543" s="54">
        <v>1</v>
      </c>
      <c r="G543" s="54">
        <v>26</v>
      </c>
      <c r="H543" s="163">
        <v>1780</v>
      </c>
      <c r="I543" s="164">
        <v>445</v>
      </c>
      <c r="J543" s="181">
        <f>I543/F543</f>
        <v>445</v>
      </c>
      <c r="K543" s="182">
        <f t="shared" si="48"/>
        <v>4</v>
      </c>
      <c r="L543" s="183">
        <f>253985.25+197941+176827+129137.25+73306.5+36496.5+20735+12653+3137+3974+3108+6704.75+3312+1885+643+108556.75+31027+8660.5+1196.5+2137+5262+2140+4040+1780+1188+1780</f>
        <v>1091613</v>
      </c>
      <c r="M543" s="181">
        <f>26929+21325+23241+17550+10624+6388+4049+2644+577+882+663+1354+764+460+116+14641+4967+986+117+181+1185+535+1010+445+297+445</f>
        <v>142375</v>
      </c>
      <c r="N543" s="267">
        <f>+L544/M544</f>
        <v>7.678665539350384</v>
      </c>
      <c r="O543" s="303">
        <v>1</v>
      </c>
    </row>
    <row r="544" spans="1:15" ht="15">
      <c r="A544" s="39">
        <v>541</v>
      </c>
      <c r="B544" s="268" t="s">
        <v>196</v>
      </c>
      <c r="C544" s="31">
        <v>39955</v>
      </c>
      <c r="D544" s="32" t="s">
        <v>242</v>
      </c>
      <c r="E544" s="56">
        <v>88</v>
      </c>
      <c r="F544" s="56">
        <v>1</v>
      </c>
      <c r="G544" s="56">
        <v>25</v>
      </c>
      <c r="H544" s="149">
        <v>1188</v>
      </c>
      <c r="I544" s="151">
        <v>297</v>
      </c>
      <c r="J544" s="153">
        <f>(I544/F544)</f>
        <v>297</v>
      </c>
      <c r="K544" s="155">
        <f t="shared" si="48"/>
        <v>4</v>
      </c>
      <c r="L544" s="157">
        <f>253985.25+197941+176827+129137.25+73306.5+36496.5+20735+12653+3137+3974+3108+6704.75+3312+1885+643+108556.75+31027+8660.5+1196.5+2137+5262+2140+4040+1780+1188</f>
        <v>1089833</v>
      </c>
      <c r="M544" s="158">
        <f>26929+21325+23241+17550+10624+6388+4049+2644+577+882+663+1354+764+460+116+14641+4967+986+117+181+1185+535+1010+445+297</f>
        <v>141930</v>
      </c>
      <c r="N544" s="267">
        <f>+L545/M545</f>
        <v>7.299029119848959</v>
      </c>
      <c r="O544" s="303">
        <v>1</v>
      </c>
    </row>
    <row r="545" spans="1:15" ht="15">
      <c r="A545" s="39">
        <v>542</v>
      </c>
      <c r="B545" s="268" t="s">
        <v>73</v>
      </c>
      <c r="C545" s="46">
        <v>39864</v>
      </c>
      <c r="D545" s="32" t="s">
        <v>242</v>
      </c>
      <c r="E545" s="54">
        <v>55</v>
      </c>
      <c r="F545" s="54">
        <v>1</v>
      </c>
      <c r="G545" s="54">
        <v>26</v>
      </c>
      <c r="H545" s="163">
        <v>1780</v>
      </c>
      <c r="I545" s="164">
        <v>445</v>
      </c>
      <c r="J545" s="181">
        <f>(I545/F545)</f>
        <v>445</v>
      </c>
      <c r="K545" s="182">
        <f t="shared" si="48"/>
        <v>4</v>
      </c>
      <c r="L545" s="183">
        <f>190777.5+154065+60826.5+20820+23589+29712+19396.5+16102+12940+11034+3005+981+1140+40+98.25+284+1000+300+220+1211.5+155+156+63+1780+5228+1780</f>
        <v>556704.25</v>
      </c>
      <c r="M545" s="181">
        <f>20518+17650+7809+3283+4115+5826+3911+3770+2981+2505+653+199+194+8+18+60+100+75+44+292+22+22+19+445+1307+445</f>
        <v>76271</v>
      </c>
      <c r="N545" s="267">
        <f>+L546/M546</f>
        <v>7.2875045701452</v>
      </c>
      <c r="O545" s="302">
        <v>1</v>
      </c>
    </row>
    <row r="546" spans="1:15" ht="15">
      <c r="A546" s="39">
        <v>543</v>
      </c>
      <c r="B546" s="275" t="s">
        <v>73</v>
      </c>
      <c r="C546" s="31">
        <v>39864</v>
      </c>
      <c r="D546" s="32" t="s">
        <v>242</v>
      </c>
      <c r="E546" s="54">
        <v>55</v>
      </c>
      <c r="F546" s="54">
        <v>1</v>
      </c>
      <c r="G546" s="54">
        <v>28</v>
      </c>
      <c r="H546" s="163">
        <v>952</v>
      </c>
      <c r="I546" s="164">
        <v>238</v>
      </c>
      <c r="J546" s="181">
        <f>I546/F546</f>
        <v>238</v>
      </c>
      <c r="K546" s="182">
        <f t="shared" si="48"/>
        <v>4</v>
      </c>
      <c r="L546" s="183">
        <f>190777.5+154065+60826.5+20820+23589+29712+19396.5+16102+12940+11034+3005+981+1140+40+98.25+284+1000+300+220+1211.5+155+156+63+1780+5228+1780+450+952</f>
        <v>558106.25</v>
      </c>
      <c r="M546" s="181">
        <f>20518+17650+7809+3283+4115+5826+3911+3770+2981+2505+653+199+194+8+18+60+100+75+44+292+22+22+19+445+1307+445+75+238</f>
        <v>76584</v>
      </c>
      <c r="N546" s="270">
        <f>+L546/M546</f>
        <v>7.2875045701452</v>
      </c>
      <c r="O546" s="301">
        <v>1</v>
      </c>
    </row>
    <row r="547" spans="1:15" ht="15">
      <c r="A547" s="39">
        <v>544</v>
      </c>
      <c r="B547" s="275" t="s">
        <v>73</v>
      </c>
      <c r="C547" s="46">
        <v>39864</v>
      </c>
      <c r="D547" s="32" t="s">
        <v>242</v>
      </c>
      <c r="E547" s="54">
        <v>55</v>
      </c>
      <c r="F547" s="54">
        <v>1</v>
      </c>
      <c r="G547" s="54">
        <v>27</v>
      </c>
      <c r="H547" s="163">
        <v>450</v>
      </c>
      <c r="I547" s="164">
        <v>75</v>
      </c>
      <c r="J547" s="181">
        <f>I547/F547</f>
        <v>75</v>
      </c>
      <c r="K547" s="182">
        <f t="shared" si="48"/>
        <v>6</v>
      </c>
      <c r="L547" s="183">
        <f>190777.5+154065+60826.5+20820+23589+29712+19396.5+16102+12940+11034+3005+981+1140+40+98.25+284+1000+300+220+1211.5+155+156+63+1780+5228+1780+450</f>
        <v>557154.25</v>
      </c>
      <c r="M547" s="181">
        <f>20518+17650+7809+3283+4115+5826+3911+3770+2981+2505+653+199+194+8+18+60+100+75+44+292+22+22+19+445+1307+445+75</f>
        <v>76346</v>
      </c>
      <c r="N547" s="267">
        <f>+L548/M548</f>
        <v>7.286638690561654</v>
      </c>
      <c r="O547" s="303"/>
    </row>
    <row r="548" spans="1:15" ht="15">
      <c r="A548" s="39">
        <v>545</v>
      </c>
      <c r="B548" s="265" t="s">
        <v>73</v>
      </c>
      <c r="C548" s="26">
        <v>39864</v>
      </c>
      <c r="D548" s="27" t="s">
        <v>261</v>
      </c>
      <c r="E548" s="55">
        <v>55</v>
      </c>
      <c r="F548" s="55">
        <v>1</v>
      </c>
      <c r="G548" s="55">
        <v>29</v>
      </c>
      <c r="H548" s="159">
        <v>145</v>
      </c>
      <c r="I548" s="160">
        <v>29</v>
      </c>
      <c r="J548" s="177">
        <f>I548/F548</f>
        <v>29</v>
      </c>
      <c r="K548" s="155">
        <f t="shared" si="48"/>
        <v>5</v>
      </c>
      <c r="L548" s="178">
        <f>190777.5+154065+60826.5+20820+23589+29712+19396.5+16102+12940+11034+3005+981+1140+40+98.25+284+1000+300+220+1211.5+155+156+63+1780+5228+1780+450+952+145</f>
        <v>558251.25</v>
      </c>
      <c r="M548" s="179">
        <f>20518+17650+7809+3283+4115+5826+3911+3770+2981+2505+653+199+194+8+18+60+100+75+44+292+22+22+19+445+1307+445+75+238+29</f>
        <v>76613</v>
      </c>
      <c r="N548" s="266">
        <f>+L548/M548</f>
        <v>7.286638690561654</v>
      </c>
      <c r="O548" s="313"/>
    </row>
    <row r="549" spans="1:15" ht="15">
      <c r="A549" s="39">
        <v>546</v>
      </c>
      <c r="B549" s="265" t="s">
        <v>379</v>
      </c>
      <c r="C549" s="31">
        <v>39864</v>
      </c>
      <c r="D549" s="27" t="s">
        <v>242</v>
      </c>
      <c r="E549" s="229">
        <v>55</v>
      </c>
      <c r="F549" s="229">
        <v>1</v>
      </c>
      <c r="G549" s="229">
        <v>30</v>
      </c>
      <c r="H549" s="161">
        <v>640</v>
      </c>
      <c r="I549" s="150">
        <v>128</v>
      </c>
      <c r="J549" s="152">
        <f>(I549/F549)</f>
        <v>128</v>
      </c>
      <c r="K549" s="154">
        <f t="shared" si="48"/>
        <v>5</v>
      </c>
      <c r="L549" s="156">
        <f>190777.5+154065+60826.5+20820+23589+29712+19396.5+16102+12940+11034+3005+981+1140+40+98.25+284+1000+300+220+1211.5+155+156+63+1780+5228+1780+450+952+145+640</f>
        <v>558891.25</v>
      </c>
      <c r="M549" s="152">
        <f>20518+17650+7809+3283+4115+5826+3911+3770+2981+2505+653+199+194+8+18+60+100+75+44+292+22+22+19+445+1307+445+75+238+29+128</f>
        <v>76741</v>
      </c>
      <c r="N549" s="267">
        <f>L549/M549</f>
        <v>7.282824696055563</v>
      </c>
      <c r="O549" s="303"/>
    </row>
    <row r="550" spans="1:15" ht="15">
      <c r="A550" s="39">
        <v>547</v>
      </c>
      <c r="B550" s="268" t="s">
        <v>128</v>
      </c>
      <c r="C550" s="31">
        <v>39941</v>
      </c>
      <c r="D550" s="32" t="s">
        <v>242</v>
      </c>
      <c r="E550" s="56">
        <v>26</v>
      </c>
      <c r="F550" s="56">
        <v>1</v>
      </c>
      <c r="G550" s="56">
        <v>22</v>
      </c>
      <c r="H550" s="148">
        <v>3800</v>
      </c>
      <c r="I550" s="162">
        <v>950</v>
      </c>
      <c r="J550" s="181">
        <f>I550/F550</f>
        <v>950</v>
      </c>
      <c r="K550" s="182">
        <f t="shared" si="48"/>
        <v>4</v>
      </c>
      <c r="L550" s="183">
        <f>36482.75+16583.5+5922.75+3249+4769+4925+4199.5+5525+366+924+414+2215+2444+33+1987+838+1440+537+604+3792+2376+1780+3800</f>
        <v>105206.5</v>
      </c>
      <c r="M550" s="181">
        <f>4495+1934+744+517+1003+1215+722+968+65+193+83+369+384+5+336+159+238+83+151+948+594+445+950</f>
        <v>16601</v>
      </c>
      <c r="N550" s="267">
        <f>+L551/M551</f>
        <v>6.256615295143937</v>
      </c>
      <c r="O550" s="315"/>
    </row>
    <row r="551" spans="1:15" ht="15">
      <c r="A551" s="39">
        <v>548</v>
      </c>
      <c r="B551" s="268" t="s">
        <v>128</v>
      </c>
      <c r="C551" s="46">
        <v>39941</v>
      </c>
      <c r="D551" s="32" t="s">
        <v>242</v>
      </c>
      <c r="E551" s="54">
        <v>26</v>
      </c>
      <c r="F551" s="54">
        <v>1</v>
      </c>
      <c r="G551" s="54">
        <v>23</v>
      </c>
      <c r="H551" s="163">
        <v>2376</v>
      </c>
      <c r="I551" s="164">
        <v>594</v>
      </c>
      <c r="J551" s="181">
        <f>(I551/F551)</f>
        <v>594</v>
      </c>
      <c r="K551" s="182">
        <f t="shared" si="48"/>
        <v>4</v>
      </c>
      <c r="L551" s="183">
        <f>36482.75+16583.5+5922.75+3249+4769+4925+4199.5+5525+366+924+414+2215+2444+33+1987+838+1440+537+604+3792+2376+1780+3800+2376</f>
        <v>107582.5</v>
      </c>
      <c r="M551" s="181">
        <f>4495+1934+744+517+1003+1215+722+968+65+193+83+369+384+5+336+159+238+83+151+948+594+445+950+594</f>
        <v>17195</v>
      </c>
      <c r="N551" s="266">
        <f>L552/M552</f>
        <v>6.479234553702639</v>
      </c>
      <c r="O551" s="349"/>
    </row>
    <row r="552" spans="1:15" ht="15">
      <c r="A552" s="39">
        <v>549</v>
      </c>
      <c r="B552" s="268" t="s">
        <v>128</v>
      </c>
      <c r="C552" s="31">
        <v>39941</v>
      </c>
      <c r="D552" s="32" t="s">
        <v>242</v>
      </c>
      <c r="E552" s="56">
        <v>26</v>
      </c>
      <c r="F552" s="56">
        <v>1</v>
      </c>
      <c r="G552" s="56">
        <v>21</v>
      </c>
      <c r="H552" s="159">
        <v>1780</v>
      </c>
      <c r="I552" s="160">
        <v>445</v>
      </c>
      <c r="J552" s="177">
        <f>(I552/F552)</f>
        <v>445</v>
      </c>
      <c r="K552" s="155">
        <f t="shared" si="48"/>
        <v>4</v>
      </c>
      <c r="L552" s="178">
        <f>36482.75+16583.5+5922.75+3249+4769+4925+4199.5+5525+366+924+414+2215+2444+33+1987+838+1440+537+604+3792+2376+1780</f>
        <v>101406.5</v>
      </c>
      <c r="M552" s="179">
        <f>4495+1934+744+517+1003+1215+722+968+65+193+83+369+384+5+336+159+238+83+151+948+594+445</f>
        <v>15651</v>
      </c>
      <c r="N552" s="267">
        <f>+L553/M553</f>
        <v>6.237401924073967</v>
      </c>
      <c r="O552" s="311"/>
    </row>
    <row r="553" spans="1:15" ht="15">
      <c r="A553" s="39">
        <v>550</v>
      </c>
      <c r="B553" s="265" t="s">
        <v>128</v>
      </c>
      <c r="C553" s="31">
        <v>39941</v>
      </c>
      <c r="D553" s="32" t="s">
        <v>242</v>
      </c>
      <c r="E553" s="54">
        <v>26</v>
      </c>
      <c r="F553" s="54">
        <v>1</v>
      </c>
      <c r="G553" s="54">
        <v>25</v>
      </c>
      <c r="H553" s="163">
        <v>381.86</v>
      </c>
      <c r="I553" s="164">
        <v>92</v>
      </c>
      <c r="J553" s="181">
        <f>(I553/F553)</f>
        <v>92</v>
      </c>
      <c r="K553" s="182">
        <f t="shared" si="48"/>
        <v>4.150652173913044</v>
      </c>
      <c r="L553" s="183">
        <f>36482.75+16583.5+5922.75+3249+4769+4925+4199.5+5525+366+924+414+2215+2444+33+1987+838+1440+537+604+3792+2376+1780+3800+2376+310.7+381.86</f>
        <v>108275.06</v>
      </c>
      <c r="M553" s="181">
        <f>4495+1934+744+517+1003+1215+722+968+65+193+83+369+384+5+336+159+238+83+151+948+594+445+950+594+72+92</f>
        <v>17359</v>
      </c>
      <c r="N553" s="270">
        <f>L553/M553</f>
        <v>6.237401924073967</v>
      </c>
      <c r="O553" s="305">
        <v>1</v>
      </c>
    </row>
    <row r="554" spans="1:15" ht="15">
      <c r="A554" s="39">
        <v>551</v>
      </c>
      <c r="B554" s="265" t="s">
        <v>128</v>
      </c>
      <c r="C554" s="31">
        <v>39941</v>
      </c>
      <c r="D554" s="32" t="s">
        <v>242</v>
      </c>
      <c r="E554" s="54">
        <v>26</v>
      </c>
      <c r="F554" s="54">
        <v>1</v>
      </c>
      <c r="G554" s="54">
        <v>24</v>
      </c>
      <c r="H554" s="163">
        <v>310.7</v>
      </c>
      <c r="I554" s="164">
        <v>72</v>
      </c>
      <c r="J554" s="181">
        <f>I554/F554</f>
        <v>72</v>
      </c>
      <c r="K554" s="182">
        <f>+H554/I554</f>
        <v>4.315277777777777</v>
      </c>
      <c r="L554" s="183">
        <f>36482.75+16583.5+5922.75+3249+4769+4925+4199.5+5525+366+924+414+2215+2444+33+1987+838+1440+537+604+3792+2376+1780+3800+2376+310.7</f>
        <v>107893.2</v>
      </c>
      <c r="M554" s="181">
        <f>4495+1934+744+517+1003+1215+722+968+65+193+83+369+384+5+336+159+238+83+151+948+594+445+950+594+72</f>
        <v>17267</v>
      </c>
      <c r="N554" s="270">
        <f>+L554/M554</f>
        <v>6.248520298835929</v>
      </c>
      <c r="O554" s="303"/>
    </row>
    <row r="555" spans="1:15" ht="15">
      <c r="A555" s="39">
        <v>552</v>
      </c>
      <c r="B555" s="268" t="s">
        <v>158</v>
      </c>
      <c r="C555" s="46">
        <v>39976</v>
      </c>
      <c r="D555" s="32" t="s">
        <v>242</v>
      </c>
      <c r="E555" s="54">
        <v>2</v>
      </c>
      <c r="F555" s="54">
        <v>1</v>
      </c>
      <c r="G555" s="54">
        <v>16</v>
      </c>
      <c r="H555" s="163">
        <v>1780</v>
      </c>
      <c r="I555" s="164">
        <v>445</v>
      </c>
      <c r="J555" s="181">
        <f>(I555/F555)</f>
        <v>445</v>
      </c>
      <c r="K555" s="182">
        <f>H555/I555</f>
        <v>4</v>
      </c>
      <c r="L555" s="183">
        <f>4047+2102+1183+288+2185+769.5+1362.5+929+117+25+266+133+952+1424+1780+1780</f>
        <v>19343</v>
      </c>
      <c r="M555" s="181">
        <f>502+366+177+30+537+130+151+131+15+2+54+19+238+356+445+445</f>
        <v>3598</v>
      </c>
      <c r="N555" s="267">
        <f>L556/M556</f>
        <v>5.570250555026958</v>
      </c>
      <c r="O555" s="301">
        <v>1</v>
      </c>
    </row>
    <row r="556" spans="1:15" ht="15">
      <c r="A556" s="39">
        <v>553</v>
      </c>
      <c r="B556" s="268" t="s">
        <v>158</v>
      </c>
      <c r="C556" s="46">
        <v>39976</v>
      </c>
      <c r="D556" s="32" t="s">
        <v>242</v>
      </c>
      <c r="E556" s="54">
        <v>2</v>
      </c>
      <c r="F556" s="54">
        <v>1</v>
      </c>
      <c r="G556" s="54">
        <v>15</v>
      </c>
      <c r="H556" s="163">
        <v>1780</v>
      </c>
      <c r="I556" s="164">
        <v>445</v>
      </c>
      <c r="J556" s="181">
        <f>(I556/F556)</f>
        <v>445</v>
      </c>
      <c r="K556" s="182">
        <f>H556/I556</f>
        <v>4</v>
      </c>
      <c r="L556" s="183">
        <f>4047+2102+1183+288+2185+769.5+1362.5+929+117+25+266+133+952+1424+1780</f>
        <v>17563</v>
      </c>
      <c r="M556" s="181">
        <f>502+366+177+30+537+130+151+131+15+2+54+19+238+356+445</f>
        <v>3153</v>
      </c>
      <c r="N556" s="267">
        <f>L557/M557</f>
        <v>5.828286558345643</v>
      </c>
      <c r="O556" s="301">
        <v>1</v>
      </c>
    </row>
    <row r="557" spans="1:15" ht="15">
      <c r="A557" s="39">
        <v>554</v>
      </c>
      <c r="B557" s="268" t="s">
        <v>158</v>
      </c>
      <c r="C557" s="31">
        <v>39976</v>
      </c>
      <c r="D557" s="32" t="s">
        <v>242</v>
      </c>
      <c r="E557" s="56">
        <v>2</v>
      </c>
      <c r="F557" s="56">
        <v>1</v>
      </c>
      <c r="G557" s="56">
        <v>14</v>
      </c>
      <c r="H557" s="161">
        <v>1424</v>
      </c>
      <c r="I557" s="150">
        <v>356</v>
      </c>
      <c r="J557" s="152">
        <f>I557/F557</f>
        <v>356</v>
      </c>
      <c r="K557" s="154">
        <f>+H557/I557</f>
        <v>4</v>
      </c>
      <c r="L557" s="156">
        <f>4047+2102+1183+288+2185+769.5+1362.5+929+117+25+266+133+952+1424</f>
        <v>15783</v>
      </c>
      <c r="M557" s="152">
        <f>502+366+177+30+537+130+151+131+15+2+54+19+238+356</f>
        <v>2708</v>
      </c>
      <c r="N557" s="267">
        <f>+L558/M558</f>
        <v>5.346692286576997</v>
      </c>
      <c r="O557" s="303">
        <v>1</v>
      </c>
    </row>
    <row r="558" spans="1:15" ht="15">
      <c r="A558" s="39">
        <v>555</v>
      </c>
      <c r="B558" s="275" t="s">
        <v>158</v>
      </c>
      <c r="C558" s="46">
        <v>39976</v>
      </c>
      <c r="D558" s="32" t="s">
        <v>242</v>
      </c>
      <c r="E558" s="54">
        <v>2</v>
      </c>
      <c r="F558" s="54">
        <v>1</v>
      </c>
      <c r="G558" s="54">
        <v>18</v>
      </c>
      <c r="H558" s="163">
        <v>69</v>
      </c>
      <c r="I558" s="164">
        <v>23</v>
      </c>
      <c r="J558" s="181">
        <f>I558/F558</f>
        <v>23</v>
      </c>
      <c r="K558" s="182">
        <f>H558/I558</f>
        <v>3</v>
      </c>
      <c r="L558" s="183">
        <f>4047+2102+1183+288+2185+769.5+1362.5+929+117+25+266+133+952+1424+1780+1780+66+69</f>
        <v>19478</v>
      </c>
      <c r="M558" s="181">
        <f>502+366+177+30+537+130+151+131+15+2+54+19+238+356+445+445+22+23</f>
        <v>3643</v>
      </c>
      <c r="N558" s="266">
        <f>L559/M559</f>
        <v>5.361602209944752</v>
      </c>
      <c r="O558" s="303">
        <v>1</v>
      </c>
    </row>
    <row r="559" spans="1:15" ht="15">
      <c r="A559" s="39">
        <v>556</v>
      </c>
      <c r="B559" s="275" t="s">
        <v>158</v>
      </c>
      <c r="C559" s="46">
        <v>39976</v>
      </c>
      <c r="D559" s="32" t="s">
        <v>242</v>
      </c>
      <c r="E559" s="54">
        <v>2</v>
      </c>
      <c r="F559" s="54">
        <v>1</v>
      </c>
      <c r="G559" s="54">
        <v>17</v>
      </c>
      <c r="H559" s="163">
        <v>66</v>
      </c>
      <c r="I559" s="164">
        <v>22</v>
      </c>
      <c r="J559" s="181">
        <f>I559/F559</f>
        <v>22</v>
      </c>
      <c r="K559" s="182">
        <f>H559/I559</f>
        <v>3</v>
      </c>
      <c r="L559" s="183">
        <f>4047+2102+1183+288+2185+769.5+1362.5+929+117+25+266+133+952+1424+1780+1780+66</f>
        <v>19409</v>
      </c>
      <c r="M559" s="181">
        <f>502+366+177+30+537+130+151+131+15+2+54+19+238+356+445+445+22</f>
        <v>3620</v>
      </c>
      <c r="N559" s="267">
        <f>+L560/M560</f>
        <v>7.301817761688362</v>
      </c>
      <c r="O559" s="303">
        <v>1</v>
      </c>
    </row>
    <row r="560" spans="1:15" ht="15">
      <c r="A560" s="39">
        <v>557</v>
      </c>
      <c r="B560" s="265" t="s">
        <v>87</v>
      </c>
      <c r="C560" s="31">
        <v>39829</v>
      </c>
      <c r="D560" s="27" t="s">
        <v>242</v>
      </c>
      <c r="E560" s="229">
        <v>65</v>
      </c>
      <c r="F560" s="229">
        <v>1</v>
      </c>
      <c r="G560" s="229">
        <v>42</v>
      </c>
      <c r="H560" s="161">
        <v>712</v>
      </c>
      <c r="I560" s="150">
        <v>178</v>
      </c>
      <c r="J560" s="152">
        <f aca="true" t="shared" si="49" ref="J560:J565">(I560/F560)</f>
        <v>178</v>
      </c>
      <c r="K560" s="154">
        <f>H560/I560</f>
        <v>4</v>
      </c>
      <c r="L560" s="156">
        <f>237023+244842+160469+47021+21536+18820+18020.5+26440+10695+9162.5+9870+6322+1787+2032+757+348+420.5+158+4053+339.5+3161.5+1729.5+752+1417+1780+64+1208+952+552+139.5+544+40+8072+1780+1424+1780+440+1780+1188+2612+952+712</f>
        <v>853195.5</v>
      </c>
      <c r="M560" s="152">
        <f>25678+28966+21290+6590+4890+3520+3479+4786+1907+1716+2388+1533+368+541+126+70+67+48+991+81+743+414+155+169+445+16+302+238+117+23+48+12+2018+445+356+445+55+445+297+653+238+178</f>
        <v>116847</v>
      </c>
      <c r="N560" s="267">
        <f>L560/M560</f>
        <v>7.301817761688362</v>
      </c>
      <c r="O560" s="303"/>
    </row>
    <row r="561" spans="1:15" ht="15">
      <c r="A561" s="39">
        <v>558</v>
      </c>
      <c r="B561" s="276" t="s">
        <v>87</v>
      </c>
      <c r="C561" s="31">
        <v>39829</v>
      </c>
      <c r="D561" s="32" t="s">
        <v>242</v>
      </c>
      <c r="E561" s="56">
        <v>65</v>
      </c>
      <c r="F561" s="56">
        <v>2</v>
      </c>
      <c r="G561" s="56">
        <v>40</v>
      </c>
      <c r="H561" s="149">
        <v>2612</v>
      </c>
      <c r="I561" s="151">
        <v>505</v>
      </c>
      <c r="J561" s="152">
        <f t="shared" si="49"/>
        <v>252.5</v>
      </c>
      <c r="K561" s="154">
        <f>H561/I561</f>
        <v>5.172277227722772</v>
      </c>
      <c r="L561" s="156">
        <f>237023+244842+160469+47021+21536+18820+18020.5+26440+10695+9162.5+9870+6322+1787+2032+757+348+420.5+158+4053+339.5+3161.5+1729.5+752+1417+1780+64+1208+952+552+139.5+544+40+8072+1780+1424+1780+440+1780+1188+2612</f>
        <v>851531.5</v>
      </c>
      <c r="M561" s="152">
        <f>25678+28966+21290+6590+4890+3520+3479+4786+1907+1716+2388+1533+368+541+126+70+67+48+991+81+743+414+155+169+445+16+302+238+117+23+48+12+2018+445+356+445+55+445+297+505</f>
        <v>116283</v>
      </c>
      <c r="N561" s="267">
        <f>L561/M561</f>
        <v>7.322923385189581</v>
      </c>
      <c r="O561" s="316"/>
    </row>
    <row r="562" spans="1:15" ht="15">
      <c r="A562" s="39">
        <v>559</v>
      </c>
      <c r="B562" s="268" t="s">
        <v>87</v>
      </c>
      <c r="C562" s="31">
        <v>39829</v>
      </c>
      <c r="D562" s="32" t="s">
        <v>242</v>
      </c>
      <c r="E562" s="56">
        <v>65</v>
      </c>
      <c r="F562" s="56">
        <v>1</v>
      </c>
      <c r="G562" s="56">
        <v>34</v>
      </c>
      <c r="H562" s="159">
        <v>1780</v>
      </c>
      <c r="I562" s="160">
        <v>445</v>
      </c>
      <c r="J562" s="177">
        <f t="shared" si="49"/>
        <v>445</v>
      </c>
      <c r="K562" s="180">
        <f>H562/I562</f>
        <v>4</v>
      </c>
      <c r="L562" s="178">
        <f>237023+244842+160469+47021+21536+18820+18020.5+26440+10695+9162.5+9870+6322+1787+2032+757+348+420.5+158+4053+339.5+3161.5+1729.5+752+1417+1780+64+1208+952+552+139.5+544+40+8072+1780</f>
        <v>842307.5</v>
      </c>
      <c r="M562" s="179">
        <f>25678+28966+21290+6590+4890+3520+3479+4786+1907+1716+2388+1533+368+541+126+70+67+48+991+81+743+414+155+169+445+16+302+238+117+23+48+12+2018+445</f>
        <v>114180</v>
      </c>
      <c r="N562" s="267">
        <f>L563/M563</f>
        <v>7.35348883728616</v>
      </c>
      <c r="O562" s="349"/>
    </row>
    <row r="563" spans="1:15" ht="15">
      <c r="A563" s="39">
        <v>560</v>
      </c>
      <c r="B563" s="268" t="s">
        <v>87</v>
      </c>
      <c r="C563" s="31">
        <v>39829</v>
      </c>
      <c r="D563" s="32" t="s">
        <v>242</v>
      </c>
      <c r="E563" s="56">
        <v>65</v>
      </c>
      <c r="F563" s="56">
        <v>1</v>
      </c>
      <c r="G563" s="56">
        <v>36</v>
      </c>
      <c r="H563" s="161">
        <v>1780</v>
      </c>
      <c r="I563" s="150">
        <v>445</v>
      </c>
      <c r="J563" s="152">
        <f t="shared" si="49"/>
        <v>445</v>
      </c>
      <c r="K563" s="154">
        <f>(J563/G563)</f>
        <v>12.36111111111111</v>
      </c>
      <c r="L563" s="156">
        <f>237023+244842+160469+47021+21536+18820+18020.5+26440+10695+9162.5+9870+6322+1787+2032+757+348+420.5+158+4053+339.5+3161.5+1729.5+752+1417+1780+64+1208+952+552+139.5+544+40+8072+1780+1424+1780</f>
        <v>845511.5</v>
      </c>
      <c r="M563" s="152">
        <f>25678+28966+21290+6590+4890+3520+3479+4786+1907+1716+2388+1533+368+541+126+70+67+48+991+81+743+414+155+169+445+16+302+238+117+23+48+12+2018+445+356+445</f>
        <v>114981</v>
      </c>
      <c r="N563" s="266">
        <f>L564/M564</f>
        <v>7.340874256371178</v>
      </c>
      <c r="O563" s="303"/>
    </row>
    <row r="564" spans="1:15" ht="15">
      <c r="A564" s="39">
        <v>561</v>
      </c>
      <c r="B564" s="265" t="s">
        <v>87</v>
      </c>
      <c r="C564" s="26">
        <v>39829</v>
      </c>
      <c r="D564" s="32" t="s">
        <v>242</v>
      </c>
      <c r="E564" s="55">
        <v>65</v>
      </c>
      <c r="F564" s="55">
        <v>1</v>
      </c>
      <c r="G564" s="55">
        <v>38</v>
      </c>
      <c r="H564" s="159">
        <v>1780</v>
      </c>
      <c r="I564" s="151">
        <v>445</v>
      </c>
      <c r="J564" s="153">
        <f t="shared" si="49"/>
        <v>445</v>
      </c>
      <c r="K564" s="155">
        <f>H564/I564</f>
        <v>4</v>
      </c>
      <c r="L564" s="178">
        <f>237023+244842+160469+47021+21536+18820+18020.5+26440+10695+9162.5+9870+6322+1787+2032+757+348+420.5+158+4053+339.5+3161.5+1729.5+752+1417+1780+64+1208+952+552+139.5+544+40+8072+1780+1424+1780+440+1780</f>
        <v>847731.5</v>
      </c>
      <c r="M564" s="158">
        <f>25678+28966+21290+6590+4890+3520+3479+4786+1907+1716+2388+1533+368+541+126+70+67+48+991+81+743+414+155+169+445+16+302+238+117+23+48+12+2018+445+356+445+55+445</f>
        <v>115481</v>
      </c>
      <c r="N564" s="267">
        <f>+L565/M565</f>
        <v>7.366517950687993</v>
      </c>
      <c r="O564" s="302"/>
    </row>
    <row r="565" spans="1:15" ht="15">
      <c r="A565" s="39">
        <v>562</v>
      </c>
      <c r="B565" s="269" t="s">
        <v>87</v>
      </c>
      <c r="C565" s="34">
        <v>39829</v>
      </c>
      <c r="D565" s="32" t="s">
        <v>242</v>
      </c>
      <c r="E565" s="57">
        <v>65</v>
      </c>
      <c r="F565" s="57">
        <v>1</v>
      </c>
      <c r="G565" s="57">
        <v>35</v>
      </c>
      <c r="H565" s="149">
        <v>1424</v>
      </c>
      <c r="I565" s="151">
        <v>356</v>
      </c>
      <c r="J565" s="153">
        <f t="shared" si="49"/>
        <v>356</v>
      </c>
      <c r="K565" s="154">
        <f>+H565/I565</f>
        <v>4</v>
      </c>
      <c r="L565" s="157">
        <f>237023+244842+160469+47021+21536+18820+18020.5+26440+10695+9162.5+9870+6322+1787+2032+757+348+420.5+158+4053+339.5+3161.5+1729.5+752+1417+1780+64+1208+952+552+139.5+544+40+8072+1780+1424</f>
        <v>843731.5</v>
      </c>
      <c r="M565" s="158">
        <f>25678+28966+21290+6590+4890+3520+3479+4786+1907+1716+2388+1533+368+541+126+70+67+48+991+81+743+414+155+169+445+16+302+238+117+23+48+12+2018+445+356</f>
        <v>114536</v>
      </c>
      <c r="N565" s="267">
        <f>L566/M566</f>
        <v>7.332304064675499</v>
      </c>
      <c r="O565" s="313"/>
    </row>
    <row r="566" spans="1:15" ht="15">
      <c r="A566" s="39">
        <v>563</v>
      </c>
      <c r="B566" s="275" t="s">
        <v>87</v>
      </c>
      <c r="C566" s="31">
        <v>39829</v>
      </c>
      <c r="D566" s="32" t="s">
        <v>242</v>
      </c>
      <c r="E566" s="54">
        <v>65</v>
      </c>
      <c r="F566" s="54">
        <v>1</v>
      </c>
      <c r="G566" s="54">
        <v>39</v>
      </c>
      <c r="H566" s="163">
        <v>1188</v>
      </c>
      <c r="I566" s="164">
        <v>297</v>
      </c>
      <c r="J566" s="181">
        <f>I566/F566</f>
        <v>297</v>
      </c>
      <c r="K566" s="182">
        <f>H566/I566</f>
        <v>4</v>
      </c>
      <c r="L566" s="183">
        <f>237023+244842+160469+47021+21536+18820+18020.5+26440+10695+9162.5+9870+6322+1787+2032+757+348+420.5+158+4053+339.5+3161.5+1729.5+752+1417+1780+64+1208+952+552+139.5+544+40+8072+1780+1424+1780+440+1780+1188</f>
        <v>848919.5</v>
      </c>
      <c r="M566" s="181">
        <f>25678+28966+21290+6590+4890+3520+3479+4786+1907+1716+2388+1533+368+541+126+70+67+48+991+81+743+414+155+169+445+16+302+238+117+23+48+12+2018+445+356+445+55+445+297</f>
        <v>115778</v>
      </c>
      <c r="N566" s="270">
        <f>+L566/M566</f>
        <v>7.332304064675499</v>
      </c>
      <c r="O566" s="308"/>
    </row>
    <row r="567" spans="1:15" ht="15">
      <c r="A567" s="39">
        <v>564</v>
      </c>
      <c r="B567" s="265" t="s">
        <v>87</v>
      </c>
      <c r="C567" s="26">
        <v>39829</v>
      </c>
      <c r="D567" s="27" t="s">
        <v>242</v>
      </c>
      <c r="E567" s="230">
        <v>65</v>
      </c>
      <c r="F567" s="230">
        <v>1</v>
      </c>
      <c r="G567" s="230">
        <v>41</v>
      </c>
      <c r="H567" s="149">
        <v>952</v>
      </c>
      <c r="I567" s="151">
        <v>238</v>
      </c>
      <c r="J567" s="153">
        <f>(I567/F567)</f>
        <v>238</v>
      </c>
      <c r="K567" s="155">
        <f>H567/I567</f>
        <v>4</v>
      </c>
      <c r="L567" s="157">
        <f>237023+244842+160469+47021+21536+18820+18020.5+26440+10695+9162.5+9870+6322+1787+2032+757+348+420.5+158+4053+339.5+3161.5+1729.5+752+1417+1780+64+1208+952+552+139.5+544+40+8072+1780+1424+1780+440+1780+1188+2612+952</f>
        <v>852483.5</v>
      </c>
      <c r="M567" s="158">
        <f>25678+28966+21290+6590+4890+3520+3479+4786+1907+1716+2388+1533+368+541+126+70+67+48+991+81+743+414+155+169+445+16+302+238+117+23+48+12+2018+445+356+445+55+445+297+653+238</f>
        <v>116669</v>
      </c>
      <c r="N567" s="266">
        <f>L567/M567</f>
        <v>7.306855291465599</v>
      </c>
      <c r="O567" s="303"/>
    </row>
    <row r="568" spans="1:15" ht="15">
      <c r="A568" s="39">
        <v>565</v>
      </c>
      <c r="B568" s="268" t="s">
        <v>87</v>
      </c>
      <c r="C568" s="46">
        <v>39829</v>
      </c>
      <c r="D568" s="32" t="s">
        <v>242</v>
      </c>
      <c r="E568" s="54">
        <v>65</v>
      </c>
      <c r="F568" s="54">
        <v>1</v>
      </c>
      <c r="G568" s="54">
        <v>37</v>
      </c>
      <c r="H568" s="163">
        <v>440</v>
      </c>
      <c r="I568" s="164">
        <v>55</v>
      </c>
      <c r="J568" s="181">
        <f>(I568/F568)</f>
        <v>55</v>
      </c>
      <c r="K568" s="182">
        <f>H568/I568</f>
        <v>8</v>
      </c>
      <c r="L568" s="183">
        <f>237023+244842+160469+47021+21536+18820+18020.5+26440+10695+9162.5+9870+6322+1787+2032+757+348+420.5+158+4053+339.5+3161.5+1729.5+752+1417+1780+64+1208+952+552+139.5+544+40+8072+1780+1424+1780+440</f>
        <v>845951.5</v>
      </c>
      <c r="M568" s="181">
        <f>25678+28966+21290+6590+4890+3520+3479+4786+1907+1716+2388+1533+368+541+126+70+67+48+991+81+743+414+155+169+445+16+302+238+117+23+48+12+2018+445+356+445+55</f>
        <v>115036</v>
      </c>
      <c r="N568" s="266">
        <f>L569/M569</f>
        <v>9.215202509982886</v>
      </c>
      <c r="O568" s="301"/>
    </row>
    <row r="569" spans="1:15" ht="15">
      <c r="A569" s="39">
        <v>566</v>
      </c>
      <c r="B569" s="268" t="s">
        <v>84</v>
      </c>
      <c r="C569" s="31">
        <v>40172</v>
      </c>
      <c r="D569" s="32" t="s">
        <v>47</v>
      </c>
      <c r="E569" s="56">
        <v>10</v>
      </c>
      <c r="F569" s="56">
        <v>9</v>
      </c>
      <c r="G569" s="56">
        <v>3</v>
      </c>
      <c r="H569" s="148">
        <v>3129.5</v>
      </c>
      <c r="I569" s="162">
        <v>431</v>
      </c>
      <c r="J569" s="181">
        <f>I569/F569</f>
        <v>47.888888888888886</v>
      </c>
      <c r="K569" s="182">
        <f>+H569/I569</f>
        <v>7.261020881670533</v>
      </c>
      <c r="L569" s="183">
        <f>9917+0.75+3107+3129+0.5</f>
        <v>16154.25</v>
      </c>
      <c r="M569" s="181">
        <f>987+335+431</f>
        <v>1753</v>
      </c>
      <c r="N569" s="272">
        <f>IF(L570&lt;&gt;0,L570/M570,"")</f>
        <v>9.85230711043873</v>
      </c>
      <c r="O569" s="304"/>
    </row>
    <row r="570" spans="1:15" ht="15">
      <c r="A570" s="39">
        <v>567</v>
      </c>
      <c r="B570" s="268" t="s">
        <v>8</v>
      </c>
      <c r="C570" s="31">
        <v>40172</v>
      </c>
      <c r="D570" s="33" t="s">
        <v>47</v>
      </c>
      <c r="E570" s="56">
        <v>10</v>
      </c>
      <c r="F570" s="56">
        <v>9</v>
      </c>
      <c r="G570" s="56">
        <v>2</v>
      </c>
      <c r="H570" s="148">
        <v>3107</v>
      </c>
      <c r="I570" s="162">
        <v>335</v>
      </c>
      <c r="J570" s="187">
        <f>IF(H570&lt;&gt;0,I570/F570,"")</f>
        <v>37.22222222222222</v>
      </c>
      <c r="K570" s="185">
        <f>IF(H570&lt;&gt;0,H570/I570,"")</f>
        <v>9.274626865671642</v>
      </c>
      <c r="L570" s="183">
        <f>9917+0.75+3107</f>
        <v>13024.75</v>
      </c>
      <c r="M570" s="181">
        <f>987+335</f>
        <v>1322</v>
      </c>
      <c r="N570" s="272">
        <f>+L571/M571</f>
        <v>8.537476937269373</v>
      </c>
      <c r="O570" s="305"/>
    </row>
    <row r="571" spans="1:15" ht="15">
      <c r="A571" s="39">
        <v>568</v>
      </c>
      <c r="B571" s="268" t="s">
        <v>8</v>
      </c>
      <c r="C571" s="31">
        <v>40172</v>
      </c>
      <c r="D571" s="32" t="s">
        <v>47</v>
      </c>
      <c r="E571" s="56">
        <v>10</v>
      </c>
      <c r="F571" s="56">
        <v>5</v>
      </c>
      <c r="G571" s="56">
        <v>4</v>
      </c>
      <c r="H571" s="148">
        <v>2355</v>
      </c>
      <c r="I571" s="150">
        <v>415</v>
      </c>
      <c r="J571" s="184">
        <f>+I571/F571</f>
        <v>83</v>
      </c>
      <c r="K571" s="185">
        <f>+H571/I571</f>
        <v>5.674698795180723</v>
      </c>
      <c r="L571" s="183">
        <f>9917+0.75+3107+3129+0.5+2355</f>
        <v>18509.25</v>
      </c>
      <c r="M571" s="152">
        <f>987+335+431+415</f>
        <v>2168</v>
      </c>
      <c r="N571" s="266">
        <f>+L572/M572</f>
        <v>8.417349137931035</v>
      </c>
      <c r="O571" s="303"/>
    </row>
    <row r="572" spans="1:15" ht="15">
      <c r="A572" s="39">
        <v>569</v>
      </c>
      <c r="B572" s="268" t="s">
        <v>8</v>
      </c>
      <c r="C572" s="31">
        <v>40172</v>
      </c>
      <c r="D572" s="30" t="s">
        <v>47</v>
      </c>
      <c r="E572" s="56">
        <v>10</v>
      </c>
      <c r="F572" s="56">
        <v>4</v>
      </c>
      <c r="G572" s="56">
        <v>5</v>
      </c>
      <c r="H572" s="161">
        <v>1019</v>
      </c>
      <c r="I572" s="150">
        <v>152</v>
      </c>
      <c r="J572" s="153">
        <f>I572/F572</f>
        <v>38</v>
      </c>
      <c r="K572" s="155">
        <f>H572/I572</f>
        <v>6.703947368421052</v>
      </c>
      <c r="L572" s="156">
        <f>9917+0.75+3107+3129+0.5+2355+1019</f>
        <v>19528.25</v>
      </c>
      <c r="M572" s="152">
        <f>987+335+431+415+152</f>
        <v>2320</v>
      </c>
      <c r="N572" s="267">
        <f>L573/M573</f>
        <v>8.350503566932439</v>
      </c>
      <c r="O572" s="311"/>
    </row>
    <row r="573" spans="1:15" ht="15">
      <c r="A573" s="39">
        <v>570</v>
      </c>
      <c r="B573" s="268" t="s">
        <v>8</v>
      </c>
      <c r="C573" s="31">
        <v>40172</v>
      </c>
      <c r="D573" s="28" t="s">
        <v>47</v>
      </c>
      <c r="E573" s="56">
        <v>10</v>
      </c>
      <c r="F573" s="56">
        <v>2</v>
      </c>
      <c r="G573" s="56">
        <v>5</v>
      </c>
      <c r="H573" s="161">
        <v>371</v>
      </c>
      <c r="I573" s="150">
        <v>63</v>
      </c>
      <c r="J573" s="152">
        <f>I573/F573</f>
        <v>31.5</v>
      </c>
      <c r="K573" s="154">
        <f>H573/I573</f>
        <v>5.888888888888889</v>
      </c>
      <c r="L573" s="156">
        <f>9917+0.75+3107+3129+0.5+2355+1019+371</f>
        <v>19899.25</v>
      </c>
      <c r="M573" s="152">
        <f>987+335+431+415+152+63</f>
        <v>2383</v>
      </c>
      <c r="N573" s="281">
        <f>L574/M574</f>
        <v>7.594119479048698</v>
      </c>
      <c r="O573" s="303"/>
    </row>
    <row r="574" spans="1:15" ht="15">
      <c r="A574" s="39">
        <v>571</v>
      </c>
      <c r="B574" s="265" t="s">
        <v>390</v>
      </c>
      <c r="C574" s="31">
        <v>39836</v>
      </c>
      <c r="D574" s="27" t="s">
        <v>242</v>
      </c>
      <c r="E574" s="229">
        <v>13</v>
      </c>
      <c r="F574" s="229">
        <v>1</v>
      </c>
      <c r="G574" s="229">
        <v>27</v>
      </c>
      <c r="H574" s="161">
        <v>4160</v>
      </c>
      <c r="I574" s="150">
        <v>1040</v>
      </c>
      <c r="J574" s="152">
        <f>(I574/F574)</f>
        <v>1040</v>
      </c>
      <c r="K574" s="154">
        <f>H574/I574</f>
        <v>4</v>
      </c>
      <c r="L574" s="156">
        <f>57133.5+23554+18557+9186+29743.5+13631.5+13446+7072+7029+8018.5+7220.5+2856.5+1828+102+3517+635+324+30+2146+1842+376+154+799+463.52+415.64+339.28+4160</f>
        <v>214579.44</v>
      </c>
      <c r="M574" s="152">
        <f>5405+2651+2356+1389+3583+1713+1661+1216+1174+1324+1425+542+453+16+757+96+108+10+508+436+35+14+67+102+95+80+1040</f>
        <v>28256</v>
      </c>
      <c r="N574" s="267">
        <f>L574/M574</f>
        <v>7.594119479048698</v>
      </c>
      <c r="O574" s="303">
        <v>1</v>
      </c>
    </row>
    <row r="575" spans="1:15" ht="15">
      <c r="A575" s="39">
        <v>572</v>
      </c>
      <c r="B575" s="265" t="s">
        <v>123</v>
      </c>
      <c r="C575" s="31">
        <v>39836</v>
      </c>
      <c r="D575" s="32" t="s">
        <v>242</v>
      </c>
      <c r="E575" s="54">
        <v>13</v>
      </c>
      <c r="F575" s="54">
        <v>1</v>
      </c>
      <c r="G575" s="54">
        <v>24</v>
      </c>
      <c r="H575" s="163">
        <v>463.52</v>
      </c>
      <c r="I575" s="164">
        <v>102</v>
      </c>
      <c r="J575" s="181">
        <f>I575/F575</f>
        <v>102</v>
      </c>
      <c r="K575" s="182">
        <f>+H575/I575</f>
        <v>4.544313725490196</v>
      </c>
      <c r="L575" s="183">
        <f>57133.5+23554+18557+9186+29743.5+13631.5+13446+7072+7029+8018.5+7220.5+2856.5+1828+102+3517+635+324+30+2146+1842+376+154+799+463.52</f>
        <v>209664.52</v>
      </c>
      <c r="M575" s="181">
        <f>5405+2651+2356+1389+3583+1713+1661+1216+1174+1324+1425+542+453+16+757+96+108+10+508+436+35+14+67+102</f>
        <v>27041</v>
      </c>
      <c r="N575" s="270">
        <f>+L575/M575</f>
        <v>7.753578639843201</v>
      </c>
      <c r="O575" s="301">
        <v>1</v>
      </c>
    </row>
    <row r="576" spans="1:15" ht="15">
      <c r="A576" s="39">
        <v>573</v>
      </c>
      <c r="B576" s="265" t="s">
        <v>123</v>
      </c>
      <c r="C576" s="31">
        <v>39836</v>
      </c>
      <c r="D576" s="32" t="s">
        <v>242</v>
      </c>
      <c r="E576" s="54">
        <v>13</v>
      </c>
      <c r="F576" s="54">
        <v>1</v>
      </c>
      <c r="G576" s="54">
        <v>25</v>
      </c>
      <c r="H576" s="163">
        <v>415.64</v>
      </c>
      <c r="I576" s="164">
        <v>95</v>
      </c>
      <c r="J576" s="181">
        <f>(I576/F576)</f>
        <v>95</v>
      </c>
      <c r="K576" s="182">
        <f>H576/I576</f>
        <v>4.375157894736842</v>
      </c>
      <c r="L576" s="183">
        <f>57133.5+23554+18557+9186+29743.5+13631.5+13446+7072+7029+8018.5+7220.5+2856.5+1828+102+3517+635+324+30+2146+1842+376+154+799+463.52+415.64</f>
        <v>210080.16</v>
      </c>
      <c r="M576" s="181">
        <f>5405+2651+2356+1389+3583+1713+1661+1216+1174+1324+1425+542+453+16+757+96+108+10+508+436+35+14+67+102+95</f>
        <v>27136</v>
      </c>
      <c r="N576" s="270">
        <f>L576/M576</f>
        <v>7.741751179245283</v>
      </c>
      <c r="O576" s="303">
        <v>1</v>
      </c>
    </row>
    <row r="577" spans="1:15" ht="15">
      <c r="A577" s="39">
        <v>574</v>
      </c>
      <c r="B577" s="265" t="s">
        <v>123</v>
      </c>
      <c r="C577" s="31">
        <v>39836</v>
      </c>
      <c r="D577" s="32" t="s">
        <v>242</v>
      </c>
      <c r="E577" s="54">
        <v>13</v>
      </c>
      <c r="F577" s="54">
        <v>1</v>
      </c>
      <c r="G577" s="54">
        <v>26</v>
      </c>
      <c r="H577" s="163">
        <v>339.28</v>
      </c>
      <c r="I577" s="165">
        <v>80</v>
      </c>
      <c r="J577" s="152">
        <f>(I577/F577)</f>
        <v>80</v>
      </c>
      <c r="K577" s="154">
        <f>H577/I577</f>
        <v>4.241</v>
      </c>
      <c r="L577" s="156">
        <f>57133.5+23554+18557+9186+29743.5+13631.5+13446+7072+7029+8018.5+7220.5+2856.5+1828+102+3517+635+324+30+2146+1842+376+154+799+463.52+415.64+339.28</f>
        <v>210419.44</v>
      </c>
      <c r="M577" s="152">
        <f>5405+2651+2356+1389+3583+1713+1661+1216+1174+1324+1425+542+453+16+757+96+108+10+508+436+35+14+67+102+95+80</f>
        <v>27216</v>
      </c>
      <c r="N577" s="267">
        <f>L577/M577</f>
        <v>7.7314609053497945</v>
      </c>
      <c r="O577" s="305">
        <v>1</v>
      </c>
    </row>
    <row r="578" spans="1:15" ht="15">
      <c r="A578" s="39">
        <v>575</v>
      </c>
      <c r="B578" s="265" t="s">
        <v>305</v>
      </c>
      <c r="C578" s="26">
        <v>38639</v>
      </c>
      <c r="D578" s="27" t="s">
        <v>101</v>
      </c>
      <c r="E578" s="230">
        <v>4</v>
      </c>
      <c r="F578" s="230">
        <v>1</v>
      </c>
      <c r="G578" s="230">
        <v>16</v>
      </c>
      <c r="H578" s="149">
        <v>1188</v>
      </c>
      <c r="I578" s="151">
        <v>238</v>
      </c>
      <c r="J578" s="153">
        <f>IF(H578&lt;&gt;0,I578/F578,"")</f>
        <v>238</v>
      </c>
      <c r="K578" s="155">
        <f>IF(H578&lt;&gt;0,H578/I578,"")</f>
        <v>4.991596638655462</v>
      </c>
      <c r="L578" s="157">
        <v>37644</v>
      </c>
      <c r="M578" s="158">
        <v>6251</v>
      </c>
      <c r="N578" s="266">
        <f>IF(L578&lt;&gt;0,L578/M578,"")</f>
        <v>6.0220764677651575</v>
      </c>
      <c r="O578" s="310">
        <v>1</v>
      </c>
    </row>
    <row r="579" spans="1:15" ht="15">
      <c r="A579" s="39">
        <v>576</v>
      </c>
      <c r="B579" s="268" t="s">
        <v>106</v>
      </c>
      <c r="C579" s="31">
        <v>39745</v>
      </c>
      <c r="D579" s="32" t="s">
        <v>242</v>
      </c>
      <c r="E579" s="56">
        <v>7</v>
      </c>
      <c r="F579" s="56">
        <v>1</v>
      </c>
      <c r="G579" s="56">
        <v>17</v>
      </c>
      <c r="H579" s="174">
        <v>87</v>
      </c>
      <c r="I579" s="176">
        <v>29</v>
      </c>
      <c r="J579" s="203">
        <f>(I579/F579)</f>
        <v>29</v>
      </c>
      <c r="K579" s="206">
        <f>H579/I579</f>
        <v>3</v>
      </c>
      <c r="L579" s="201">
        <f>31758.5+8225.5+1958+2180+395+7254.5+494+2046+429+128+135+1066+1003+620+20+120+87</f>
        <v>57919.5</v>
      </c>
      <c r="M579" s="204">
        <f>2732+851+288+247+46+761+52+333+72+22+23+258+223+133+2+12+29</f>
        <v>6084</v>
      </c>
      <c r="N579" s="281">
        <f>L580/M580</f>
        <v>9.503935071323168</v>
      </c>
      <c r="O579" s="304"/>
    </row>
    <row r="580" spans="1:15" ht="15">
      <c r="A580" s="39">
        <v>577</v>
      </c>
      <c r="B580" s="268" t="s">
        <v>106</v>
      </c>
      <c r="C580" s="31">
        <v>39745</v>
      </c>
      <c r="D580" s="32" t="s">
        <v>242</v>
      </c>
      <c r="E580" s="56">
        <v>7</v>
      </c>
      <c r="F580" s="56">
        <v>1</v>
      </c>
      <c r="G580" s="56">
        <v>18</v>
      </c>
      <c r="H580" s="174">
        <v>45</v>
      </c>
      <c r="I580" s="176">
        <v>15</v>
      </c>
      <c r="J580" s="203">
        <f>(I580/F580)</f>
        <v>15</v>
      </c>
      <c r="K580" s="207">
        <f>H580/I580</f>
        <v>3</v>
      </c>
      <c r="L580" s="201">
        <f>31758.5+8225.5+1958+2180+395+7254.5+494+2046+429+128+135+1066+1003+620+20+120+87+45</f>
        <v>57964.5</v>
      </c>
      <c r="M580" s="204">
        <f>2732+851+288+247+46+761+52+333+72+22+23+258+223+133+2+12+29+15</f>
        <v>6099</v>
      </c>
      <c r="N580" s="266">
        <f>L581/M581</f>
        <v>7.119280016792612</v>
      </c>
      <c r="O580" s="303">
        <v>1</v>
      </c>
    </row>
    <row r="581" spans="1:15" ht="15">
      <c r="A581" s="39">
        <v>578</v>
      </c>
      <c r="B581" s="265" t="s">
        <v>350</v>
      </c>
      <c r="C581" s="31">
        <v>39913</v>
      </c>
      <c r="D581" s="27" t="s">
        <v>261</v>
      </c>
      <c r="E581" s="229">
        <v>8</v>
      </c>
      <c r="F581" s="229">
        <v>1</v>
      </c>
      <c r="G581" s="229">
        <v>24</v>
      </c>
      <c r="H581" s="161">
        <v>1544</v>
      </c>
      <c r="I581" s="150">
        <v>386</v>
      </c>
      <c r="J581" s="152">
        <f>(I581/F581)</f>
        <v>386</v>
      </c>
      <c r="K581" s="154">
        <f>H581/I581</f>
        <v>4</v>
      </c>
      <c r="L581" s="156">
        <f>21351.5+14278.5+6751+4525+2536+673+390+177+1270+1412+2231+60+385+350+665+1890+1758+1595+1832.5+392+226+352+1188+1544</f>
        <v>67832.5</v>
      </c>
      <c r="M581" s="152">
        <f>2210+1534+811+919+457+117+61+33+223+254+502+12+83+103+165+287+292+270+307+76+52+77+297+386</f>
        <v>9528</v>
      </c>
      <c r="N581" s="267">
        <f>L581/M581</f>
        <v>7.119280016792612</v>
      </c>
      <c r="O581" s="303">
        <v>1</v>
      </c>
    </row>
    <row r="582" spans="1:15" ht="15">
      <c r="A582" s="39">
        <v>579</v>
      </c>
      <c r="B582" s="265" t="s">
        <v>38</v>
      </c>
      <c r="C582" s="31">
        <v>40074</v>
      </c>
      <c r="D582" s="32" t="s">
        <v>242</v>
      </c>
      <c r="E582" s="54">
        <v>7</v>
      </c>
      <c r="F582" s="54">
        <v>1</v>
      </c>
      <c r="G582" s="54">
        <v>12</v>
      </c>
      <c r="H582" s="163">
        <v>439</v>
      </c>
      <c r="I582" s="164">
        <v>74</v>
      </c>
      <c r="J582" s="181">
        <f>I582/F582</f>
        <v>74</v>
      </c>
      <c r="K582" s="182">
        <f>+H582/I582</f>
        <v>5.9324324324324325</v>
      </c>
      <c r="L582" s="183">
        <f>24901+4873+3754+4238+1794.5+1565+1393.5+1381.5+1482+240+136+439</f>
        <v>46197.5</v>
      </c>
      <c r="M582" s="181">
        <f>2240+626+482+732+293+342+244+327+247+37+34+74</f>
        <v>5678</v>
      </c>
      <c r="N582" s="270">
        <f>+L582/M582</f>
        <v>8.136227544910179</v>
      </c>
      <c r="O582" s="331">
        <v>1</v>
      </c>
    </row>
    <row r="583" spans="1:15" ht="15">
      <c r="A583" s="39">
        <v>580</v>
      </c>
      <c r="B583" s="268" t="s">
        <v>38</v>
      </c>
      <c r="C583" s="31">
        <v>40074</v>
      </c>
      <c r="D583" s="32" t="s">
        <v>242</v>
      </c>
      <c r="E583" s="56">
        <v>7</v>
      </c>
      <c r="F583" s="56">
        <v>1</v>
      </c>
      <c r="G583" s="56">
        <v>11</v>
      </c>
      <c r="H583" s="149">
        <v>136</v>
      </c>
      <c r="I583" s="151">
        <v>34</v>
      </c>
      <c r="J583" s="153">
        <f>(I583/F583)</f>
        <v>34</v>
      </c>
      <c r="K583" s="155">
        <f>H583/I583</f>
        <v>4</v>
      </c>
      <c r="L583" s="157">
        <f>24901+4873+3754+4238+1794.5+1565+1393.5+1381.5+1482+240+136</f>
        <v>45758.5</v>
      </c>
      <c r="M583" s="158">
        <f>2240+626+482+732+293+342+244+327+247+37+34</f>
        <v>5604</v>
      </c>
      <c r="N583" s="267">
        <f>+L584/M584</f>
        <v>9.221241082653014</v>
      </c>
      <c r="O583" s="312">
        <v>1</v>
      </c>
    </row>
    <row r="584" spans="1:15" ht="15">
      <c r="A584" s="39">
        <v>581</v>
      </c>
      <c r="B584" s="268" t="s">
        <v>34</v>
      </c>
      <c r="C584" s="31">
        <v>40004</v>
      </c>
      <c r="D584" s="35" t="s">
        <v>240</v>
      </c>
      <c r="E584" s="56">
        <v>68</v>
      </c>
      <c r="F584" s="56">
        <v>1</v>
      </c>
      <c r="G584" s="56">
        <v>26</v>
      </c>
      <c r="H584" s="161">
        <v>609</v>
      </c>
      <c r="I584" s="150">
        <v>280</v>
      </c>
      <c r="J584" s="152">
        <f aca="true" t="shared" si="50" ref="J584:J590">I584/F584</f>
        <v>280</v>
      </c>
      <c r="K584" s="154">
        <f>+H584/I584</f>
        <v>2.175</v>
      </c>
      <c r="L584" s="156">
        <v>1217628</v>
      </c>
      <c r="M584" s="152">
        <v>132046</v>
      </c>
      <c r="N584" s="267">
        <f>+L585/M585</f>
        <v>9.206331333222495</v>
      </c>
      <c r="O584" s="310"/>
    </row>
    <row r="585" spans="1:15" ht="15">
      <c r="A585" s="39">
        <v>582</v>
      </c>
      <c r="B585" s="268" t="s">
        <v>34</v>
      </c>
      <c r="C585" s="31">
        <v>40004</v>
      </c>
      <c r="D585" s="35" t="s">
        <v>240</v>
      </c>
      <c r="E585" s="56">
        <v>68</v>
      </c>
      <c r="F585" s="56">
        <v>1</v>
      </c>
      <c r="G585" s="56">
        <v>30</v>
      </c>
      <c r="H585" s="148">
        <v>609</v>
      </c>
      <c r="I585" s="162">
        <v>280</v>
      </c>
      <c r="J585" s="181">
        <f t="shared" si="50"/>
        <v>280</v>
      </c>
      <c r="K585" s="182">
        <f aca="true" t="shared" si="51" ref="K585:K590">H585/I585</f>
        <v>2.175</v>
      </c>
      <c r="L585" s="183">
        <v>1218237</v>
      </c>
      <c r="M585" s="181">
        <v>132326</v>
      </c>
      <c r="N585" s="266">
        <f>+L586/M586</f>
        <v>7.879190746297896</v>
      </c>
      <c r="O585" s="302"/>
    </row>
    <row r="586" spans="1:15" ht="15">
      <c r="A586" s="39">
        <v>583</v>
      </c>
      <c r="B586" s="265" t="s">
        <v>294</v>
      </c>
      <c r="C586" s="31">
        <v>39472</v>
      </c>
      <c r="D586" s="27" t="s">
        <v>244</v>
      </c>
      <c r="E586" s="229">
        <v>70</v>
      </c>
      <c r="F586" s="229">
        <v>1</v>
      </c>
      <c r="G586" s="229">
        <v>39</v>
      </c>
      <c r="H586" s="161">
        <v>760</v>
      </c>
      <c r="I586" s="150">
        <v>76</v>
      </c>
      <c r="J586" s="152">
        <f t="shared" si="50"/>
        <v>76</v>
      </c>
      <c r="K586" s="154">
        <f t="shared" si="51"/>
        <v>10</v>
      </c>
      <c r="L586" s="156">
        <v>884841</v>
      </c>
      <c r="M586" s="152">
        <v>112301</v>
      </c>
      <c r="N586" s="267">
        <f>L586/M586</f>
        <v>7.879190746297896</v>
      </c>
      <c r="O586" s="303"/>
    </row>
    <row r="587" spans="1:15" ht="15">
      <c r="A587" s="39">
        <v>584</v>
      </c>
      <c r="B587" s="268" t="s">
        <v>294</v>
      </c>
      <c r="C587" s="31">
        <v>39472</v>
      </c>
      <c r="D587" s="27" t="s">
        <v>299</v>
      </c>
      <c r="E587" s="229">
        <v>70</v>
      </c>
      <c r="F587" s="229">
        <v>1</v>
      </c>
      <c r="G587" s="229">
        <v>38</v>
      </c>
      <c r="H587" s="148">
        <v>138</v>
      </c>
      <c r="I587" s="162">
        <v>20</v>
      </c>
      <c r="J587" s="181">
        <f t="shared" si="50"/>
        <v>20</v>
      </c>
      <c r="K587" s="182">
        <f t="shared" si="51"/>
        <v>6.9</v>
      </c>
      <c r="L587" s="183">
        <v>884081</v>
      </c>
      <c r="M587" s="181">
        <v>112225</v>
      </c>
      <c r="N587" s="267">
        <f>+L587/M587</f>
        <v>7.8777545110269545</v>
      </c>
      <c r="O587" s="349"/>
    </row>
    <row r="588" spans="1:15" ht="15">
      <c r="A588" s="39">
        <v>585</v>
      </c>
      <c r="B588" s="265" t="s">
        <v>294</v>
      </c>
      <c r="C588" s="31">
        <v>39472</v>
      </c>
      <c r="D588" s="27" t="s">
        <v>244</v>
      </c>
      <c r="E588" s="229">
        <v>70</v>
      </c>
      <c r="F588" s="229">
        <v>1</v>
      </c>
      <c r="G588" s="229">
        <v>37</v>
      </c>
      <c r="H588" s="161">
        <v>132</v>
      </c>
      <c r="I588" s="150">
        <v>22</v>
      </c>
      <c r="J588" s="152">
        <f t="shared" si="50"/>
        <v>22</v>
      </c>
      <c r="K588" s="154">
        <f t="shared" si="51"/>
        <v>6</v>
      </c>
      <c r="L588" s="156">
        <v>883943</v>
      </c>
      <c r="M588" s="152">
        <v>112205</v>
      </c>
      <c r="N588" s="267">
        <f>L588/M588</f>
        <v>7.877928791052092</v>
      </c>
      <c r="O588" s="349"/>
    </row>
    <row r="589" spans="1:15" ht="15">
      <c r="A589" s="39">
        <v>586</v>
      </c>
      <c r="B589" s="265" t="s">
        <v>294</v>
      </c>
      <c r="C589" s="31">
        <v>39472</v>
      </c>
      <c r="D589" s="27" t="s">
        <v>299</v>
      </c>
      <c r="E589" s="229">
        <v>70</v>
      </c>
      <c r="F589" s="229">
        <v>1</v>
      </c>
      <c r="G589" s="229">
        <v>36</v>
      </c>
      <c r="H589" s="161">
        <v>143</v>
      </c>
      <c r="I589" s="150">
        <v>22</v>
      </c>
      <c r="J589" s="152">
        <f t="shared" si="50"/>
        <v>22</v>
      </c>
      <c r="K589" s="154">
        <f t="shared" si="51"/>
        <v>6.5</v>
      </c>
      <c r="L589" s="156">
        <v>883811</v>
      </c>
      <c r="M589" s="152">
        <v>112183</v>
      </c>
      <c r="N589" s="267">
        <f>+L589/M589</f>
        <v>7.878297068183237</v>
      </c>
      <c r="O589" s="344"/>
    </row>
    <row r="590" spans="1:15" ht="15">
      <c r="A590" s="39">
        <v>587</v>
      </c>
      <c r="B590" s="265" t="s">
        <v>294</v>
      </c>
      <c r="C590" s="26">
        <v>39472</v>
      </c>
      <c r="D590" s="27" t="s">
        <v>299</v>
      </c>
      <c r="E590" s="230">
        <v>70</v>
      </c>
      <c r="F590" s="230">
        <v>1</v>
      </c>
      <c r="G590" s="230">
        <v>34</v>
      </c>
      <c r="H590" s="149">
        <v>130</v>
      </c>
      <c r="I590" s="151">
        <v>20</v>
      </c>
      <c r="J590" s="153">
        <f t="shared" si="50"/>
        <v>20</v>
      </c>
      <c r="K590" s="155">
        <f t="shared" si="51"/>
        <v>6.5</v>
      </c>
      <c r="L590" s="157">
        <v>883629</v>
      </c>
      <c r="M590" s="158">
        <v>112155</v>
      </c>
      <c r="N590" s="266">
        <f>+L590/M590</f>
        <v>7.8786411662431455</v>
      </c>
      <c r="O590" s="331"/>
    </row>
    <row r="591" spans="1:15" ht="15">
      <c r="A591" s="39">
        <v>588</v>
      </c>
      <c r="B591" s="265" t="s">
        <v>294</v>
      </c>
      <c r="C591" s="26">
        <v>39472</v>
      </c>
      <c r="D591" s="27" t="s">
        <v>299</v>
      </c>
      <c r="E591" s="55">
        <v>70</v>
      </c>
      <c r="F591" s="55">
        <v>1</v>
      </c>
      <c r="G591" s="55">
        <v>35</v>
      </c>
      <c r="H591" s="159">
        <v>39</v>
      </c>
      <c r="I591" s="160">
        <v>6</v>
      </c>
      <c r="J591" s="177">
        <v>6</v>
      </c>
      <c r="K591" s="155">
        <v>6.5</v>
      </c>
      <c r="L591" s="178">
        <v>883668</v>
      </c>
      <c r="M591" s="179">
        <v>112161</v>
      </c>
      <c r="N591" s="266">
        <f>+L591/M591</f>
        <v>7.878567416481665</v>
      </c>
      <c r="O591" s="304"/>
    </row>
    <row r="592" spans="1:15" ht="15">
      <c r="A592" s="39">
        <v>589</v>
      </c>
      <c r="B592" s="265" t="s">
        <v>247</v>
      </c>
      <c r="C592" s="26">
        <v>40081</v>
      </c>
      <c r="D592" s="27" t="s">
        <v>242</v>
      </c>
      <c r="E592" s="55">
        <v>10</v>
      </c>
      <c r="F592" s="55">
        <v>1</v>
      </c>
      <c r="G592" s="55">
        <v>8</v>
      </c>
      <c r="H592" s="159">
        <v>1780</v>
      </c>
      <c r="I592" s="160">
        <v>445</v>
      </c>
      <c r="J592" s="177">
        <f>(I592/F592)</f>
        <v>445</v>
      </c>
      <c r="K592" s="180">
        <f aca="true" t="shared" si="52" ref="K592:K598">H592/I592</f>
        <v>4</v>
      </c>
      <c r="L592" s="178">
        <f>15355.5+7416.5+5376.5+1210+1050.5+1780+1780+1780</f>
        <v>35749</v>
      </c>
      <c r="M592" s="179">
        <f>1226+729+733+198+202+445+445+445</f>
        <v>4423</v>
      </c>
      <c r="N592" s="266">
        <f>L592/M592</f>
        <v>8.082523174316075</v>
      </c>
      <c r="O592" s="331"/>
    </row>
    <row r="593" spans="1:15" ht="15">
      <c r="A593" s="39">
        <v>590</v>
      </c>
      <c r="B593" s="265" t="s">
        <v>35</v>
      </c>
      <c r="C593" s="26">
        <v>39962</v>
      </c>
      <c r="D593" s="30" t="s">
        <v>105</v>
      </c>
      <c r="E593" s="55">
        <v>72</v>
      </c>
      <c r="F593" s="55">
        <v>1</v>
      </c>
      <c r="G593" s="55">
        <v>23</v>
      </c>
      <c r="H593" s="149">
        <v>516</v>
      </c>
      <c r="I593" s="151">
        <v>158</v>
      </c>
      <c r="J593" s="153">
        <f aca="true" t="shared" si="53" ref="J593:J602">I593/F593</f>
        <v>158</v>
      </c>
      <c r="K593" s="155">
        <f t="shared" si="52"/>
        <v>3.2658227848101267</v>
      </c>
      <c r="L593" s="157">
        <v>276947</v>
      </c>
      <c r="M593" s="158">
        <v>37748</v>
      </c>
      <c r="N593" s="266">
        <f>+L594/M594</f>
        <v>8.614293629382615</v>
      </c>
      <c r="O593" s="303"/>
    </row>
    <row r="594" spans="1:16" s="114" customFormat="1" ht="15">
      <c r="A594" s="39">
        <v>591</v>
      </c>
      <c r="B594" s="265" t="s">
        <v>56</v>
      </c>
      <c r="C594" s="26">
        <v>40158</v>
      </c>
      <c r="D594" s="27" t="s">
        <v>241</v>
      </c>
      <c r="E594" s="55">
        <v>141</v>
      </c>
      <c r="F594" s="55">
        <v>34</v>
      </c>
      <c r="G594" s="55">
        <v>5</v>
      </c>
      <c r="H594" s="159">
        <v>32443</v>
      </c>
      <c r="I594" s="160">
        <v>5335</v>
      </c>
      <c r="J594" s="177">
        <f t="shared" si="53"/>
        <v>156.91176470588235</v>
      </c>
      <c r="K594" s="180">
        <f t="shared" si="52"/>
        <v>6.08116213683224</v>
      </c>
      <c r="L594" s="178">
        <f>1607914+23244+32443</f>
        <v>1663601</v>
      </c>
      <c r="M594" s="179">
        <f>183968+3818+5335</f>
        <v>193121</v>
      </c>
      <c r="N594" s="266">
        <f>+L595/M595</f>
        <v>8.528182556948098</v>
      </c>
      <c r="O594" s="303"/>
      <c r="P594" s="117"/>
    </row>
    <row r="595" spans="1:16" s="114" customFormat="1" ht="15">
      <c r="A595" s="39">
        <v>592</v>
      </c>
      <c r="B595" s="265" t="s">
        <v>56</v>
      </c>
      <c r="C595" s="26">
        <v>40158</v>
      </c>
      <c r="D595" s="27" t="s">
        <v>241</v>
      </c>
      <c r="E595" s="55">
        <v>141</v>
      </c>
      <c r="F595" s="55">
        <v>21</v>
      </c>
      <c r="G595" s="55">
        <v>6</v>
      </c>
      <c r="H595" s="159">
        <v>25994</v>
      </c>
      <c r="I595" s="151">
        <v>4998</v>
      </c>
      <c r="J595" s="153">
        <f t="shared" si="53"/>
        <v>238</v>
      </c>
      <c r="K595" s="155">
        <f t="shared" si="52"/>
        <v>5.200880352140857</v>
      </c>
      <c r="L595" s="178">
        <f>1607914+23244+32443+25994</f>
        <v>1689595</v>
      </c>
      <c r="M595" s="158">
        <f>183968+3818+5335+4998</f>
        <v>198119</v>
      </c>
      <c r="N595" s="266">
        <f>+L596/M596</f>
        <v>8.686259891578713</v>
      </c>
      <c r="O595" s="310"/>
      <c r="P595" s="117"/>
    </row>
    <row r="596" spans="1:16" s="114" customFormat="1" ht="15">
      <c r="A596" s="39">
        <v>593</v>
      </c>
      <c r="B596" s="265" t="s">
        <v>56</v>
      </c>
      <c r="C596" s="26">
        <v>40158</v>
      </c>
      <c r="D596" s="27" t="s">
        <v>241</v>
      </c>
      <c r="E596" s="55">
        <v>141</v>
      </c>
      <c r="F596" s="55">
        <v>27</v>
      </c>
      <c r="G596" s="55">
        <v>4</v>
      </c>
      <c r="H596" s="159">
        <v>23244</v>
      </c>
      <c r="I596" s="160">
        <v>3818</v>
      </c>
      <c r="J596" s="177">
        <f t="shared" si="53"/>
        <v>141.40740740740742</v>
      </c>
      <c r="K596" s="155">
        <f t="shared" si="52"/>
        <v>6.088004190675746</v>
      </c>
      <c r="L596" s="178">
        <f>1607914+23244</f>
        <v>1631158</v>
      </c>
      <c r="M596" s="179">
        <f>183968+3818</f>
        <v>187786</v>
      </c>
      <c r="N596" s="266">
        <f>+L597/M597</f>
        <v>8.504841674974076</v>
      </c>
      <c r="O596" s="303"/>
      <c r="P596" s="117"/>
    </row>
    <row r="597" spans="1:16" s="114" customFormat="1" ht="15">
      <c r="A597" s="39">
        <v>594</v>
      </c>
      <c r="B597" s="265" t="s">
        <v>56</v>
      </c>
      <c r="C597" s="26">
        <v>40158</v>
      </c>
      <c r="D597" s="27" t="s">
        <v>241</v>
      </c>
      <c r="E597" s="55">
        <v>141</v>
      </c>
      <c r="F597" s="55">
        <v>8</v>
      </c>
      <c r="G597" s="55">
        <v>7</v>
      </c>
      <c r="H597" s="149">
        <v>8150</v>
      </c>
      <c r="I597" s="151">
        <v>1502</v>
      </c>
      <c r="J597" s="153">
        <f t="shared" si="53"/>
        <v>187.75</v>
      </c>
      <c r="K597" s="155">
        <f t="shared" si="52"/>
        <v>5.426098535286285</v>
      </c>
      <c r="L597" s="157">
        <f>1607914+23244+32443+25994+8150</f>
        <v>1697745</v>
      </c>
      <c r="M597" s="158">
        <f>183968+3818+5335+4998+1502</f>
        <v>199621</v>
      </c>
      <c r="N597" s="267">
        <f>+L598/M598</f>
        <v>8.499817548349688</v>
      </c>
      <c r="O597" s="303"/>
      <c r="P597" s="117"/>
    </row>
    <row r="598" spans="1:16" s="114" customFormat="1" ht="15">
      <c r="A598" s="39">
        <v>595</v>
      </c>
      <c r="B598" s="265" t="s">
        <v>56</v>
      </c>
      <c r="C598" s="31">
        <v>40158</v>
      </c>
      <c r="D598" s="27" t="s">
        <v>241</v>
      </c>
      <c r="E598" s="56">
        <v>141</v>
      </c>
      <c r="F598" s="56">
        <v>4</v>
      </c>
      <c r="G598" s="56">
        <v>8</v>
      </c>
      <c r="H598" s="161">
        <v>2669</v>
      </c>
      <c r="I598" s="150">
        <v>432</v>
      </c>
      <c r="J598" s="152">
        <f t="shared" si="53"/>
        <v>108</v>
      </c>
      <c r="K598" s="154">
        <f t="shared" si="52"/>
        <v>6.1782407407407405</v>
      </c>
      <c r="L598" s="156">
        <f>1607914+23244+32443+25994+8150+2669</f>
        <v>1700414</v>
      </c>
      <c r="M598" s="152">
        <f>183968+3818+5335+4998+1502+432</f>
        <v>200053</v>
      </c>
      <c r="N598" s="267">
        <f>L599/M599</f>
        <v>8.49824170554562</v>
      </c>
      <c r="O598" s="303"/>
      <c r="P598" s="117"/>
    </row>
    <row r="599" spans="1:16" s="114" customFormat="1" ht="15">
      <c r="A599" s="39">
        <v>596</v>
      </c>
      <c r="B599" s="268" t="s">
        <v>56</v>
      </c>
      <c r="C599" s="31">
        <v>40158</v>
      </c>
      <c r="D599" s="27" t="s">
        <v>241</v>
      </c>
      <c r="E599" s="56">
        <v>141</v>
      </c>
      <c r="F599" s="56">
        <v>3</v>
      </c>
      <c r="G599" s="56">
        <v>9</v>
      </c>
      <c r="H599" s="161">
        <v>883</v>
      </c>
      <c r="I599" s="150">
        <v>141</v>
      </c>
      <c r="J599" s="152">
        <f t="shared" si="53"/>
        <v>47</v>
      </c>
      <c r="K599" s="154">
        <f>+H599/I599</f>
        <v>6.26241134751773</v>
      </c>
      <c r="L599" s="156">
        <f>1700414+883</f>
        <v>1701297</v>
      </c>
      <c r="M599" s="152">
        <f>200053+141</f>
        <v>200194</v>
      </c>
      <c r="N599" s="267">
        <f>+L600/M600</f>
        <v>8.494355724124164</v>
      </c>
      <c r="O599" s="301"/>
      <c r="P599" s="117"/>
    </row>
    <row r="600" spans="1:16" s="114" customFormat="1" ht="15">
      <c r="A600" s="39">
        <v>597</v>
      </c>
      <c r="B600" s="268" t="s">
        <v>56</v>
      </c>
      <c r="C600" s="31">
        <v>40158</v>
      </c>
      <c r="D600" s="27" t="s">
        <v>241</v>
      </c>
      <c r="E600" s="56">
        <v>141</v>
      </c>
      <c r="F600" s="56">
        <v>1</v>
      </c>
      <c r="G600" s="56">
        <v>10</v>
      </c>
      <c r="H600" s="148">
        <v>803</v>
      </c>
      <c r="I600" s="162">
        <v>186</v>
      </c>
      <c r="J600" s="181">
        <f t="shared" si="53"/>
        <v>186</v>
      </c>
      <c r="K600" s="182">
        <f>H600/I600</f>
        <v>4.317204301075269</v>
      </c>
      <c r="L600" s="183">
        <v>1702099</v>
      </c>
      <c r="M600" s="181">
        <v>200380</v>
      </c>
      <c r="N600" s="267">
        <f>+L601/M601</f>
        <v>8.491651289212507</v>
      </c>
      <c r="O600" s="305"/>
      <c r="P600" s="117"/>
    </row>
    <row r="601" spans="1:16" s="114" customFormat="1" ht="15">
      <c r="A601" s="39">
        <v>598</v>
      </c>
      <c r="B601" s="268" t="s">
        <v>56</v>
      </c>
      <c r="C601" s="31">
        <v>40158</v>
      </c>
      <c r="D601" s="27" t="s">
        <v>241</v>
      </c>
      <c r="E601" s="56">
        <v>141</v>
      </c>
      <c r="F601" s="56">
        <v>1</v>
      </c>
      <c r="G601" s="56">
        <v>11</v>
      </c>
      <c r="H601" s="148">
        <v>562</v>
      </c>
      <c r="I601" s="162">
        <v>130</v>
      </c>
      <c r="J601" s="181">
        <f t="shared" si="53"/>
        <v>130</v>
      </c>
      <c r="K601" s="182">
        <f>H601/I601</f>
        <v>4.323076923076923</v>
      </c>
      <c r="L601" s="183">
        <v>1702661</v>
      </c>
      <c r="M601" s="181">
        <v>200510</v>
      </c>
      <c r="N601" s="266">
        <f>L602/M602</f>
        <v>9.65701429613815</v>
      </c>
      <c r="O601" s="303"/>
      <c r="P601" s="117"/>
    </row>
    <row r="602" spans="1:16" s="114" customFormat="1" ht="15">
      <c r="A602" s="39">
        <v>599</v>
      </c>
      <c r="B602" s="265" t="s">
        <v>239</v>
      </c>
      <c r="C602" s="31">
        <v>39829</v>
      </c>
      <c r="D602" s="32" t="s">
        <v>47</v>
      </c>
      <c r="E602" s="56">
        <v>27</v>
      </c>
      <c r="F602" s="56">
        <v>1</v>
      </c>
      <c r="G602" s="56">
        <v>27</v>
      </c>
      <c r="H602" s="149">
        <v>556</v>
      </c>
      <c r="I602" s="151">
        <v>134</v>
      </c>
      <c r="J602" s="152">
        <f t="shared" si="53"/>
        <v>134</v>
      </c>
      <c r="K602" s="154">
        <f>H602/I602</f>
        <v>4.149253731343284</v>
      </c>
      <c r="L602" s="156">
        <f>354992.5+968+417+405+556</f>
        <v>357338.5</v>
      </c>
      <c r="M602" s="152">
        <f>34663+92+49+815+174+99+126+262+271+160+77+81+134</f>
        <v>37003</v>
      </c>
      <c r="N602" s="267">
        <f>+L602/M602</f>
        <v>9.65701429613815</v>
      </c>
      <c r="O602" s="301"/>
      <c r="P602" s="117"/>
    </row>
    <row r="603" spans="1:16" s="116" customFormat="1" ht="15">
      <c r="A603" s="39">
        <v>600</v>
      </c>
      <c r="B603" s="265" t="s">
        <v>113</v>
      </c>
      <c r="C603" s="31">
        <v>39920</v>
      </c>
      <c r="D603" s="32" t="s">
        <v>242</v>
      </c>
      <c r="E603" s="54">
        <v>133</v>
      </c>
      <c r="F603" s="54">
        <v>2</v>
      </c>
      <c r="G603" s="54">
        <v>23</v>
      </c>
      <c r="H603" s="163">
        <v>4040</v>
      </c>
      <c r="I603" s="165">
        <v>1010</v>
      </c>
      <c r="J603" s="152">
        <f>(I603/F603)</f>
        <v>505</v>
      </c>
      <c r="K603" s="154">
        <f>H603/I603</f>
        <v>4</v>
      </c>
      <c r="L603" s="156">
        <f>814797.5+158602+44526+7105.5+1443+731+330+3273+1356+388+2317+2290.5+138+112.5+37+1136+51+98+1424+1780+1780+2020+4040</f>
        <v>1049776</v>
      </c>
      <c r="M603" s="152">
        <f>100614+19257+6285+1176+234+205+67+783+301+48+521+500+23+18+9+170+23+30+356+445+445+505+1010</f>
        <v>133025</v>
      </c>
      <c r="N603" s="267">
        <f>L603/M603</f>
        <v>7.891569253899643</v>
      </c>
      <c r="O603" s="305"/>
      <c r="P603" s="118"/>
    </row>
    <row r="604" spans="1:16" s="114" customFormat="1" ht="15">
      <c r="A604" s="39">
        <v>601</v>
      </c>
      <c r="B604" s="265" t="s">
        <v>113</v>
      </c>
      <c r="C604" s="31">
        <v>39920</v>
      </c>
      <c r="D604" s="32" t="s">
        <v>242</v>
      </c>
      <c r="E604" s="54">
        <v>133</v>
      </c>
      <c r="F604" s="54">
        <v>1</v>
      </c>
      <c r="G604" s="54">
        <v>22</v>
      </c>
      <c r="H604" s="163">
        <v>2020</v>
      </c>
      <c r="I604" s="164">
        <v>505</v>
      </c>
      <c r="J604" s="181">
        <f>(I604/F604)</f>
        <v>505</v>
      </c>
      <c r="K604" s="182">
        <f>H604/I604</f>
        <v>4</v>
      </c>
      <c r="L604" s="183">
        <f>814797.5+158602+44526+7105.5+1443+731+330+3273+1356+388+2317+2290.5+138+112.5+37+1136+51+98+1424+1780+1780+2020</f>
        <v>1045736</v>
      </c>
      <c r="M604" s="181">
        <f>100614+19257+6285+1176+234+205+67+783+301+48+521+500+23+18+9+170+23+30+356+445+445+505</f>
        <v>132015</v>
      </c>
      <c r="N604" s="270">
        <f>L604/M604</f>
        <v>7.921342271711548</v>
      </c>
      <c r="O604" s="302"/>
      <c r="P604" s="117"/>
    </row>
    <row r="605" spans="1:16" s="115" customFormat="1" ht="15">
      <c r="A605" s="39">
        <v>602</v>
      </c>
      <c r="B605" s="269" t="s">
        <v>113</v>
      </c>
      <c r="C605" s="34">
        <v>39920</v>
      </c>
      <c r="D605" s="32" t="s">
        <v>242</v>
      </c>
      <c r="E605" s="57">
        <v>133</v>
      </c>
      <c r="F605" s="57">
        <v>1</v>
      </c>
      <c r="G605" s="57">
        <v>20</v>
      </c>
      <c r="H605" s="149">
        <v>1780</v>
      </c>
      <c r="I605" s="151">
        <v>445</v>
      </c>
      <c r="J605" s="153">
        <f>(I605/F605)</f>
        <v>445</v>
      </c>
      <c r="K605" s="154">
        <f>+H605/I605</f>
        <v>4</v>
      </c>
      <c r="L605" s="157">
        <f>814797.5+158602+44526+7105.5+1443+731+330+3273+1356+388+2317+2290.5+138+112.5+37+1136+51+98+1424+1780</f>
        <v>1041936</v>
      </c>
      <c r="M605" s="158">
        <f>100614+19257+6285+1176+234+205+67+783+301+48+521+500+23+18+9+170+23+30+356+445</f>
        <v>131065</v>
      </c>
      <c r="N605" s="267">
        <f>L606/M606</f>
        <v>7.936400273743441</v>
      </c>
      <c r="O605" s="301"/>
      <c r="P605" s="119"/>
    </row>
    <row r="606" spans="1:16" s="114" customFormat="1" ht="15">
      <c r="A606" s="39">
        <v>603</v>
      </c>
      <c r="B606" s="268" t="s">
        <v>113</v>
      </c>
      <c r="C606" s="46">
        <v>39920</v>
      </c>
      <c r="D606" s="32" t="s">
        <v>242</v>
      </c>
      <c r="E606" s="54">
        <v>133</v>
      </c>
      <c r="F606" s="54">
        <v>1</v>
      </c>
      <c r="G606" s="54">
        <v>21</v>
      </c>
      <c r="H606" s="163">
        <v>1780</v>
      </c>
      <c r="I606" s="164">
        <v>445</v>
      </c>
      <c r="J606" s="181">
        <f>(I606/F606)</f>
        <v>445</v>
      </c>
      <c r="K606" s="182">
        <f>H606/I606</f>
        <v>4</v>
      </c>
      <c r="L606" s="183">
        <f>814797.5+158602+44526+7105.5+1443+731+330+3273+1356+388+2317+2290.5+138+112.5+37+1136+51+98+1424+1780+1780</f>
        <v>1043716</v>
      </c>
      <c r="M606" s="181">
        <f>100614+19257+6285+1176+234+205+67+783+301+48+521+500+23+18+9+170+23+30+356+445+445</f>
        <v>131510</v>
      </c>
      <c r="N606" s="267">
        <f>+L607/M607</f>
        <v>7.903411795564277</v>
      </c>
      <c r="O606" s="308"/>
      <c r="P606" s="117"/>
    </row>
    <row r="607" spans="1:15" ht="15">
      <c r="A607" s="39">
        <v>604</v>
      </c>
      <c r="B607" s="265" t="s">
        <v>339</v>
      </c>
      <c r="C607" s="31">
        <v>40074</v>
      </c>
      <c r="D607" s="27" t="s">
        <v>101</v>
      </c>
      <c r="E607" s="229">
        <v>142</v>
      </c>
      <c r="F607" s="229">
        <v>1</v>
      </c>
      <c r="G607" s="229">
        <v>15</v>
      </c>
      <c r="H607" s="161">
        <v>318</v>
      </c>
      <c r="I607" s="150">
        <v>53</v>
      </c>
      <c r="J607" s="152">
        <f>IF(H607&lt;&gt;0,I607/F607,"")</f>
        <v>53</v>
      </c>
      <c r="K607" s="154">
        <f>IF(H607&lt;&gt;0,H607/I607,"")</f>
        <v>6</v>
      </c>
      <c r="L607" s="156">
        <v>813553.5</v>
      </c>
      <c r="M607" s="152">
        <v>102937</v>
      </c>
      <c r="N607" s="267">
        <f>IF(L607&lt;&gt;0,L607/M607,"")</f>
        <v>7.903411795564277</v>
      </c>
      <c r="O607" s="312"/>
    </row>
    <row r="608" spans="1:15" ht="15">
      <c r="A608" s="39">
        <v>605</v>
      </c>
      <c r="B608" s="265" t="s">
        <v>316</v>
      </c>
      <c r="C608" s="31">
        <v>40074</v>
      </c>
      <c r="D608" s="27" t="s">
        <v>101</v>
      </c>
      <c r="E608" s="229">
        <v>142</v>
      </c>
      <c r="F608" s="229">
        <v>1</v>
      </c>
      <c r="G608" s="229">
        <v>16</v>
      </c>
      <c r="H608" s="161">
        <v>318</v>
      </c>
      <c r="I608" s="150">
        <v>53</v>
      </c>
      <c r="J608" s="152">
        <f>IF(H608&lt;&gt;0,I608/F608,"")</f>
        <v>53</v>
      </c>
      <c r="K608" s="154">
        <f>IF(H608&lt;&gt;0,H608/I608,"")</f>
        <v>6</v>
      </c>
      <c r="L608" s="156">
        <f>813553.5+H608</f>
        <v>813871.5</v>
      </c>
      <c r="M608" s="152">
        <f>102937+J608</f>
        <v>102990</v>
      </c>
      <c r="N608" s="267">
        <f>+L608/M608</f>
        <v>7.902432274978153</v>
      </c>
      <c r="O608" s="349">
        <v>1</v>
      </c>
    </row>
    <row r="609" spans="1:15" ht="15">
      <c r="A609" s="39">
        <v>606</v>
      </c>
      <c r="B609" s="268" t="s">
        <v>170</v>
      </c>
      <c r="C609" s="46">
        <v>40074</v>
      </c>
      <c r="D609" s="28" t="s">
        <v>154</v>
      </c>
      <c r="E609" s="54">
        <v>142</v>
      </c>
      <c r="F609" s="54">
        <v>2</v>
      </c>
      <c r="G609" s="54">
        <v>13</v>
      </c>
      <c r="H609" s="163">
        <v>2077</v>
      </c>
      <c r="I609" s="164">
        <v>415</v>
      </c>
      <c r="J609" s="181">
        <f>I609/F609</f>
        <v>207.5</v>
      </c>
      <c r="K609" s="182">
        <f>H609/I609</f>
        <v>5.004819277108433</v>
      </c>
      <c r="L609" s="183">
        <v>812953.5</v>
      </c>
      <c r="M609" s="181">
        <v>102837</v>
      </c>
      <c r="N609" s="267">
        <f>+L610/M610</f>
        <v>7.904392325337273</v>
      </c>
      <c r="O609" s="331">
        <v>1</v>
      </c>
    </row>
    <row r="610" spans="1:15" ht="15">
      <c r="A610" s="39">
        <v>607</v>
      </c>
      <c r="B610" s="265" t="s">
        <v>316</v>
      </c>
      <c r="C610" s="26">
        <v>40074</v>
      </c>
      <c r="D610" s="27" t="s">
        <v>101</v>
      </c>
      <c r="E610" s="55">
        <v>142</v>
      </c>
      <c r="F610" s="55">
        <v>1</v>
      </c>
      <c r="G610" s="55">
        <v>14</v>
      </c>
      <c r="H610" s="159">
        <v>282</v>
      </c>
      <c r="I610" s="160">
        <v>47</v>
      </c>
      <c r="J610" s="177">
        <f>IF(H610&lt;&gt;0,I610/F610,"")</f>
        <v>47</v>
      </c>
      <c r="K610" s="155">
        <f>IF(H610&lt;&gt;0,H610/I610,"")</f>
        <v>6</v>
      </c>
      <c r="L610" s="178">
        <v>813235.5</v>
      </c>
      <c r="M610" s="179">
        <v>102884</v>
      </c>
      <c r="N610" s="266">
        <f>IF(L610&lt;&gt;0,L610/M610,"")</f>
        <v>7.904392325337273</v>
      </c>
      <c r="O610" s="303"/>
    </row>
    <row r="611" spans="1:15" ht="15">
      <c r="A611" s="39">
        <v>608</v>
      </c>
      <c r="B611" s="268" t="s">
        <v>170</v>
      </c>
      <c r="C611" s="31">
        <v>40074</v>
      </c>
      <c r="D611" s="28" t="s">
        <v>154</v>
      </c>
      <c r="E611" s="56">
        <v>142</v>
      </c>
      <c r="F611" s="56">
        <v>1</v>
      </c>
      <c r="G611" s="56">
        <v>12</v>
      </c>
      <c r="H611" s="148">
        <v>220</v>
      </c>
      <c r="I611" s="162">
        <v>31</v>
      </c>
      <c r="J611" s="181">
        <f>I611/F611</f>
        <v>31</v>
      </c>
      <c r="K611" s="182">
        <f>H611/I611</f>
        <v>7.096774193548387</v>
      </c>
      <c r="L611" s="183">
        <v>810876.5</v>
      </c>
      <c r="M611" s="181">
        <v>102422</v>
      </c>
      <c r="N611" s="272">
        <f>IF(L612&lt;&gt;0,L612/M612,"")</f>
        <v>7.917263236026604</v>
      </c>
      <c r="O611" s="331">
        <v>1</v>
      </c>
    </row>
    <row r="612" spans="1:15" ht="15">
      <c r="A612" s="39">
        <v>609</v>
      </c>
      <c r="B612" s="265" t="s">
        <v>24</v>
      </c>
      <c r="C612" s="26">
        <v>40074</v>
      </c>
      <c r="D612" s="28" t="s">
        <v>154</v>
      </c>
      <c r="E612" s="55">
        <v>142</v>
      </c>
      <c r="F612" s="55">
        <v>1</v>
      </c>
      <c r="G612" s="55">
        <v>11</v>
      </c>
      <c r="H612" s="166">
        <v>203</v>
      </c>
      <c r="I612" s="167">
        <v>35</v>
      </c>
      <c r="J612" s="184">
        <f>IF(H612&lt;&gt;0,I612/F612,"")</f>
        <v>35</v>
      </c>
      <c r="K612" s="185">
        <f>IF(H612&lt;&gt;0,H612/I612,"")</f>
        <v>5.8</v>
      </c>
      <c r="L612" s="186">
        <v>810656.5</v>
      </c>
      <c r="M612" s="152">
        <v>102391</v>
      </c>
      <c r="N612" s="267">
        <f>L613/M613</f>
        <v>6.628820520573488</v>
      </c>
      <c r="O612" s="303"/>
    </row>
    <row r="613" spans="1:15" ht="15">
      <c r="A613" s="39">
        <v>610</v>
      </c>
      <c r="B613" s="268" t="s">
        <v>193</v>
      </c>
      <c r="C613" s="46">
        <v>39766</v>
      </c>
      <c r="D613" s="28" t="s">
        <v>244</v>
      </c>
      <c r="E613" s="54">
        <v>50</v>
      </c>
      <c r="F613" s="54">
        <v>2</v>
      </c>
      <c r="G613" s="54">
        <v>33</v>
      </c>
      <c r="H613" s="163">
        <v>2372</v>
      </c>
      <c r="I613" s="164">
        <v>474</v>
      </c>
      <c r="J613" s="181">
        <f>I613/F613</f>
        <v>237</v>
      </c>
      <c r="K613" s="182">
        <f>H613/I613</f>
        <v>5.0042194092827</v>
      </c>
      <c r="L613" s="183">
        <v>263078</v>
      </c>
      <c r="M613" s="181">
        <v>39687</v>
      </c>
      <c r="N613" s="267">
        <f>+L614/M614</f>
        <v>7.385730887790786</v>
      </c>
      <c r="O613" s="303"/>
    </row>
    <row r="614" spans="1:15" ht="15">
      <c r="A614" s="39">
        <v>611</v>
      </c>
      <c r="B614" s="265" t="s">
        <v>407</v>
      </c>
      <c r="C614" s="31">
        <v>39801</v>
      </c>
      <c r="D614" s="27" t="s">
        <v>242</v>
      </c>
      <c r="E614" s="229">
        <v>42</v>
      </c>
      <c r="F614" s="229">
        <v>1</v>
      </c>
      <c r="G614" s="229">
        <v>38</v>
      </c>
      <c r="H614" s="161">
        <v>2376</v>
      </c>
      <c r="I614" s="150">
        <v>594</v>
      </c>
      <c r="J614" s="152">
        <f>(I614/F614)</f>
        <v>594</v>
      </c>
      <c r="K614" s="154">
        <f>H614/I614</f>
        <v>4</v>
      </c>
      <c r="L614" s="156">
        <f>295344+204961.5+145464.5+116108.5+111972.5+49984+26327+32042+18579+20005+19180+15980+2686.5+3166.5+366+13433+4493+735.5+607.5+2528+83+198+248+2348+825+2700+2268+393+2002+2063+343+1188+2020+398.46+291.4+240.58+592+2+2376</f>
        <v>1104543.44</v>
      </c>
      <c r="M614" s="152">
        <f>36142+24747+19417+15404+14719+7567+3314+5289+3173+3275+3534+2826+540+724+52+2536+882+130+150+615+21+66+51+497+165+675+506+78+241+404+59+297+505+86+63+59+148+594</f>
        <v>149551</v>
      </c>
      <c r="N614" s="267">
        <f>L614/M614</f>
        <v>7.385730887790786</v>
      </c>
      <c r="O614" s="349">
        <v>1</v>
      </c>
    </row>
    <row r="615" spans="1:15" ht="15">
      <c r="A615" s="39">
        <v>612</v>
      </c>
      <c r="B615" s="275" t="s">
        <v>213</v>
      </c>
      <c r="C615" s="31">
        <v>39801</v>
      </c>
      <c r="D615" s="32" t="s">
        <v>242</v>
      </c>
      <c r="E615" s="54">
        <v>42</v>
      </c>
      <c r="F615" s="54">
        <v>1</v>
      </c>
      <c r="G615" s="54">
        <v>33</v>
      </c>
      <c r="H615" s="163">
        <v>2020</v>
      </c>
      <c r="I615" s="164">
        <v>505</v>
      </c>
      <c r="J615" s="181">
        <f>I615/F615</f>
        <v>505</v>
      </c>
      <c r="K615" s="182">
        <f>H615/I615</f>
        <v>4</v>
      </c>
      <c r="L615" s="183">
        <f>295344+204961.5+145464.5+116108.5+111972.5+49984+26327+32042+18579+20005+19180+15980+2686.5+3166.5+366+13433+4493+735.5+607.5+2528+83+198+248+2348+825+2700+2268+393+2002+2063+343+1188+2020</f>
        <v>1100643</v>
      </c>
      <c r="M615" s="181">
        <f>36142+24747+19417+15404+14719+7567+3314+5289+3173+3275+3534+2826+540+724+52+2536+882+130+150+615+21+66+51+497+165+675+506+78+241+404+59+297+505</f>
        <v>148601</v>
      </c>
      <c r="N615" s="270">
        <f>+L615/M615</f>
        <v>7.406699820324224</v>
      </c>
      <c r="O615" s="302">
        <v>1</v>
      </c>
    </row>
    <row r="616" spans="1:15" ht="15">
      <c r="A616" s="39">
        <v>613</v>
      </c>
      <c r="B616" s="271" t="s">
        <v>213</v>
      </c>
      <c r="C616" s="31">
        <v>39801</v>
      </c>
      <c r="D616" s="32" t="s">
        <v>242</v>
      </c>
      <c r="E616" s="229">
        <v>42</v>
      </c>
      <c r="F616" s="229">
        <v>1</v>
      </c>
      <c r="G616" s="229">
        <v>37</v>
      </c>
      <c r="H616" s="159">
        <v>592</v>
      </c>
      <c r="I616" s="160">
        <v>148</v>
      </c>
      <c r="J616" s="177">
        <f>(I616/F616)</f>
        <v>148</v>
      </c>
      <c r="K616" s="155">
        <f>H616/I616</f>
        <v>4</v>
      </c>
      <c r="L616" s="178">
        <f>295344+204961.5+145464.5+116108.5+111972.5+49984+26327+32042+18579+20005+19180+15980+2686.5+3166.5+366+13433+4493+735.5+607.5+2528+83+198+248+2348+825+2700+2268+393+2002+2063+343+1188+2020+398.46+291.4+240.58+592</f>
        <v>1102165.44</v>
      </c>
      <c r="M616" s="179">
        <f>36142+24747+19417+15404+14719+7567+3314+5289+3173+3275+3534+2826+540+724+52+2536+882+130+150+615+21+66+51+497+165+675+506+78+241+404+59+297+505+86+63+59+148</f>
        <v>148957</v>
      </c>
      <c r="N616" s="266">
        <f>L616/M616</f>
        <v>7.3992188349657955</v>
      </c>
      <c r="O616" s="303">
        <v>1</v>
      </c>
    </row>
    <row r="617" spans="1:15" ht="15">
      <c r="A617" s="39">
        <v>614</v>
      </c>
      <c r="B617" s="265" t="s">
        <v>213</v>
      </c>
      <c r="C617" s="31">
        <v>39801</v>
      </c>
      <c r="D617" s="32" t="s">
        <v>242</v>
      </c>
      <c r="E617" s="54">
        <v>42</v>
      </c>
      <c r="F617" s="54">
        <v>1</v>
      </c>
      <c r="G617" s="54">
        <v>34</v>
      </c>
      <c r="H617" s="163">
        <v>398.46</v>
      </c>
      <c r="I617" s="164">
        <v>86</v>
      </c>
      <c r="J617" s="181">
        <f>I617/F617</f>
        <v>86</v>
      </c>
      <c r="K617" s="182">
        <f>+H617/I617</f>
        <v>4.633255813953488</v>
      </c>
      <c r="L617" s="183">
        <f>295344+204961.5+145464.5+116108.5+111972.5+49984+26327+32042+18579+20005+19180+15980+2686.5+3166.5+366+13433+4493+735.5+607.5+2528+83+198+248+2348+825+2700+2268+393+2002+2063+343+1188+2020+398.46</f>
        <v>1101041.46</v>
      </c>
      <c r="M617" s="181">
        <f>36142+24747+19417+15404+14719+7567+3314+5289+3173+3275+3534+2826+540+724+52+2536+882+130+150+615+21+66+51+497+165+675+506+78+241+404+59+297+505+86</f>
        <v>148687</v>
      </c>
      <c r="N617" s="270">
        <f>+L617/M617</f>
        <v>7.405095670771487</v>
      </c>
      <c r="O617" s="315">
        <v>1</v>
      </c>
    </row>
    <row r="618" spans="1:15" ht="15">
      <c r="A618" s="39">
        <v>615</v>
      </c>
      <c r="B618" s="265" t="s">
        <v>213</v>
      </c>
      <c r="C618" s="31">
        <v>39801</v>
      </c>
      <c r="D618" s="32" t="s">
        <v>242</v>
      </c>
      <c r="E618" s="54">
        <v>42</v>
      </c>
      <c r="F618" s="54">
        <v>1</v>
      </c>
      <c r="G618" s="54">
        <v>35</v>
      </c>
      <c r="H618" s="163">
        <v>291.4</v>
      </c>
      <c r="I618" s="164">
        <v>63</v>
      </c>
      <c r="J618" s="181">
        <f>(I618/F618)</f>
        <v>63</v>
      </c>
      <c r="K618" s="182">
        <f aca="true" t="shared" si="54" ref="K618:K635">H618/I618</f>
        <v>4.625396825396825</v>
      </c>
      <c r="L618" s="183">
        <f>295344+204961.5+145464.5+116108.5+111972.5+49984+26327+32042+18579+20005+19180+15980+2686.5+3166.5+366+13433+4493+735.5+607.5+2528+83+198+248+2348+825+2700+2268+393+2002+2063+343+1188+2020+398.46+291.4</f>
        <v>1101332.8599999999</v>
      </c>
      <c r="M618" s="181">
        <f>36142+24747+19417+15404+14719+7567+3314+5289+3173+3275+3534+2826+540+724+52+2536+882+130+150+615+21+66+51+497+165+675+506+78+241+404+59+297+505+86+63</f>
        <v>148750</v>
      </c>
      <c r="N618" s="270">
        <f>L618/M618</f>
        <v>7.403918386554621</v>
      </c>
      <c r="O618" s="309">
        <v>1</v>
      </c>
    </row>
    <row r="619" spans="1:15" ht="15">
      <c r="A619" s="39">
        <v>616</v>
      </c>
      <c r="B619" s="265" t="s">
        <v>213</v>
      </c>
      <c r="C619" s="31">
        <v>39801</v>
      </c>
      <c r="D619" s="32" t="s">
        <v>242</v>
      </c>
      <c r="E619" s="54">
        <v>42</v>
      </c>
      <c r="F619" s="54">
        <v>1</v>
      </c>
      <c r="G619" s="54">
        <v>36</v>
      </c>
      <c r="H619" s="163">
        <v>240.58</v>
      </c>
      <c r="I619" s="165">
        <v>59</v>
      </c>
      <c r="J619" s="152">
        <f>(I619/F619)</f>
        <v>59</v>
      </c>
      <c r="K619" s="154">
        <f t="shared" si="54"/>
        <v>4.077627118644068</v>
      </c>
      <c r="L619" s="156">
        <f>295344+204961.5+145464.5+116108.5+111972.5+49984+26327+32042+18579+20005+19180+15980+2686.5+3166.5+366+13433+4493+735.5+607.5+2528+83+198+248+2348+825+2700+2268+393+2002+2063+343+1188+2020+398.46+291.4+240.58</f>
        <v>1101573.44</v>
      </c>
      <c r="M619" s="152">
        <f>36142+24747+19417+15404+14719+7567+3314+5289+3173+3275+3534+2826+540+724+52+2536+882+130+150+615+21+66+51+497+165+675+506+78+241+404+59+297+505+86+63+59</f>
        <v>148809</v>
      </c>
      <c r="N619" s="267">
        <f>L619/M619</f>
        <v>7.4025995739505</v>
      </c>
      <c r="O619" s="303">
        <v>1</v>
      </c>
    </row>
    <row r="620" spans="1:15" ht="15">
      <c r="A620" s="39">
        <v>617</v>
      </c>
      <c r="B620" s="275" t="s">
        <v>194</v>
      </c>
      <c r="C620" s="31">
        <v>40074</v>
      </c>
      <c r="D620" s="32" t="s">
        <v>47</v>
      </c>
      <c r="E620" s="54">
        <v>201</v>
      </c>
      <c r="F620" s="54">
        <v>1</v>
      </c>
      <c r="G620" s="54">
        <v>11</v>
      </c>
      <c r="H620" s="163">
        <v>1918.5</v>
      </c>
      <c r="I620" s="164">
        <v>320</v>
      </c>
      <c r="J620" s="181">
        <f>I620/F620</f>
        <v>320</v>
      </c>
      <c r="K620" s="182">
        <f t="shared" si="54"/>
        <v>5.9953125</v>
      </c>
      <c r="L620" s="183">
        <f>492395.5+172608.75+93279.75+41455.5+4013+0.5+709.5+90+170+100+2036+1918+0.5</f>
        <v>808777</v>
      </c>
      <c r="M620" s="181">
        <f>60122+23227+13952+6612+619+91+9+17+10+407+320</f>
        <v>105386</v>
      </c>
      <c r="N620" s="267">
        <f>+L621/M621</f>
        <v>6.650311784344563</v>
      </c>
      <c r="O620" s="303">
        <v>1</v>
      </c>
    </row>
    <row r="621" spans="1:15" ht="15">
      <c r="A621" s="39">
        <v>618</v>
      </c>
      <c r="B621" s="265" t="s">
        <v>345</v>
      </c>
      <c r="C621" s="31">
        <v>39926</v>
      </c>
      <c r="D621" s="27" t="s">
        <v>242</v>
      </c>
      <c r="E621" s="229">
        <v>40</v>
      </c>
      <c r="F621" s="229">
        <v>1</v>
      </c>
      <c r="G621" s="229">
        <v>47</v>
      </c>
      <c r="H621" s="161">
        <v>201.5</v>
      </c>
      <c r="I621" s="150">
        <v>31</v>
      </c>
      <c r="J621" s="152">
        <f aca="true" t="shared" si="55" ref="J621:J626">(I621/F621)</f>
        <v>31</v>
      </c>
      <c r="K621" s="154">
        <f t="shared" si="54"/>
        <v>6.5</v>
      </c>
      <c r="L621" s="156">
        <f>35864.5+53058.5+35303.5+15734.5+12778.5+9687.5+8045+13953.5+10307+6140.75+1296+667+231+755+1970+2246+752.5+591.5+130+445+2051+750+1477+2060+1816+47+72+84+378+2301+1280+700+256+1780+92+200+187+6592.5+2601.5+325.5+274.5+250.5+1365+122.5+3435+71.5+299+201.5</f>
        <v>241027.25</v>
      </c>
      <c r="M621" s="152">
        <f>3971+5771+3969+2398+2257+2131+1634+2509+1783+912+230+126+48+181+472+311+114+91+20+78+493+183+365+462+452+9+24+28+94+494+182+115+64+445+35+80+73+1697+671+84+61+68+336+35+599+11+46+31</f>
        <v>36243</v>
      </c>
      <c r="N621" s="267">
        <f aca="true" t="shared" si="56" ref="N621:N626">L621/M621</f>
        <v>6.650311784344563</v>
      </c>
      <c r="O621" s="349"/>
    </row>
    <row r="622" spans="1:15" ht="15">
      <c r="A622" s="39">
        <v>619</v>
      </c>
      <c r="B622" s="265" t="s">
        <v>345</v>
      </c>
      <c r="C622" s="31">
        <v>39926</v>
      </c>
      <c r="D622" s="27" t="s">
        <v>242</v>
      </c>
      <c r="E622" s="229">
        <v>40</v>
      </c>
      <c r="F622" s="229">
        <v>1</v>
      </c>
      <c r="G622" s="229">
        <v>46</v>
      </c>
      <c r="H622" s="161">
        <v>299</v>
      </c>
      <c r="I622" s="150">
        <v>46</v>
      </c>
      <c r="J622" s="152">
        <f t="shared" si="55"/>
        <v>46</v>
      </c>
      <c r="K622" s="154">
        <f t="shared" si="54"/>
        <v>6.5</v>
      </c>
      <c r="L622" s="156">
        <f>35864.5+53058.5+35303.5+15734.5+12778.5+9687.5+8045+13953.5+10307+6140.75+1296+667+231+755+1970+2246+752.5+591.5+130+445+2051+750+1477+2060+1816+47+72+84+378+2301+1280+700+256+1780+92+200+187+6592.5+2601.5+325.5+274.5+250.5+1365+122.5+3435+71.5+299</f>
        <v>240825.75</v>
      </c>
      <c r="M622" s="152">
        <f>3971+5771+3969+2398+2257+2131+1634+2509+1783+912+230+126+48+181+472+311+114+91+20+78+493+183+365+462+452+9+24+28+94+494+182+115+64+445+35+80+73+1697+671+84+61+68+336+35+599+11+46</f>
        <v>36212</v>
      </c>
      <c r="N622" s="267">
        <f t="shared" si="56"/>
        <v>6.6504404617253945</v>
      </c>
      <c r="O622" s="303">
        <v>1</v>
      </c>
    </row>
    <row r="623" spans="1:15" ht="15">
      <c r="A623" s="39">
        <v>620</v>
      </c>
      <c r="B623" s="265" t="s">
        <v>345</v>
      </c>
      <c r="C623" s="31">
        <v>39926</v>
      </c>
      <c r="D623" s="27" t="s">
        <v>261</v>
      </c>
      <c r="E623" s="229">
        <v>40</v>
      </c>
      <c r="F623" s="229">
        <v>2</v>
      </c>
      <c r="G623" s="229">
        <v>44</v>
      </c>
      <c r="H623" s="161">
        <v>3435</v>
      </c>
      <c r="I623" s="150">
        <v>599</v>
      </c>
      <c r="J623" s="152">
        <f t="shared" si="55"/>
        <v>299.5</v>
      </c>
      <c r="K623" s="154">
        <f t="shared" si="54"/>
        <v>5.734557595993322</v>
      </c>
      <c r="L623" s="156">
        <f>35864.5+53058.5+35303.5+15734.5+12778.5+9687.5+8045+13953.5+10307+6140.75+1296+667+231+755+1970+2246+752.5+591.5+130+445+2051+750+1477+2060+1816+47+72+84+378+2301+1280+700+256+1780+92+200+187+6592.5+2601.5+325.5+274.5+250.5+1365+122.5+3435</f>
        <v>240455.25</v>
      </c>
      <c r="M623" s="152">
        <f>3971+5771+3969+2398+2257+2131+1634+2509+1783+912+230+126+48+181+472+311+114+91+20+78+493+183+365+462+452+9+24+28+94+494+182+115+64+445+35+80+73+1697+671+84+61+68+336+35+599</f>
        <v>36155</v>
      </c>
      <c r="N623" s="267">
        <f t="shared" si="56"/>
        <v>6.650677637947725</v>
      </c>
      <c r="O623" s="331"/>
    </row>
    <row r="624" spans="1:15" ht="15">
      <c r="A624" s="39">
        <v>621</v>
      </c>
      <c r="B624" s="265" t="s">
        <v>383</v>
      </c>
      <c r="C624" s="31">
        <v>39926</v>
      </c>
      <c r="D624" s="27" t="s">
        <v>242</v>
      </c>
      <c r="E624" s="229">
        <v>40</v>
      </c>
      <c r="F624" s="229">
        <v>1</v>
      </c>
      <c r="G624" s="229">
        <v>45</v>
      </c>
      <c r="H624" s="161">
        <v>71.5</v>
      </c>
      <c r="I624" s="150">
        <v>11</v>
      </c>
      <c r="J624" s="152">
        <f t="shared" si="55"/>
        <v>11</v>
      </c>
      <c r="K624" s="154">
        <f t="shared" si="54"/>
        <v>6.5</v>
      </c>
      <c r="L624" s="156">
        <f>35864.5+53058.5+35303.5+15734.5+12778.5+9687.5+8045+13953.5+10307+6140.75+1296+667+231+755+1970+2246+752.5+591.5+130+445+2051+750+1477+2060+1816+47+72+84+378+2301+1280+700+256+1780+92+200+187+6592.5+2601.5+325.5+274.5+250.5+1365+122.5+3435+71.5</f>
        <v>240526.75</v>
      </c>
      <c r="M624" s="152">
        <f>3971+5771+3969+2398+2257+2131+1634+2509+1783+912+230+126+48+181+472+311+114+91+20+78+493+183+365+462+452+9+24+28+94+494+182+115+64+445+35+80+73+1697+671+84+61+68+336+35+599+11</f>
        <v>36166</v>
      </c>
      <c r="N624" s="267">
        <f t="shared" si="56"/>
        <v>6.650631808881269</v>
      </c>
      <c r="O624" s="349"/>
    </row>
    <row r="625" spans="1:15" ht="15">
      <c r="A625" s="39">
        <v>622</v>
      </c>
      <c r="B625" s="276" t="s">
        <v>233</v>
      </c>
      <c r="C625" s="31">
        <v>39926</v>
      </c>
      <c r="D625" s="32" t="s">
        <v>242</v>
      </c>
      <c r="E625" s="54">
        <v>40</v>
      </c>
      <c r="F625" s="54">
        <v>5</v>
      </c>
      <c r="G625" s="54">
        <v>37</v>
      </c>
      <c r="H625" s="163">
        <v>6592.5</v>
      </c>
      <c r="I625" s="164">
        <v>1697</v>
      </c>
      <c r="J625" s="181">
        <f t="shared" si="55"/>
        <v>339.4</v>
      </c>
      <c r="K625" s="182">
        <f t="shared" si="54"/>
        <v>3.8847967000589274</v>
      </c>
      <c r="L625" s="183">
        <f>35864.5+53058.5+35303.5+15734.5+12778.5+9687.5+8045+13953.5+10307+6140.75+1296+667+231+755+1970+2246+752.5+591.5+130+445+2051+750+1477+2060+1816+47+72+84+378+2301+1280+700+256+1780+92+200+187+6592.5</f>
        <v>232080.75</v>
      </c>
      <c r="M625" s="181">
        <f>3971+5771+3969+2398+2257+2131+1634+2509+1783+912+230+126+48+181+472+311+114+91+20+78+493+183+365+462+452+9+24+28+94+494+182+115+64+445+35+80+73+1697</f>
        <v>34301</v>
      </c>
      <c r="N625" s="270">
        <f t="shared" si="56"/>
        <v>6.766005364275094</v>
      </c>
      <c r="O625" s="312">
        <v>1</v>
      </c>
    </row>
    <row r="626" spans="1:15" ht="15">
      <c r="A626" s="39">
        <v>623</v>
      </c>
      <c r="B626" s="276" t="s">
        <v>233</v>
      </c>
      <c r="C626" s="31">
        <v>39926</v>
      </c>
      <c r="D626" s="32" t="s">
        <v>242</v>
      </c>
      <c r="E626" s="54">
        <v>40</v>
      </c>
      <c r="F626" s="54">
        <v>3</v>
      </c>
      <c r="G626" s="54">
        <v>38</v>
      </c>
      <c r="H626" s="163">
        <v>2601.5</v>
      </c>
      <c r="I626" s="165">
        <v>671</v>
      </c>
      <c r="J626" s="152">
        <f t="shared" si="55"/>
        <v>223.66666666666666</v>
      </c>
      <c r="K626" s="154">
        <f t="shared" si="54"/>
        <v>3.877049180327869</v>
      </c>
      <c r="L626" s="156">
        <f>35864.5+53058.5+35303.5+15734.5+12778.5+9687.5+8045+13953.5+10307+6140.75+1296+667+231+755+1970+2246+752.5+591.5+130+445+2051+750+1477+2060+1816+47+72+84+378+2301+1280+700+256+1780+92+200+187+6592.5+2601.5</f>
        <v>234682.25</v>
      </c>
      <c r="M626" s="152">
        <f>3971+5771+3969+2398+2257+2131+1634+2509+1783+912+230+126+48+181+472+311+114+91+20+78+493+183+365+462+452+9+24+28+94+494+182+115+64+445+35+80+73+1697+671</f>
        <v>34972</v>
      </c>
      <c r="N626" s="267">
        <f t="shared" si="56"/>
        <v>6.710575603339815</v>
      </c>
      <c r="O626" s="305">
        <v>1</v>
      </c>
    </row>
    <row r="627" spans="1:15" ht="15">
      <c r="A627" s="39">
        <v>624</v>
      </c>
      <c r="B627" s="276" t="s">
        <v>233</v>
      </c>
      <c r="C627" s="46">
        <v>39926</v>
      </c>
      <c r="D627" s="32" t="s">
        <v>242</v>
      </c>
      <c r="E627" s="54">
        <v>40</v>
      </c>
      <c r="F627" s="54">
        <v>1</v>
      </c>
      <c r="G627" s="54">
        <v>33</v>
      </c>
      <c r="H627" s="163">
        <v>1780</v>
      </c>
      <c r="I627" s="164">
        <v>445</v>
      </c>
      <c r="J627" s="181">
        <f>I627/F627</f>
        <v>445</v>
      </c>
      <c r="K627" s="182">
        <f t="shared" si="54"/>
        <v>4</v>
      </c>
      <c r="L627" s="183">
        <f>35864.5+53058.5+35303.5+15734.5+12778.5+9687.5+8045+13953.5+10307+6140.75+1296+667+231+755+1970+2246+752.5+591.5+130+445+2051+750+1477+2060+1816+47+72+84+378+2301+1280+700+256+1780</f>
        <v>225009.25</v>
      </c>
      <c r="M627" s="181">
        <f>3971+5771+3969+2398+2257+2131+1634+2509+1783+912+230+126+48+181+472+311+114+91+20+78+493+183+365+462+452+9+24+28+94+494+182+115+64+445</f>
        <v>32416</v>
      </c>
      <c r="N627" s="272">
        <f>IF(L628&lt;&gt;0,L628/M628,"")</f>
        <v>6.669230877509079</v>
      </c>
      <c r="O627" s="303"/>
    </row>
    <row r="628" spans="1:15" ht="15">
      <c r="A628" s="39">
        <v>625</v>
      </c>
      <c r="B628" s="265" t="s">
        <v>233</v>
      </c>
      <c r="C628" s="31">
        <v>39926</v>
      </c>
      <c r="D628" s="32" t="s">
        <v>242</v>
      </c>
      <c r="E628" s="56">
        <v>40</v>
      </c>
      <c r="F628" s="56">
        <v>2</v>
      </c>
      <c r="G628" s="56">
        <v>42</v>
      </c>
      <c r="H628" s="149">
        <v>1365</v>
      </c>
      <c r="I628" s="151">
        <v>336</v>
      </c>
      <c r="J628" s="152">
        <f>I628/F628</f>
        <v>168</v>
      </c>
      <c r="K628" s="154">
        <f t="shared" si="54"/>
        <v>4.0625</v>
      </c>
      <c r="L628" s="156">
        <f>35864.5+53058.5+35303.5+15734.5+12778.5+9687.5+8045+13953.5+10307+6140.75+1296+667+231+755+1970+2246+752.5+591.5+130+445+2051+750+1477+2060+1816+47+72+84+378+2301+1280+700+256+1780+92+200+187+6592.5+2601.5+325.5+274.5+250.5+1365</f>
        <v>236897.75</v>
      </c>
      <c r="M628" s="152">
        <f>3971+5771+3969+2398+2257+2131+1634+2509+1783+912+230+126+48+181+472+311+114+91+20+78+493+183+365+462+452+9+24+28+94+494+182+115+64+445+35+80+73+1697+671+84+61+68+336</f>
        <v>35521</v>
      </c>
      <c r="N628" s="267">
        <f>+L628/M628</f>
        <v>6.669230877509079</v>
      </c>
      <c r="O628" s="312"/>
    </row>
    <row r="629" spans="1:15" ht="15">
      <c r="A629" s="39">
        <v>626</v>
      </c>
      <c r="B629" s="276" t="s">
        <v>233</v>
      </c>
      <c r="C629" s="31">
        <v>39926</v>
      </c>
      <c r="D629" s="32" t="s">
        <v>242</v>
      </c>
      <c r="E629" s="56">
        <v>40</v>
      </c>
      <c r="F629" s="56">
        <v>2</v>
      </c>
      <c r="G629" s="56">
        <v>30</v>
      </c>
      <c r="H629" s="159">
        <v>1280</v>
      </c>
      <c r="I629" s="160">
        <v>182</v>
      </c>
      <c r="J629" s="177">
        <f aca="true" t="shared" si="57" ref="J629:J634">(I629/F629)</f>
        <v>91</v>
      </c>
      <c r="K629" s="155">
        <f t="shared" si="54"/>
        <v>7.032967032967033</v>
      </c>
      <c r="L629" s="178">
        <f>35864.5+53058.5+35303.5+15734.5+12778.5+9687.5+8045+13953.5+10307+6140.75+1296+667+231+755+1970+2246+752.5+591.5+130+445+2051+750+1477+2060+1816+47+72+84+378+2301+1280</f>
        <v>222273.25</v>
      </c>
      <c r="M629" s="179">
        <f>3971+5771+3969+2398+2257+2131+1634+2509+1783+912+230+126+48+181+472+311+114+91+20+78+493+183+365+462+452+9+24+28+94+494+182</f>
        <v>31792</v>
      </c>
      <c r="N629" s="266">
        <f>L630/M630</f>
        <v>6.988223587300593</v>
      </c>
      <c r="O629" s="301"/>
    </row>
    <row r="630" spans="1:15" ht="15">
      <c r="A630" s="39">
        <v>627</v>
      </c>
      <c r="B630" s="276" t="s">
        <v>233</v>
      </c>
      <c r="C630" s="31">
        <v>39926</v>
      </c>
      <c r="D630" s="32" t="s">
        <v>242</v>
      </c>
      <c r="E630" s="56">
        <v>40</v>
      </c>
      <c r="F630" s="56">
        <v>2</v>
      </c>
      <c r="G630" s="56">
        <v>31</v>
      </c>
      <c r="H630" s="159">
        <v>700</v>
      </c>
      <c r="I630" s="160">
        <v>115</v>
      </c>
      <c r="J630" s="177">
        <f t="shared" si="57"/>
        <v>57.5</v>
      </c>
      <c r="K630" s="180">
        <f t="shared" si="54"/>
        <v>6.086956521739131</v>
      </c>
      <c r="L630" s="178">
        <f>35864.5+53058.5+35303.5+15734.5+12778.5+9687.5+8045+13953.5+10307+6140.75+1296+667+231+755+1970+2246+752.5+591.5+130+445+2051+750+1477+2060+1816+47+72+84+378+2301+1280+700</f>
        <v>222973.25</v>
      </c>
      <c r="M630" s="179">
        <f>3971+5771+3969+2398+2257+2131+1634+2509+1783+912+230+126+48+181+472+311+114+91+20+78+493+183+365+462+452+9+24+28+94+494+182+115</f>
        <v>31907</v>
      </c>
      <c r="N630" s="266">
        <f>L631/M631</f>
        <v>6.703781093108169</v>
      </c>
      <c r="O630" s="308"/>
    </row>
    <row r="631" spans="1:15" ht="15">
      <c r="A631" s="39">
        <v>628</v>
      </c>
      <c r="B631" s="276" t="s">
        <v>233</v>
      </c>
      <c r="C631" s="31">
        <v>39926</v>
      </c>
      <c r="D631" s="32" t="s">
        <v>242</v>
      </c>
      <c r="E631" s="56">
        <v>40</v>
      </c>
      <c r="F631" s="56">
        <v>3</v>
      </c>
      <c r="G631" s="56">
        <v>39</v>
      </c>
      <c r="H631" s="149">
        <v>325.5</v>
      </c>
      <c r="I631" s="151">
        <v>84</v>
      </c>
      <c r="J631" s="153">
        <f t="shared" si="57"/>
        <v>28</v>
      </c>
      <c r="K631" s="155">
        <f t="shared" si="54"/>
        <v>3.875</v>
      </c>
      <c r="L631" s="157">
        <f>35864.5+53058.5+35303.5+15734.5+12778.5+9687.5+8045+13953.5+10307+6140.75+1296+667+231+755+1970+2246+752.5+591.5+130+445+2051+750+1477+2060+1816+47+72+84+378+2301+1280+700+256+1780+92+200+187+6592.5+2601.5+325.5</f>
        <v>235007.75</v>
      </c>
      <c r="M631" s="158">
        <f>3971+5771+3969+2398+2257+2131+1634+2509+1783+912+230+126+48+181+472+311+114+91+20+78+493+183+365+462+452+9+24+28+94+494+182+115+64+445+35+80+73+1697+671+84</f>
        <v>35056</v>
      </c>
      <c r="N631" s="266">
        <f>L631/M631</f>
        <v>6.703781093108169</v>
      </c>
      <c r="O631" s="303"/>
    </row>
    <row r="632" spans="1:15" ht="15">
      <c r="A632" s="39">
        <v>629</v>
      </c>
      <c r="B632" s="276" t="s">
        <v>233</v>
      </c>
      <c r="C632" s="31">
        <v>39926</v>
      </c>
      <c r="D632" s="32" t="s">
        <v>242</v>
      </c>
      <c r="E632" s="56">
        <v>40</v>
      </c>
      <c r="F632" s="56">
        <v>2</v>
      </c>
      <c r="G632" s="56">
        <v>40</v>
      </c>
      <c r="H632" s="149">
        <v>274.5</v>
      </c>
      <c r="I632" s="151">
        <v>61</v>
      </c>
      <c r="J632" s="152">
        <f t="shared" si="57"/>
        <v>30.5</v>
      </c>
      <c r="K632" s="154">
        <f t="shared" si="54"/>
        <v>4.5</v>
      </c>
      <c r="L632" s="156">
        <f>35864.5+53058.5+35303.5+15734.5+12778.5+9687.5+8045+13953.5+10307+6140.75+1296+667+231+755+1970+2246+752.5+591.5+130+445+2051+750+1477+2060+1816+47+72+84+378+2301+1280+700+256+1780+92+200+187+6592.5+2601.5+325.5+274.5</f>
        <v>235282.25</v>
      </c>
      <c r="M632" s="152">
        <f>3971+5771+3969+2398+2257+2131+1634+2509+1783+912+230+126+48+181+472+311+114+91+20+78+493+183+365+462+452+9+24+28+94+494+182+115+64+445+35+80+73+1697+671+84+61</f>
        <v>35117</v>
      </c>
      <c r="N632" s="267">
        <f>L632/M632</f>
        <v>6.699953014209642</v>
      </c>
      <c r="O632" s="303"/>
    </row>
    <row r="633" spans="1:15" ht="15">
      <c r="A633" s="39">
        <v>630</v>
      </c>
      <c r="B633" s="276" t="s">
        <v>233</v>
      </c>
      <c r="C633" s="31">
        <v>39926</v>
      </c>
      <c r="D633" s="32" t="s">
        <v>242</v>
      </c>
      <c r="E633" s="56">
        <v>40</v>
      </c>
      <c r="F633" s="56">
        <v>1</v>
      </c>
      <c r="G633" s="56">
        <v>32</v>
      </c>
      <c r="H633" s="159">
        <v>256</v>
      </c>
      <c r="I633" s="151">
        <v>64</v>
      </c>
      <c r="J633" s="153">
        <f t="shared" si="57"/>
        <v>64</v>
      </c>
      <c r="K633" s="155">
        <f t="shared" si="54"/>
        <v>4</v>
      </c>
      <c r="L633" s="178">
        <f>35864.5+53058.5+35303.5+15734.5+12778.5+9687.5+8045+13953.5+10307+6140.75+1296+667+231+755+1970+2246+752.5+591.5+130+445+2051+750+1477+2060+1816+47+72+84+378+2301+1280+700+256</f>
        <v>223229.25</v>
      </c>
      <c r="M633" s="158">
        <f>3971+5771+3969+2398+2257+2131+1634+2509+1783+912+230+126+48+181+472+311+114+91+20+78+493+183+365+462+452+9+24+28+94+494+182+115+64</f>
        <v>31971</v>
      </c>
      <c r="N633" s="267">
        <f>+L634/M634</f>
        <v>6.694123916441665</v>
      </c>
      <c r="O633" s="309"/>
    </row>
    <row r="634" spans="1:15" ht="15">
      <c r="A634" s="39">
        <v>631</v>
      </c>
      <c r="B634" s="265" t="s">
        <v>233</v>
      </c>
      <c r="C634" s="26">
        <v>39926</v>
      </c>
      <c r="D634" s="27" t="s">
        <v>242</v>
      </c>
      <c r="E634" s="55">
        <v>40</v>
      </c>
      <c r="F634" s="55">
        <v>1</v>
      </c>
      <c r="G634" s="55">
        <v>41</v>
      </c>
      <c r="H634" s="159">
        <v>250.5</v>
      </c>
      <c r="I634" s="160">
        <v>68</v>
      </c>
      <c r="J634" s="177">
        <f t="shared" si="57"/>
        <v>68</v>
      </c>
      <c r="K634" s="180">
        <f t="shared" si="54"/>
        <v>3.6838235294117645</v>
      </c>
      <c r="L634" s="178">
        <f>35864.5+53058.5+35303.5+15734.5+12778.5+9687.5+8045+13953.5+10307+6140.75+1296+667+231+755+1970+2246+752.5+591.5+130+445+2051+750+1477+2060+1816+47+72+84+378+2301+1280+700+256+1780+92+200+187+6592.5+2601.5+325.5+274.5+250.5</f>
        <v>235532.75</v>
      </c>
      <c r="M634" s="179">
        <f>3971+5771+3969+2398+2257+2131+1634+2509+1783+912+230+126+48+181+472+311+114+91+20+78+493+183+365+462+452+9+24+28+94+494+182+115+64+445+35+80+73+1697+671+84+61+68</f>
        <v>35185</v>
      </c>
      <c r="N634" s="266">
        <f>L634/M634</f>
        <v>6.694123916441665</v>
      </c>
      <c r="O634" s="308"/>
    </row>
    <row r="635" spans="1:15" ht="15">
      <c r="A635" s="39">
        <v>632</v>
      </c>
      <c r="B635" s="276" t="s">
        <v>233</v>
      </c>
      <c r="C635" s="31">
        <v>39926</v>
      </c>
      <c r="D635" s="32" t="s">
        <v>242</v>
      </c>
      <c r="E635" s="54">
        <v>40</v>
      </c>
      <c r="F635" s="54">
        <v>1</v>
      </c>
      <c r="G635" s="54">
        <v>35</v>
      </c>
      <c r="H635" s="163">
        <v>200</v>
      </c>
      <c r="I635" s="164">
        <v>80</v>
      </c>
      <c r="J635" s="181">
        <f>I635/F635</f>
        <v>80</v>
      </c>
      <c r="K635" s="182">
        <f t="shared" si="54"/>
        <v>2.5</v>
      </c>
      <c r="L635" s="183">
        <f>35864.5+53058.5+35303.5+15734.5+12778.5+9687.5+8045+13953.5+10307+6140.75+1296+667+231+755+1970+2246+752.5+591.5+130+445+2051+750+1477+2060+1816+47+72+84+378+2301+1280+700+256+1780+92+200</f>
        <v>225301.25</v>
      </c>
      <c r="M635" s="181">
        <f>3971+5771+3969+2398+2257+2131+1634+2509+1783+912+230+126+48+181+472+311+114+91+20+78+493+183+365+462+452+9+24+28+94+494+182+115+64+445+35+80</f>
        <v>32531</v>
      </c>
      <c r="N635" s="270">
        <f>+L635/M635</f>
        <v>6.925740063324214</v>
      </c>
      <c r="O635" s="301"/>
    </row>
    <row r="636" spans="1:15" ht="15">
      <c r="A636" s="39">
        <v>633</v>
      </c>
      <c r="B636" s="276" t="s">
        <v>233</v>
      </c>
      <c r="C636" s="31">
        <v>39926</v>
      </c>
      <c r="D636" s="32" t="s">
        <v>242</v>
      </c>
      <c r="E636" s="54">
        <v>40</v>
      </c>
      <c r="F636" s="54">
        <v>1</v>
      </c>
      <c r="G636" s="54">
        <v>36</v>
      </c>
      <c r="H636" s="163">
        <v>187</v>
      </c>
      <c r="I636" s="164">
        <v>73</v>
      </c>
      <c r="J636" s="181">
        <f>I636/F636</f>
        <v>73</v>
      </c>
      <c r="K636" s="182">
        <f>+H636/I636</f>
        <v>2.5616438356164384</v>
      </c>
      <c r="L636" s="183">
        <f>35864.5+53058.5+35303.5+15734.5+12778.5+9687.5+8045+13953.5+10307+6140.75+1296+667+231+755+1970+2246+752.5+591.5+130+445+2051+750+1477+2060+1816+47+72+84+378+2301+1280+700+256+1780+92+200+187</f>
        <v>225488.25</v>
      </c>
      <c r="M636" s="181">
        <f>3971+5771+3969+2398+2257+2131+1634+2509+1783+912+230+126+48+181+472+311+114+91+20+78+493+183+365+462+452+9+24+28+94+494+182+115+64+445+35+80+73</f>
        <v>32604</v>
      </c>
      <c r="N636" s="270">
        <f>+L636/M636</f>
        <v>6.915968899521531</v>
      </c>
      <c r="O636" s="303"/>
    </row>
    <row r="637" spans="1:15" ht="15">
      <c r="A637" s="39">
        <v>634</v>
      </c>
      <c r="B637" s="268" t="s">
        <v>233</v>
      </c>
      <c r="C637" s="31">
        <v>39926</v>
      </c>
      <c r="D637" s="32" t="s">
        <v>261</v>
      </c>
      <c r="E637" s="229">
        <v>40</v>
      </c>
      <c r="F637" s="229">
        <v>1</v>
      </c>
      <c r="G637" s="229">
        <v>43</v>
      </c>
      <c r="H637" s="149">
        <v>122.5</v>
      </c>
      <c r="I637" s="151">
        <v>35</v>
      </c>
      <c r="J637" s="153">
        <f>(I637/F637)</f>
        <v>35</v>
      </c>
      <c r="K637" s="155">
        <f aca="true" t="shared" si="58" ref="K637:K648">H637/I637</f>
        <v>3.5</v>
      </c>
      <c r="L637" s="157">
        <f>35864.5+53058.5+35303.5+15734.5+12778.5+9687.5+8045+13953.5+10307+6140.75+1296+667+231+755+1970+2246+752.5+591.5+130+445+2051+750+1477+2060+1816+47+72+84+378+2301+1280+700+256+1780+92+200+187+6592.5+2601.5+325.5+274.5+250.5+1365+122.5</f>
        <v>237020.25</v>
      </c>
      <c r="M637" s="158">
        <f>3971+5771+3969+2398+2257+2131+1634+2509+1783+912+230+126+48+181+472+311+114+91+20+78+493+183+365+462+452+9+24+28+94+494+182+115+64+445+35+80+73+1697+671+84+61+68+336+35</f>
        <v>35556</v>
      </c>
      <c r="N637" s="266">
        <f>L637/M637</f>
        <v>6.66611120485994</v>
      </c>
      <c r="O637" s="303"/>
    </row>
    <row r="638" spans="1:15" ht="15">
      <c r="A638" s="39">
        <v>635</v>
      </c>
      <c r="B638" s="276" t="s">
        <v>233</v>
      </c>
      <c r="C638" s="31">
        <v>39926</v>
      </c>
      <c r="D638" s="32" t="s">
        <v>242</v>
      </c>
      <c r="E638" s="54">
        <v>40</v>
      </c>
      <c r="F638" s="54">
        <v>1</v>
      </c>
      <c r="G638" s="54">
        <v>34</v>
      </c>
      <c r="H638" s="163">
        <v>92</v>
      </c>
      <c r="I638" s="164">
        <v>35</v>
      </c>
      <c r="J638" s="181">
        <f>(I638/F638)</f>
        <v>35</v>
      </c>
      <c r="K638" s="182">
        <f t="shared" si="58"/>
        <v>2.6285714285714286</v>
      </c>
      <c r="L638" s="183">
        <f>35864.5+53058.5+35303.5+15734.5+12778.5+9687.5+8045+13953.5+10307+6140.75+1296+667+231+755+1970+2246+752.5+591.5+130+445+2051+750+1477+2060+1816+47+72+84+378+2301+1280+700+256+1780+92</f>
        <v>225101.25</v>
      </c>
      <c r="M638" s="181">
        <f>3971+5771+3969+2398+2257+2131+1634+2509+1783+912+230+126+48+181+472+311+114+91+20+78+493+183+365+462+452+9+24+28+94+494+182+115+64+445+35</f>
        <v>32451</v>
      </c>
      <c r="N638" s="270">
        <f>L638/M638</f>
        <v>6.936650642507165</v>
      </c>
      <c r="O638" s="303"/>
    </row>
    <row r="639" spans="1:15" ht="15">
      <c r="A639" s="39">
        <v>636</v>
      </c>
      <c r="B639" s="268" t="s">
        <v>171</v>
      </c>
      <c r="C639" s="31">
        <v>40053</v>
      </c>
      <c r="D639" s="32" t="s">
        <v>242</v>
      </c>
      <c r="E639" s="56">
        <v>14</v>
      </c>
      <c r="F639" s="56">
        <v>1</v>
      </c>
      <c r="G639" s="56">
        <v>9</v>
      </c>
      <c r="H639" s="148">
        <v>83</v>
      </c>
      <c r="I639" s="162">
        <v>20</v>
      </c>
      <c r="J639" s="181">
        <f>I639/F639</f>
        <v>20</v>
      </c>
      <c r="K639" s="182">
        <f t="shared" si="58"/>
        <v>4.15</v>
      </c>
      <c r="L639" s="183">
        <f>46744+27773.5+29652+15092+1850+3126+1717.5+468+83</f>
        <v>126506</v>
      </c>
      <c r="M639" s="181">
        <f>3724+2772+2752+1903+308+472+380+135+20</f>
        <v>12466</v>
      </c>
      <c r="N639" s="267">
        <f>L640/M640</f>
        <v>10.137776353732779</v>
      </c>
      <c r="O639" s="307"/>
    </row>
    <row r="640" spans="1:15" ht="15">
      <c r="A640" s="39">
        <v>637</v>
      </c>
      <c r="B640" s="268" t="s">
        <v>171</v>
      </c>
      <c r="C640" s="46">
        <v>40053</v>
      </c>
      <c r="D640" s="32" t="s">
        <v>242</v>
      </c>
      <c r="E640" s="54">
        <v>14</v>
      </c>
      <c r="F640" s="54">
        <v>1</v>
      </c>
      <c r="G640" s="54">
        <v>10</v>
      </c>
      <c r="H640" s="163">
        <v>54</v>
      </c>
      <c r="I640" s="164">
        <v>18</v>
      </c>
      <c r="J640" s="181">
        <f>(I640/F640)</f>
        <v>18</v>
      </c>
      <c r="K640" s="182">
        <f t="shared" si="58"/>
        <v>3</v>
      </c>
      <c r="L640" s="183">
        <f>46744+27773.5+29652+15092+1850+3126+1717.5+468+83+54</f>
        <v>126560</v>
      </c>
      <c r="M640" s="181">
        <f>3724+2772+2752+1903+308+472+380+135+20+18</f>
        <v>12484</v>
      </c>
      <c r="N640" s="266">
        <f aca="true" t="shared" si="59" ref="N640:N649">+L641/M641</f>
        <v>8.884296940780242</v>
      </c>
      <c r="O640" s="303"/>
    </row>
    <row r="641" spans="1:15" ht="15">
      <c r="A641" s="39">
        <v>638</v>
      </c>
      <c r="B641" s="265" t="s">
        <v>5</v>
      </c>
      <c r="C641" s="26">
        <v>40165</v>
      </c>
      <c r="D641" s="27" t="s">
        <v>241</v>
      </c>
      <c r="E641" s="55">
        <v>36</v>
      </c>
      <c r="F641" s="55">
        <v>8</v>
      </c>
      <c r="G641" s="55">
        <v>4</v>
      </c>
      <c r="H641" s="159">
        <v>7119</v>
      </c>
      <c r="I641" s="151">
        <v>1206</v>
      </c>
      <c r="J641" s="153">
        <f aca="true" t="shared" si="60" ref="J641:J648">I641/F641</f>
        <v>150.75</v>
      </c>
      <c r="K641" s="155">
        <f t="shared" si="58"/>
        <v>5.902985074626866</v>
      </c>
      <c r="L641" s="178">
        <f>119500+7119</f>
        <v>126619</v>
      </c>
      <c r="M641" s="158">
        <f>13046+1206</f>
        <v>14252</v>
      </c>
      <c r="N641" s="266">
        <f t="shared" si="59"/>
        <v>8.642736156351791</v>
      </c>
      <c r="O641" s="301"/>
    </row>
    <row r="642" spans="1:15" ht="15">
      <c r="A642" s="39">
        <v>639</v>
      </c>
      <c r="B642" s="275" t="s">
        <v>5</v>
      </c>
      <c r="C642" s="46">
        <v>40165</v>
      </c>
      <c r="D642" s="27" t="s">
        <v>241</v>
      </c>
      <c r="E642" s="54">
        <v>36</v>
      </c>
      <c r="F642" s="54">
        <v>1</v>
      </c>
      <c r="G642" s="54">
        <v>9</v>
      </c>
      <c r="H642" s="163">
        <v>3250</v>
      </c>
      <c r="I642" s="164">
        <v>650</v>
      </c>
      <c r="J642" s="181">
        <f t="shared" si="60"/>
        <v>650</v>
      </c>
      <c r="K642" s="182">
        <f t="shared" si="58"/>
        <v>5</v>
      </c>
      <c r="L642" s="183">
        <f>129416+3250</f>
        <v>132666</v>
      </c>
      <c r="M642" s="181">
        <f>14700+650</f>
        <v>15350</v>
      </c>
      <c r="N642" s="266">
        <f t="shared" si="59"/>
        <v>8.822309224534653</v>
      </c>
      <c r="O642" s="303"/>
    </row>
    <row r="643" spans="1:15" ht="15">
      <c r="A643" s="39">
        <v>640</v>
      </c>
      <c r="B643" s="265" t="s">
        <v>5</v>
      </c>
      <c r="C643" s="26">
        <v>40165</v>
      </c>
      <c r="D643" s="27" t="s">
        <v>241</v>
      </c>
      <c r="E643" s="55">
        <v>36</v>
      </c>
      <c r="F643" s="55">
        <v>5</v>
      </c>
      <c r="G643" s="55">
        <v>5</v>
      </c>
      <c r="H643" s="149">
        <v>1825</v>
      </c>
      <c r="I643" s="151">
        <v>307</v>
      </c>
      <c r="J643" s="153">
        <f t="shared" si="60"/>
        <v>61.4</v>
      </c>
      <c r="K643" s="155">
        <f t="shared" si="58"/>
        <v>5.944625407166124</v>
      </c>
      <c r="L643" s="157">
        <f>119500+7119+1825</f>
        <v>128444</v>
      </c>
      <c r="M643" s="158">
        <f>13046+1206+307</f>
        <v>14559</v>
      </c>
      <c r="N643" s="266">
        <f t="shared" si="59"/>
        <v>8.587027651247835</v>
      </c>
      <c r="O643" s="305">
        <v>1</v>
      </c>
    </row>
    <row r="644" spans="1:15" ht="15">
      <c r="A644" s="39">
        <v>641</v>
      </c>
      <c r="B644" s="265" t="s">
        <v>5</v>
      </c>
      <c r="C644" s="26">
        <v>40165</v>
      </c>
      <c r="D644" s="27" t="s">
        <v>241</v>
      </c>
      <c r="E644" s="55">
        <v>36</v>
      </c>
      <c r="F644" s="55">
        <v>1</v>
      </c>
      <c r="G644" s="55">
        <v>10</v>
      </c>
      <c r="H644" s="159">
        <v>1180</v>
      </c>
      <c r="I644" s="151">
        <v>237</v>
      </c>
      <c r="J644" s="153">
        <f t="shared" si="60"/>
        <v>237</v>
      </c>
      <c r="K644" s="155">
        <f t="shared" si="58"/>
        <v>4.9789029535864975</v>
      </c>
      <c r="L644" s="178">
        <f>129416+3250+1180</f>
        <v>133846</v>
      </c>
      <c r="M644" s="158">
        <f>14700+650+237</f>
        <v>15587</v>
      </c>
      <c r="N644" s="267">
        <f t="shared" si="59"/>
        <v>9.159895753487659</v>
      </c>
      <c r="O644" s="303">
        <v>1</v>
      </c>
    </row>
    <row r="645" spans="1:15" ht="15">
      <c r="A645" s="39">
        <v>642</v>
      </c>
      <c r="B645" s="265" t="s">
        <v>129</v>
      </c>
      <c r="C645" s="26">
        <v>40165</v>
      </c>
      <c r="D645" s="27" t="s">
        <v>241</v>
      </c>
      <c r="E645" s="55">
        <v>36</v>
      </c>
      <c r="F645" s="55">
        <v>1</v>
      </c>
      <c r="G645" s="55">
        <v>3</v>
      </c>
      <c r="H645" s="159">
        <v>852</v>
      </c>
      <c r="I645" s="160">
        <v>142</v>
      </c>
      <c r="J645" s="177">
        <f t="shared" si="60"/>
        <v>142</v>
      </c>
      <c r="K645" s="155">
        <f t="shared" si="58"/>
        <v>6</v>
      </c>
      <c r="L645" s="178">
        <v>119500</v>
      </c>
      <c r="M645" s="179">
        <v>13046</v>
      </c>
      <c r="N645" s="267">
        <f t="shared" si="59"/>
        <v>8.813629851968074</v>
      </c>
      <c r="O645" s="303">
        <v>1</v>
      </c>
    </row>
    <row r="646" spans="1:15" ht="15">
      <c r="A646" s="39">
        <v>643</v>
      </c>
      <c r="B646" s="265" t="s">
        <v>5</v>
      </c>
      <c r="C646" s="31">
        <v>40165</v>
      </c>
      <c r="D646" s="27" t="s">
        <v>241</v>
      </c>
      <c r="E646" s="56">
        <v>36</v>
      </c>
      <c r="F646" s="56">
        <v>2</v>
      </c>
      <c r="G646" s="56">
        <v>6</v>
      </c>
      <c r="H646" s="161">
        <v>755</v>
      </c>
      <c r="I646" s="150">
        <v>100</v>
      </c>
      <c r="J646" s="152">
        <f t="shared" si="60"/>
        <v>50</v>
      </c>
      <c r="K646" s="154">
        <f t="shared" si="58"/>
        <v>7.55</v>
      </c>
      <c r="L646" s="156">
        <f>119500+7119+1825+755</f>
        <v>129199</v>
      </c>
      <c r="M646" s="152">
        <f>13046+1206+307+100</f>
        <v>14659</v>
      </c>
      <c r="N646" s="267">
        <f t="shared" si="59"/>
        <v>8.807668732547844</v>
      </c>
      <c r="O646" s="303">
        <v>1</v>
      </c>
    </row>
    <row r="647" spans="1:15" ht="15">
      <c r="A647" s="39">
        <v>644</v>
      </c>
      <c r="B647" s="268" t="s">
        <v>5</v>
      </c>
      <c r="C647" s="31">
        <v>40165</v>
      </c>
      <c r="D647" s="27" t="s">
        <v>241</v>
      </c>
      <c r="E647" s="56">
        <v>36</v>
      </c>
      <c r="F647" s="56">
        <v>1</v>
      </c>
      <c r="G647" s="56">
        <v>7</v>
      </c>
      <c r="H647" s="161">
        <v>124</v>
      </c>
      <c r="I647" s="150">
        <v>24</v>
      </c>
      <c r="J647" s="152">
        <f t="shared" si="60"/>
        <v>24</v>
      </c>
      <c r="K647" s="154">
        <f t="shared" si="58"/>
        <v>5.166666666666667</v>
      </c>
      <c r="L647" s="156">
        <f>129199+124</f>
        <v>129323</v>
      </c>
      <c r="M647" s="152">
        <f>14659+24</f>
        <v>14683</v>
      </c>
      <c r="N647" s="267">
        <f t="shared" si="59"/>
        <v>8.803809523809523</v>
      </c>
      <c r="O647" s="303">
        <v>1</v>
      </c>
    </row>
    <row r="648" spans="1:15" ht="15">
      <c r="A648" s="39">
        <v>645</v>
      </c>
      <c r="B648" s="268" t="s">
        <v>5</v>
      </c>
      <c r="C648" s="31">
        <v>40165</v>
      </c>
      <c r="D648" s="27" t="s">
        <v>241</v>
      </c>
      <c r="E648" s="56">
        <v>36</v>
      </c>
      <c r="F648" s="56">
        <v>1</v>
      </c>
      <c r="G648" s="56">
        <v>8</v>
      </c>
      <c r="H648" s="148">
        <v>93</v>
      </c>
      <c r="I648" s="162">
        <v>17</v>
      </c>
      <c r="J648" s="181">
        <f t="shared" si="60"/>
        <v>17</v>
      </c>
      <c r="K648" s="182">
        <f t="shared" si="58"/>
        <v>5.470588235294118</v>
      </c>
      <c r="L648" s="183">
        <v>129416</v>
      </c>
      <c r="M648" s="181">
        <v>14700</v>
      </c>
      <c r="N648" s="267">
        <f t="shared" si="59"/>
        <v>12.39297124600639</v>
      </c>
      <c r="O648" s="302">
        <v>1</v>
      </c>
    </row>
    <row r="649" spans="1:15" ht="15">
      <c r="A649" s="39">
        <v>646</v>
      </c>
      <c r="B649" s="268" t="s">
        <v>116</v>
      </c>
      <c r="C649" s="31">
        <v>40088</v>
      </c>
      <c r="D649" s="28" t="s">
        <v>105</v>
      </c>
      <c r="E649" s="56">
        <v>5</v>
      </c>
      <c r="F649" s="56">
        <v>4</v>
      </c>
      <c r="G649" s="56">
        <v>6</v>
      </c>
      <c r="H649" s="161">
        <v>898</v>
      </c>
      <c r="I649" s="150">
        <v>104</v>
      </c>
      <c r="J649" s="152">
        <f>+I649/F649</f>
        <v>26</v>
      </c>
      <c r="K649" s="154">
        <f>+H649/I649</f>
        <v>8.634615384615385</v>
      </c>
      <c r="L649" s="156">
        <v>11637</v>
      </c>
      <c r="M649" s="152">
        <v>939</v>
      </c>
      <c r="N649" s="267">
        <f t="shared" si="59"/>
        <v>7.1458934529973535</v>
      </c>
      <c r="O649" s="301">
        <v>1</v>
      </c>
    </row>
    <row r="650" spans="1:15" ht="15">
      <c r="A650" s="39">
        <v>647</v>
      </c>
      <c r="B650" s="265" t="s">
        <v>126</v>
      </c>
      <c r="C650" s="31">
        <v>39703</v>
      </c>
      <c r="D650" s="32" t="s">
        <v>242</v>
      </c>
      <c r="E650" s="54">
        <v>6</v>
      </c>
      <c r="F650" s="54">
        <v>1</v>
      </c>
      <c r="G650" s="54">
        <v>20</v>
      </c>
      <c r="H650" s="163">
        <v>226.58</v>
      </c>
      <c r="I650" s="164">
        <v>57</v>
      </c>
      <c r="J650" s="181">
        <f>(I650/F650)</f>
        <v>57</v>
      </c>
      <c r="K650" s="182">
        <f>H650/I650</f>
        <v>3.9750877192982457</v>
      </c>
      <c r="L650" s="183">
        <f>18453+18044+4959+3105.5+2221+2795+1156+907+1188+3416+108+86+53+73+1664+1508+46+2020+75.88+226.58</f>
        <v>62104.96</v>
      </c>
      <c r="M650" s="181">
        <f>1896+1808+596+485+314+510+270+216+297+854+33+15+9+11+416+377+4+505+18+57</f>
        <v>8691</v>
      </c>
      <c r="N650" s="270">
        <f>L650/M650</f>
        <v>7.1458934529973535</v>
      </c>
      <c r="O650" s="309">
        <v>1</v>
      </c>
    </row>
    <row r="651" spans="1:15" ht="15">
      <c r="A651" s="39">
        <v>648</v>
      </c>
      <c r="B651" s="265" t="s">
        <v>126</v>
      </c>
      <c r="C651" s="31">
        <v>39703</v>
      </c>
      <c r="D651" s="32" t="s">
        <v>242</v>
      </c>
      <c r="E651" s="54">
        <v>6</v>
      </c>
      <c r="F651" s="54">
        <v>1</v>
      </c>
      <c r="G651" s="54">
        <v>21</v>
      </c>
      <c r="H651" s="163">
        <v>109.64</v>
      </c>
      <c r="I651" s="165">
        <v>27</v>
      </c>
      <c r="J651" s="152">
        <f>(I651/F651)</f>
        <v>27</v>
      </c>
      <c r="K651" s="154">
        <f>H651/I651</f>
        <v>4.060740740740741</v>
      </c>
      <c r="L651" s="156">
        <f>18453+18044+4959+3105.5+2221+2795+1156+907+1188+3416+108+86+53+73+1664+1508+46+2020+75.88+226.58+109.64</f>
        <v>62214.6</v>
      </c>
      <c r="M651" s="152">
        <f>1896+1808+596+485+314+510+270+216+297+854+33+15+9+11+416+377+4+505+18+57+27</f>
        <v>8718</v>
      </c>
      <c r="N651" s="267">
        <f>L651/M651</f>
        <v>7.136338609772883</v>
      </c>
      <c r="O651" s="301"/>
    </row>
    <row r="652" spans="1:15" ht="15">
      <c r="A652" s="39">
        <v>649</v>
      </c>
      <c r="B652" s="265" t="s">
        <v>126</v>
      </c>
      <c r="C652" s="31">
        <v>39703</v>
      </c>
      <c r="D652" s="32" t="s">
        <v>242</v>
      </c>
      <c r="E652" s="54">
        <v>6</v>
      </c>
      <c r="F652" s="54">
        <v>1</v>
      </c>
      <c r="G652" s="54">
        <v>19</v>
      </c>
      <c r="H652" s="163">
        <v>75.88</v>
      </c>
      <c r="I652" s="164">
        <v>18</v>
      </c>
      <c r="J652" s="181">
        <f>I652/F652</f>
        <v>18</v>
      </c>
      <c r="K652" s="182">
        <f>+H652/I652</f>
        <v>4.2155555555555555</v>
      </c>
      <c r="L652" s="183">
        <f>18453+18044+4959+3105.5+2221+2795+1156+907+1188+3416+108+86+53+73+1664+1508+46+2020+75.88</f>
        <v>61878.38</v>
      </c>
      <c r="M652" s="181">
        <f>1896+1808+596+485+314+510+270+216+297+854+33+15+9+11+416+377+4+505+18</f>
        <v>8634</v>
      </c>
      <c r="N652" s="270">
        <f>+L652/M652</f>
        <v>7.166826499884179</v>
      </c>
      <c r="O652" s="303">
        <v>1</v>
      </c>
    </row>
    <row r="653" spans="1:15" ht="15">
      <c r="A653" s="39">
        <v>650</v>
      </c>
      <c r="B653" s="275" t="s">
        <v>215</v>
      </c>
      <c r="C653" s="31">
        <v>39164</v>
      </c>
      <c r="D653" s="47" t="s">
        <v>154</v>
      </c>
      <c r="E653" s="54">
        <v>118</v>
      </c>
      <c r="F653" s="54">
        <v>1</v>
      </c>
      <c r="G653" s="54">
        <v>32</v>
      </c>
      <c r="H653" s="163">
        <v>150</v>
      </c>
      <c r="I653" s="164">
        <v>30</v>
      </c>
      <c r="J653" s="181">
        <f>I653/F653</f>
        <v>30</v>
      </c>
      <c r="K653" s="182">
        <f>H653/I653</f>
        <v>5</v>
      </c>
      <c r="L653" s="183">
        <v>1513549.5</v>
      </c>
      <c r="M653" s="181">
        <v>202489</v>
      </c>
      <c r="N653" s="270">
        <f>+L653/M653</f>
        <v>7.474724552938678</v>
      </c>
      <c r="O653" s="312">
        <v>1</v>
      </c>
    </row>
    <row r="654" spans="1:15" ht="15">
      <c r="A654" s="39">
        <v>651</v>
      </c>
      <c r="B654" s="268" t="s">
        <v>46</v>
      </c>
      <c r="C654" s="31">
        <v>40046</v>
      </c>
      <c r="D654" s="35" t="s">
        <v>240</v>
      </c>
      <c r="E654" s="56">
        <v>55</v>
      </c>
      <c r="F654" s="56">
        <v>2</v>
      </c>
      <c r="G654" s="56">
        <v>12</v>
      </c>
      <c r="H654" s="148">
        <v>2059</v>
      </c>
      <c r="I654" s="162">
        <v>466</v>
      </c>
      <c r="J654" s="181">
        <f>I654/F654</f>
        <v>233</v>
      </c>
      <c r="K654" s="182">
        <f aca="true" t="shared" si="61" ref="K654:K661">+H654/I654</f>
        <v>4.418454935622318</v>
      </c>
      <c r="L654" s="183">
        <v>189359</v>
      </c>
      <c r="M654" s="181">
        <v>19405</v>
      </c>
      <c r="N654" s="277">
        <f>+L655/M655</f>
        <v>9.889645704630656</v>
      </c>
      <c r="O654" s="303">
        <v>1</v>
      </c>
    </row>
    <row r="655" spans="1:15" ht="15">
      <c r="A655" s="39">
        <v>652</v>
      </c>
      <c r="B655" s="278" t="s">
        <v>46</v>
      </c>
      <c r="C655" s="36">
        <v>40046</v>
      </c>
      <c r="D655" s="35" t="s">
        <v>240</v>
      </c>
      <c r="E655" s="59">
        <v>55</v>
      </c>
      <c r="F655" s="59">
        <v>1</v>
      </c>
      <c r="G655" s="59">
        <v>11</v>
      </c>
      <c r="H655" s="172">
        <v>650</v>
      </c>
      <c r="I655" s="173">
        <v>100</v>
      </c>
      <c r="J655" s="197">
        <f>I655/F655</f>
        <v>100</v>
      </c>
      <c r="K655" s="196">
        <f t="shared" si="61"/>
        <v>6.5</v>
      </c>
      <c r="L655" s="198">
        <v>187300</v>
      </c>
      <c r="M655" s="197">
        <v>18939</v>
      </c>
      <c r="N655" s="267">
        <f>+L656/M656</f>
        <v>9.756229406919275</v>
      </c>
      <c r="O655" s="305"/>
    </row>
    <row r="656" spans="1:15" ht="15">
      <c r="A656" s="39">
        <v>653</v>
      </c>
      <c r="B656" s="268" t="s">
        <v>46</v>
      </c>
      <c r="C656" s="31">
        <v>40046</v>
      </c>
      <c r="D656" s="35" t="s">
        <v>240</v>
      </c>
      <c r="E656" s="56">
        <v>55</v>
      </c>
      <c r="F656" s="56">
        <v>1</v>
      </c>
      <c r="G656" s="56">
        <v>13</v>
      </c>
      <c r="H656" s="148">
        <v>146</v>
      </c>
      <c r="I656" s="150">
        <v>19</v>
      </c>
      <c r="J656" s="152">
        <f>I656/F656</f>
        <v>19</v>
      </c>
      <c r="K656" s="154">
        <f t="shared" si="61"/>
        <v>7.684210526315789</v>
      </c>
      <c r="L656" s="183">
        <v>189505</v>
      </c>
      <c r="M656" s="152">
        <v>19424</v>
      </c>
      <c r="N656" s="267">
        <f>+L657/M657</f>
        <v>10.168084042021011</v>
      </c>
      <c r="O656" s="301"/>
    </row>
    <row r="657" spans="1:15" ht="15">
      <c r="A657" s="39">
        <v>654</v>
      </c>
      <c r="B657" s="273" t="s">
        <v>50</v>
      </c>
      <c r="C657" s="26">
        <v>40130</v>
      </c>
      <c r="D657" s="37" t="s">
        <v>105</v>
      </c>
      <c r="E657" s="58">
        <v>17</v>
      </c>
      <c r="F657" s="58">
        <v>10</v>
      </c>
      <c r="G657" s="58">
        <v>9</v>
      </c>
      <c r="H657" s="174">
        <v>5776</v>
      </c>
      <c r="I657" s="175">
        <v>991</v>
      </c>
      <c r="J657" s="184">
        <f>+I657/F657</f>
        <v>99.1</v>
      </c>
      <c r="K657" s="185">
        <f t="shared" si="61"/>
        <v>5.8284561049445</v>
      </c>
      <c r="L657" s="201">
        <v>60978</v>
      </c>
      <c r="M657" s="202">
        <v>5997</v>
      </c>
      <c r="N657" s="272">
        <f>+L658/M658</f>
        <v>11.027167399121055</v>
      </c>
      <c r="O657" s="301"/>
    </row>
    <row r="658" spans="1:15" ht="15">
      <c r="A658" s="39">
        <v>655</v>
      </c>
      <c r="B658" s="273" t="s">
        <v>50</v>
      </c>
      <c r="C658" s="26">
        <v>40130</v>
      </c>
      <c r="D658" s="37" t="s">
        <v>105</v>
      </c>
      <c r="E658" s="58">
        <v>17</v>
      </c>
      <c r="F658" s="58">
        <v>8</v>
      </c>
      <c r="G658" s="58">
        <v>8</v>
      </c>
      <c r="H658" s="174">
        <v>3794</v>
      </c>
      <c r="I658" s="176">
        <v>543</v>
      </c>
      <c r="J658" s="187">
        <f>+I658/F658</f>
        <v>67.875</v>
      </c>
      <c r="K658" s="188">
        <f t="shared" si="61"/>
        <v>6.987108655616943</v>
      </c>
      <c r="L658" s="201">
        <v>55202</v>
      </c>
      <c r="M658" s="204">
        <v>5006</v>
      </c>
      <c r="N658" s="267">
        <f>L659/M659</f>
        <v>9.839816933638444</v>
      </c>
      <c r="O658" s="303"/>
    </row>
    <row r="659" spans="1:15" ht="15">
      <c r="A659" s="39">
        <v>656</v>
      </c>
      <c r="B659" s="268" t="s">
        <v>50</v>
      </c>
      <c r="C659" s="31">
        <v>40130</v>
      </c>
      <c r="D659" s="28" t="s">
        <v>105</v>
      </c>
      <c r="E659" s="56">
        <v>17</v>
      </c>
      <c r="F659" s="56">
        <v>2</v>
      </c>
      <c r="G659" s="56">
        <v>12</v>
      </c>
      <c r="H659" s="161">
        <v>1939</v>
      </c>
      <c r="I659" s="150">
        <v>254</v>
      </c>
      <c r="J659" s="152">
        <f>I659/F659</f>
        <v>127</v>
      </c>
      <c r="K659" s="154">
        <f t="shared" si="61"/>
        <v>7.633858267716535</v>
      </c>
      <c r="L659" s="156">
        <v>64500</v>
      </c>
      <c r="M659" s="152">
        <v>6555</v>
      </c>
      <c r="N659" s="267">
        <f>+L660/M660</f>
        <v>9.928741469608</v>
      </c>
      <c r="O659" s="303"/>
    </row>
    <row r="660" spans="1:15" ht="15">
      <c r="A660" s="39">
        <v>657</v>
      </c>
      <c r="B660" s="273" t="s">
        <v>50</v>
      </c>
      <c r="C660" s="31">
        <v>40130</v>
      </c>
      <c r="D660" s="28" t="s">
        <v>105</v>
      </c>
      <c r="E660" s="56">
        <v>17</v>
      </c>
      <c r="F660" s="56">
        <v>4</v>
      </c>
      <c r="G660" s="56">
        <v>11</v>
      </c>
      <c r="H660" s="161">
        <v>1442</v>
      </c>
      <c r="I660" s="150">
        <v>266</v>
      </c>
      <c r="J660" s="152">
        <f>+I660/F660</f>
        <v>66.5</v>
      </c>
      <c r="K660" s="154">
        <f t="shared" si="61"/>
        <v>5.421052631578948</v>
      </c>
      <c r="L660" s="156">
        <v>62561</v>
      </c>
      <c r="M660" s="152">
        <v>6301</v>
      </c>
      <c r="N660" s="272">
        <f>+L661/M661</f>
        <v>11.518709388303831</v>
      </c>
      <c r="O660" s="305"/>
    </row>
    <row r="661" spans="1:15" ht="15">
      <c r="A661" s="39">
        <v>658</v>
      </c>
      <c r="B661" s="273" t="s">
        <v>50</v>
      </c>
      <c r="C661" s="26">
        <v>40130</v>
      </c>
      <c r="D661" s="38" t="s">
        <v>105</v>
      </c>
      <c r="E661" s="58">
        <v>17</v>
      </c>
      <c r="F661" s="58">
        <v>2</v>
      </c>
      <c r="G661" s="58">
        <v>7</v>
      </c>
      <c r="H661" s="174">
        <v>254</v>
      </c>
      <c r="I661" s="176">
        <v>41</v>
      </c>
      <c r="J661" s="187">
        <f>+I661/F661</f>
        <v>20.5</v>
      </c>
      <c r="K661" s="185">
        <f t="shared" si="61"/>
        <v>6.195121951219512</v>
      </c>
      <c r="L661" s="201">
        <v>51408</v>
      </c>
      <c r="M661" s="204">
        <v>4463</v>
      </c>
      <c r="N661" s="266">
        <f>+L662/M662</f>
        <v>10.127423363711682</v>
      </c>
      <c r="O661" s="310"/>
    </row>
    <row r="662" spans="1:15" ht="15">
      <c r="A662" s="39">
        <v>659</v>
      </c>
      <c r="B662" s="273" t="s">
        <v>50</v>
      </c>
      <c r="C662" s="26">
        <v>40130</v>
      </c>
      <c r="D662" s="30" t="s">
        <v>105</v>
      </c>
      <c r="E662" s="55">
        <v>17</v>
      </c>
      <c r="F662" s="55">
        <v>1</v>
      </c>
      <c r="G662" s="55">
        <v>10</v>
      </c>
      <c r="H662" s="149">
        <v>141</v>
      </c>
      <c r="I662" s="151">
        <v>38</v>
      </c>
      <c r="J662" s="153">
        <f>I662/F662</f>
        <v>38</v>
      </c>
      <c r="K662" s="155">
        <f>H662/I662</f>
        <v>3.710526315789474</v>
      </c>
      <c r="L662" s="157">
        <v>61119</v>
      </c>
      <c r="M662" s="158">
        <v>6035</v>
      </c>
      <c r="N662" s="267">
        <f>L663/M663</f>
        <v>7.879657720037119</v>
      </c>
      <c r="O662" s="303"/>
    </row>
    <row r="663" spans="1:15" ht="15">
      <c r="A663" s="39">
        <v>660</v>
      </c>
      <c r="B663" s="275" t="s">
        <v>195</v>
      </c>
      <c r="C663" s="46">
        <v>39472</v>
      </c>
      <c r="D663" s="28" t="s">
        <v>244</v>
      </c>
      <c r="E663" s="54">
        <v>70</v>
      </c>
      <c r="F663" s="54">
        <v>1</v>
      </c>
      <c r="G663" s="54">
        <v>32</v>
      </c>
      <c r="H663" s="163">
        <v>472</v>
      </c>
      <c r="I663" s="164">
        <v>94</v>
      </c>
      <c r="J663" s="181">
        <f>I663/F663</f>
        <v>94</v>
      </c>
      <c r="K663" s="182">
        <f>H663/I663</f>
        <v>5.0212765957446805</v>
      </c>
      <c r="L663" s="183">
        <v>883089</v>
      </c>
      <c r="M663" s="181">
        <v>112072</v>
      </c>
      <c r="N663" s="267">
        <f aca="true" t="shared" si="62" ref="N663:N670">+L664/M664</f>
        <v>8.274983260398386</v>
      </c>
      <c r="O663" s="301"/>
    </row>
    <row r="664" spans="1:15" ht="15">
      <c r="A664" s="39">
        <v>661</v>
      </c>
      <c r="B664" s="268" t="s">
        <v>85</v>
      </c>
      <c r="C664" s="31">
        <v>40144</v>
      </c>
      <c r="D664" s="35" t="s">
        <v>240</v>
      </c>
      <c r="E664" s="56">
        <v>128</v>
      </c>
      <c r="F664" s="56">
        <v>17</v>
      </c>
      <c r="G664" s="56">
        <v>10</v>
      </c>
      <c r="H664" s="161">
        <v>28138</v>
      </c>
      <c r="I664" s="150">
        <v>5971</v>
      </c>
      <c r="J664" s="152">
        <f>I664/F664</f>
        <v>351.2352941176471</v>
      </c>
      <c r="K664" s="154">
        <f>+H664/I664</f>
        <v>4.712443476804555</v>
      </c>
      <c r="L664" s="156">
        <v>2607621</v>
      </c>
      <c r="M664" s="152">
        <v>315121</v>
      </c>
      <c r="N664" s="267">
        <f t="shared" si="62"/>
        <v>8.259017138959157</v>
      </c>
      <c r="O664" s="315"/>
    </row>
    <row r="665" spans="1:15" ht="15">
      <c r="A665" s="39">
        <v>662</v>
      </c>
      <c r="B665" s="268" t="s">
        <v>160</v>
      </c>
      <c r="C665" s="31">
        <v>40144</v>
      </c>
      <c r="D665" s="35" t="s">
        <v>240</v>
      </c>
      <c r="E665" s="56">
        <v>128</v>
      </c>
      <c r="F665" s="56">
        <v>9</v>
      </c>
      <c r="G665" s="56">
        <v>11</v>
      </c>
      <c r="H665" s="161">
        <v>7572</v>
      </c>
      <c r="I665" s="150">
        <v>1526</v>
      </c>
      <c r="J665" s="152">
        <f>(I665/F665)</f>
        <v>169.55555555555554</v>
      </c>
      <c r="K665" s="154">
        <f>(J665/G665)</f>
        <v>15.414141414141413</v>
      </c>
      <c r="L665" s="156">
        <v>2615193</v>
      </c>
      <c r="M665" s="152">
        <v>316647</v>
      </c>
      <c r="N665" s="267">
        <f t="shared" si="62"/>
        <v>8.349094254541685</v>
      </c>
      <c r="O665" s="303"/>
    </row>
    <row r="666" spans="1:15" ht="15">
      <c r="A666" s="39">
        <v>663</v>
      </c>
      <c r="B666" s="268" t="s">
        <v>85</v>
      </c>
      <c r="C666" s="31">
        <v>40144</v>
      </c>
      <c r="D666" s="35" t="s">
        <v>240</v>
      </c>
      <c r="E666" s="56">
        <v>128</v>
      </c>
      <c r="F666" s="56">
        <v>6</v>
      </c>
      <c r="G666" s="56">
        <v>8</v>
      </c>
      <c r="H666" s="148">
        <v>4834</v>
      </c>
      <c r="I666" s="150">
        <v>783</v>
      </c>
      <c r="J666" s="152">
        <f aca="true" t="shared" si="63" ref="J666:J672">I666/F666</f>
        <v>130.5</v>
      </c>
      <c r="K666" s="154">
        <f>+H666/I666</f>
        <v>6.173690932311622</v>
      </c>
      <c r="L666" s="183">
        <v>2577332</v>
      </c>
      <c r="M666" s="152">
        <v>308696</v>
      </c>
      <c r="N666" s="267">
        <f t="shared" si="62"/>
        <v>8.35462614439793</v>
      </c>
      <c r="O666" s="303">
        <v>1</v>
      </c>
    </row>
    <row r="667" spans="1:15" ht="15">
      <c r="A667" s="39">
        <v>664</v>
      </c>
      <c r="B667" s="268" t="s">
        <v>85</v>
      </c>
      <c r="C667" s="31">
        <v>40144</v>
      </c>
      <c r="D667" s="35" t="s">
        <v>240</v>
      </c>
      <c r="E667" s="56">
        <v>128</v>
      </c>
      <c r="F667" s="56">
        <v>5</v>
      </c>
      <c r="G667" s="56">
        <v>7</v>
      </c>
      <c r="H667" s="148">
        <v>2478</v>
      </c>
      <c r="I667" s="162">
        <v>419</v>
      </c>
      <c r="J667" s="181">
        <f t="shared" si="63"/>
        <v>83.8</v>
      </c>
      <c r="K667" s="182">
        <f>+H667/I667</f>
        <v>5.914081145584726</v>
      </c>
      <c r="L667" s="183">
        <v>2572498</v>
      </c>
      <c r="M667" s="181">
        <v>307913</v>
      </c>
      <c r="N667" s="277">
        <f t="shared" si="62"/>
        <v>8.357951699870567</v>
      </c>
      <c r="O667" s="302">
        <v>1</v>
      </c>
    </row>
    <row r="668" spans="1:15" ht="15">
      <c r="A668" s="39">
        <v>665</v>
      </c>
      <c r="B668" s="278" t="s">
        <v>85</v>
      </c>
      <c r="C668" s="36">
        <v>40144</v>
      </c>
      <c r="D668" s="35" t="s">
        <v>240</v>
      </c>
      <c r="E668" s="59">
        <v>128</v>
      </c>
      <c r="F668" s="59">
        <v>7</v>
      </c>
      <c r="G668" s="59">
        <v>6</v>
      </c>
      <c r="H668" s="172">
        <v>1964</v>
      </c>
      <c r="I668" s="173">
        <v>269</v>
      </c>
      <c r="J668" s="197">
        <f t="shared" si="63"/>
        <v>38.42857142857143</v>
      </c>
      <c r="K668" s="196">
        <f>+H668/I668</f>
        <v>7.301115241635688</v>
      </c>
      <c r="L668" s="198">
        <v>2570020</v>
      </c>
      <c r="M668" s="197">
        <v>307494</v>
      </c>
      <c r="N668" s="267">
        <f t="shared" si="62"/>
        <v>8.346186454389542</v>
      </c>
      <c r="O668" s="318">
        <v>1</v>
      </c>
    </row>
    <row r="669" spans="1:15" ht="15">
      <c r="A669" s="39">
        <v>666</v>
      </c>
      <c r="B669" s="268" t="s">
        <v>85</v>
      </c>
      <c r="C669" s="31">
        <v>40144</v>
      </c>
      <c r="D669" s="35" t="s">
        <v>240</v>
      </c>
      <c r="E669" s="56">
        <v>128</v>
      </c>
      <c r="F669" s="56">
        <v>4</v>
      </c>
      <c r="G669" s="56">
        <v>9</v>
      </c>
      <c r="H669" s="161">
        <v>1890</v>
      </c>
      <c r="I669" s="150">
        <v>334</v>
      </c>
      <c r="J669" s="152">
        <f t="shared" si="63"/>
        <v>83.5</v>
      </c>
      <c r="K669" s="154">
        <f>+H669/I669</f>
        <v>5.658682634730539</v>
      </c>
      <c r="L669" s="156">
        <v>2579222</v>
      </c>
      <c r="M669" s="152">
        <v>309030</v>
      </c>
      <c r="N669" s="267">
        <f t="shared" si="62"/>
        <v>8.246818688902755</v>
      </c>
      <c r="O669" s="316">
        <v>1</v>
      </c>
    </row>
    <row r="670" spans="1:15" ht="15">
      <c r="A670" s="39">
        <v>667</v>
      </c>
      <c r="B670" s="275" t="s">
        <v>85</v>
      </c>
      <c r="C670" s="46">
        <v>40144</v>
      </c>
      <c r="D670" s="35" t="s">
        <v>240</v>
      </c>
      <c r="E670" s="54">
        <v>128</v>
      </c>
      <c r="F670" s="54">
        <v>1</v>
      </c>
      <c r="G670" s="54">
        <v>16</v>
      </c>
      <c r="H670" s="163">
        <v>1218</v>
      </c>
      <c r="I670" s="164">
        <v>560</v>
      </c>
      <c r="J670" s="181">
        <f t="shared" si="63"/>
        <v>560</v>
      </c>
      <c r="K670" s="182">
        <f>H670/I670</f>
        <v>2.175</v>
      </c>
      <c r="L670" s="183">
        <v>2616897</v>
      </c>
      <c r="M670" s="181">
        <v>317322</v>
      </c>
      <c r="N670" s="267">
        <f t="shared" si="62"/>
        <v>8.241465733842986</v>
      </c>
      <c r="O670" s="310">
        <v>1</v>
      </c>
    </row>
    <row r="671" spans="1:15" ht="15">
      <c r="A671" s="39">
        <v>668</v>
      </c>
      <c r="B671" s="275" t="s">
        <v>85</v>
      </c>
      <c r="C671" s="46">
        <v>40144</v>
      </c>
      <c r="D671" s="35" t="s">
        <v>240</v>
      </c>
      <c r="E671" s="54">
        <v>128</v>
      </c>
      <c r="F671" s="54">
        <v>1</v>
      </c>
      <c r="G671" s="54">
        <v>17</v>
      </c>
      <c r="H671" s="163">
        <v>609</v>
      </c>
      <c r="I671" s="164">
        <v>280</v>
      </c>
      <c r="J671" s="181">
        <f t="shared" si="63"/>
        <v>280</v>
      </c>
      <c r="K671" s="182">
        <f>+H671/I671</f>
        <v>2.175</v>
      </c>
      <c r="L671" s="183">
        <v>2617506</v>
      </c>
      <c r="M671" s="181">
        <v>317602</v>
      </c>
      <c r="N671" s="266">
        <f>L672/M672</f>
        <v>8.257429587024188</v>
      </c>
      <c r="O671" s="301">
        <v>1</v>
      </c>
    </row>
    <row r="672" spans="1:15" ht="15">
      <c r="A672" s="39">
        <v>669</v>
      </c>
      <c r="B672" s="268" t="s">
        <v>160</v>
      </c>
      <c r="C672" s="31">
        <v>40144</v>
      </c>
      <c r="D672" s="35" t="s">
        <v>240</v>
      </c>
      <c r="E672" s="56">
        <v>128</v>
      </c>
      <c r="F672" s="56">
        <v>1</v>
      </c>
      <c r="G672" s="56">
        <v>12</v>
      </c>
      <c r="H672" s="148">
        <v>546</v>
      </c>
      <c r="I672" s="162">
        <v>127</v>
      </c>
      <c r="J672" s="181">
        <f t="shared" si="63"/>
        <v>127</v>
      </c>
      <c r="K672" s="182">
        <f>+H672/I672</f>
        <v>4.299212598425197</v>
      </c>
      <c r="L672" s="183">
        <v>2615739</v>
      </c>
      <c r="M672" s="181">
        <v>316774</v>
      </c>
      <c r="N672" s="267">
        <f>+L673/M673</f>
        <v>8.213290504829597</v>
      </c>
      <c r="O672" s="315">
        <v>1</v>
      </c>
    </row>
    <row r="673" spans="1:15" ht="15">
      <c r="A673" s="39">
        <v>670</v>
      </c>
      <c r="B673" s="271" t="s">
        <v>288</v>
      </c>
      <c r="C673" s="31">
        <v>39829</v>
      </c>
      <c r="D673" s="32" t="s">
        <v>242</v>
      </c>
      <c r="E673" s="229">
        <v>80</v>
      </c>
      <c r="F673" s="229">
        <v>4</v>
      </c>
      <c r="G673" s="229">
        <v>39</v>
      </c>
      <c r="H673" s="159">
        <v>1450</v>
      </c>
      <c r="I673" s="160">
        <v>290</v>
      </c>
      <c r="J673" s="177">
        <f>(I673/F673)</f>
        <v>72.5</v>
      </c>
      <c r="K673" s="155">
        <f>H673/I673</f>
        <v>5</v>
      </c>
      <c r="L673" s="178">
        <f>783409.5+672566+392418+168504+54411+64946+58601+64120+20152+13919+28038+18395+13488+12795+8277+3206+3326.5+2899+422+2494+2511+191208.5+52491.25+20983+9705.5+4052+4553+3287+2148+4646.5+4535.5+5023+5448+1873+1975.25+1426+176+100+1450</f>
        <v>2703979.5</v>
      </c>
      <c r="M673" s="179">
        <f>86363+71043+43171+22546+8141+10573+9585+10952+3417+2596+4707+3339+2364+2380+1458+540+671+701+80+511+492+23153+7937+3484+2007+768+830+670+362+791+720+747+935+313+335+201+22+25+290</f>
        <v>329220</v>
      </c>
      <c r="N673" s="266">
        <f>L673/M673</f>
        <v>8.213290504829597</v>
      </c>
      <c r="O673" s="305">
        <v>1</v>
      </c>
    </row>
    <row r="674" spans="1:15" ht="15">
      <c r="A674" s="39">
        <v>671</v>
      </c>
      <c r="B674" s="268" t="s">
        <v>51</v>
      </c>
      <c r="C674" s="31">
        <v>40137</v>
      </c>
      <c r="D674" s="27" t="s">
        <v>242</v>
      </c>
      <c r="E674" s="229">
        <v>147</v>
      </c>
      <c r="F674" s="229">
        <v>1</v>
      </c>
      <c r="G674" s="229">
        <v>27</v>
      </c>
      <c r="H674" s="148">
        <v>220</v>
      </c>
      <c r="I674" s="162">
        <v>22</v>
      </c>
      <c r="J674" s="181">
        <v>22</v>
      </c>
      <c r="K674" s="182">
        <v>10</v>
      </c>
      <c r="L674" s="183">
        <v>10813638</v>
      </c>
      <c r="M674" s="181">
        <v>1242823</v>
      </c>
      <c r="N674" s="267">
        <v>8.700867299687888</v>
      </c>
      <c r="O674" s="331"/>
    </row>
    <row r="675" spans="1:15" ht="15">
      <c r="A675" s="39">
        <v>672</v>
      </c>
      <c r="B675" s="265" t="s">
        <v>51</v>
      </c>
      <c r="C675" s="31">
        <v>40137</v>
      </c>
      <c r="D675" s="27" t="s">
        <v>242</v>
      </c>
      <c r="E675" s="229">
        <v>147</v>
      </c>
      <c r="F675" s="229">
        <v>1</v>
      </c>
      <c r="G675" s="229">
        <v>26</v>
      </c>
      <c r="H675" s="161">
        <v>174</v>
      </c>
      <c r="I675" s="150">
        <v>29</v>
      </c>
      <c r="J675" s="152">
        <f aca="true" t="shared" si="64" ref="J675:J683">(I675/F675)</f>
        <v>29</v>
      </c>
      <c r="K675" s="154">
        <f aca="true" t="shared" si="65" ref="K675:K681">H675/I675</f>
        <v>6</v>
      </c>
      <c r="L675" s="156">
        <f>4499732.5+3362984.5+1262292.25+664013.75+490740.5+244990+87796+33908+25213+8908+4440+435+625+2349+3362+4879+291+2014+126+373.5+718+1821+107573+2907+752+174</f>
        <v>10813418</v>
      </c>
      <c r="M675" s="152">
        <f>493806+365411+142937+78728+74756+40294+15922+6247+4692+1746+904+107+157+579+840+1220+56+504+21+69+99+305+12631+649+92+29</f>
        <v>1242801</v>
      </c>
      <c r="N675" s="267">
        <f>L675/M675</f>
        <v>8.700844302506999</v>
      </c>
      <c r="O675" s="331"/>
    </row>
    <row r="676" spans="1:15" ht="15">
      <c r="A676" s="39">
        <v>673</v>
      </c>
      <c r="B676" s="271" t="s">
        <v>51</v>
      </c>
      <c r="C676" s="31">
        <v>40137</v>
      </c>
      <c r="D676" s="32" t="s">
        <v>242</v>
      </c>
      <c r="E676" s="229">
        <v>147</v>
      </c>
      <c r="F676" s="229">
        <v>146</v>
      </c>
      <c r="G676" s="229">
        <v>23</v>
      </c>
      <c r="H676" s="159">
        <v>107573</v>
      </c>
      <c r="I676" s="160">
        <v>12631</v>
      </c>
      <c r="J676" s="177">
        <f t="shared" si="64"/>
        <v>86.51369863013699</v>
      </c>
      <c r="K676" s="155">
        <f t="shared" si="65"/>
        <v>8.51658617686644</v>
      </c>
      <c r="L676" s="178">
        <f>4499732.5+3362984.5+1262292.25+664013.75+490740.5+244990+87796+33908+25213+8908+4440+435+625+2349+3362+4879+291+2014+126+373.5+718+1821+107573</f>
        <v>10809585</v>
      </c>
      <c r="M676" s="179">
        <f>493806+365411+142937+78728+74756+40294+15922+6247+4692+1746+904+107+157+579+840+1220+56+504+21+69+99+305+12631</f>
        <v>1242031</v>
      </c>
      <c r="N676" s="266">
        <f>L676/M676</f>
        <v>8.703152336777423</v>
      </c>
      <c r="O676" s="303">
        <v>1</v>
      </c>
    </row>
    <row r="677" spans="1:15" ht="15">
      <c r="A677" s="39">
        <v>674</v>
      </c>
      <c r="B677" s="268" t="s">
        <v>51</v>
      </c>
      <c r="C677" s="31">
        <v>40137</v>
      </c>
      <c r="D677" s="32" t="s">
        <v>242</v>
      </c>
      <c r="E677" s="56">
        <v>147</v>
      </c>
      <c r="F677" s="56">
        <v>57</v>
      </c>
      <c r="G677" s="56">
        <v>7</v>
      </c>
      <c r="H677" s="159">
        <v>87796</v>
      </c>
      <c r="I677" s="160">
        <v>15922</v>
      </c>
      <c r="J677" s="177">
        <f t="shared" si="64"/>
        <v>279.3333333333333</v>
      </c>
      <c r="K677" s="155">
        <f t="shared" si="65"/>
        <v>5.514131390528828</v>
      </c>
      <c r="L677" s="178">
        <f>4499732.5+3362984.5+1262292.25+664013.75+490740.5+244990+87796</f>
        <v>10612549.5</v>
      </c>
      <c r="M677" s="179">
        <f>493806+365411+142937+78728+74756+40294+15922</f>
        <v>1211854</v>
      </c>
      <c r="N677" s="266">
        <f>L678/M678</f>
        <v>8.740209145218664</v>
      </c>
      <c r="O677" s="303"/>
    </row>
    <row r="678" spans="1:15" ht="15">
      <c r="A678" s="39">
        <v>675</v>
      </c>
      <c r="B678" s="268" t="s">
        <v>51</v>
      </c>
      <c r="C678" s="31">
        <v>40137</v>
      </c>
      <c r="D678" s="32" t="s">
        <v>242</v>
      </c>
      <c r="E678" s="56">
        <v>147</v>
      </c>
      <c r="F678" s="56">
        <v>32</v>
      </c>
      <c r="G678" s="56">
        <v>8</v>
      </c>
      <c r="H678" s="159">
        <v>33908</v>
      </c>
      <c r="I678" s="160">
        <v>6247</v>
      </c>
      <c r="J678" s="177">
        <f t="shared" si="64"/>
        <v>195.21875</v>
      </c>
      <c r="K678" s="180">
        <f t="shared" si="65"/>
        <v>5.427885384984792</v>
      </c>
      <c r="L678" s="178">
        <f>4499732.5+3362984.5+1262292.25+664013.75+490740.5+244990+87796+33908</f>
        <v>10646457.5</v>
      </c>
      <c r="M678" s="179">
        <f>493806+365411+142937+78728+74756+40294+15922+6247</f>
        <v>1218101</v>
      </c>
      <c r="N678" s="266">
        <f>L679/M679</f>
        <v>8.727291127770604</v>
      </c>
      <c r="O678" s="303"/>
    </row>
    <row r="679" spans="1:15" ht="15">
      <c r="A679" s="39">
        <v>676</v>
      </c>
      <c r="B679" s="269" t="s">
        <v>51</v>
      </c>
      <c r="C679" s="34">
        <v>40137</v>
      </c>
      <c r="D679" s="32" t="s">
        <v>242</v>
      </c>
      <c r="E679" s="57">
        <v>147</v>
      </c>
      <c r="F679" s="57">
        <v>18</v>
      </c>
      <c r="G679" s="57">
        <v>9</v>
      </c>
      <c r="H679" s="159">
        <v>25213</v>
      </c>
      <c r="I679" s="151">
        <v>4692</v>
      </c>
      <c r="J679" s="153">
        <f t="shared" si="64"/>
        <v>260.6666666666667</v>
      </c>
      <c r="K679" s="155">
        <f t="shared" si="65"/>
        <v>5.373614663256607</v>
      </c>
      <c r="L679" s="178">
        <f>4499732.5+3362984.5+1262292.25+664013.75+490740.5+244990+87796+33908+25213</f>
        <v>10671670.5</v>
      </c>
      <c r="M679" s="158">
        <f>493806+365411+142937+78728+74756+40294+15922+6247+4692</f>
        <v>1222793</v>
      </c>
      <c r="N679" s="266">
        <f>L680/M680</f>
        <v>8.722121957732664</v>
      </c>
      <c r="O679" s="301"/>
    </row>
    <row r="680" spans="1:15" ht="15">
      <c r="A680" s="39">
        <v>677</v>
      </c>
      <c r="B680" s="268" t="s">
        <v>51</v>
      </c>
      <c r="C680" s="31">
        <v>40137</v>
      </c>
      <c r="D680" s="32" t="s">
        <v>242</v>
      </c>
      <c r="E680" s="56">
        <v>147</v>
      </c>
      <c r="F680" s="56">
        <v>10</v>
      </c>
      <c r="G680" s="56">
        <v>10</v>
      </c>
      <c r="H680" s="149">
        <v>8908</v>
      </c>
      <c r="I680" s="151">
        <v>1746</v>
      </c>
      <c r="J680" s="153">
        <f t="shared" si="64"/>
        <v>174.6</v>
      </c>
      <c r="K680" s="155">
        <f t="shared" si="65"/>
        <v>5.101947308132875</v>
      </c>
      <c r="L680" s="157">
        <f>4499732.5+3362984.5+1262292.25+664013.75+490740.5+244990+87796+33908+25213+8908</f>
        <v>10680578.5</v>
      </c>
      <c r="M680" s="158">
        <f>493806+365411+142937+78728+74756+40294+15922+6247+4692+1746</f>
        <v>1224539</v>
      </c>
      <c r="N680" s="266">
        <f>L681/M681</f>
        <v>8.708188490864952</v>
      </c>
      <c r="O680" s="303"/>
    </row>
    <row r="681" spans="1:15" ht="15">
      <c r="A681" s="39">
        <v>678</v>
      </c>
      <c r="B681" s="265" t="s">
        <v>51</v>
      </c>
      <c r="C681" s="26">
        <v>40137</v>
      </c>
      <c r="D681" s="32" t="s">
        <v>242</v>
      </c>
      <c r="E681" s="55">
        <v>147</v>
      </c>
      <c r="F681" s="55">
        <v>2</v>
      </c>
      <c r="G681" s="55">
        <v>16</v>
      </c>
      <c r="H681" s="159">
        <v>4879</v>
      </c>
      <c r="I681" s="151">
        <v>1220</v>
      </c>
      <c r="J681" s="153">
        <f t="shared" si="64"/>
        <v>610</v>
      </c>
      <c r="K681" s="155">
        <f t="shared" si="65"/>
        <v>3.9991803278688525</v>
      </c>
      <c r="L681" s="178">
        <f>4499732.5+3362984.5+1262292.25+664013.75+490740.5+244990+87796+33908+25213+8908+4440+435+625+2349+3362+4879</f>
        <v>10696668.5</v>
      </c>
      <c r="M681" s="158">
        <f>493806+365411+142937+78728+74756+40294+15922+6247+4692+1746+904+107+157+579+840+1220</f>
        <v>1228346</v>
      </c>
      <c r="N681" s="266">
        <f>IF(L682&lt;&gt;0,L682/M682,"")</f>
        <v>8.719310894101154</v>
      </c>
      <c r="O681" s="303"/>
    </row>
    <row r="682" spans="1:15" ht="15">
      <c r="A682" s="39">
        <v>679</v>
      </c>
      <c r="B682" s="269" t="s">
        <v>51</v>
      </c>
      <c r="C682" s="34">
        <v>40137</v>
      </c>
      <c r="D682" s="32" t="s">
        <v>242</v>
      </c>
      <c r="E682" s="57">
        <v>147</v>
      </c>
      <c r="F682" s="57">
        <v>7</v>
      </c>
      <c r="G682" s="57">
        <v>11</v>
      </c>
      <c r="H682" s="149">
        <v>4440</v>
      </c>
      <c r="I682" s="151">
        <v>904</v>
      </c>
      <c r="J682" s="153">
        <f t="shared" si="64"/>
        <v>129.14285714285714</v>
      </c>
      <c r="K682" s="154">
        <f>+H682/I682</f>
        <v>4.911504424778761</v>
      </c>
      <c r="L682" s="157">
        <f>4499732.5+3362984.5+1262292.25+664013.75+490740.5+244990+87796+33908+25213+8908+4440</f>
        <v>10685018.5</v>
      </c>
      <c r="M682" s="158">
        <f>493806+365411+142937+78728+74756+40294+15922+6247+4692+1746+904</f>
        <v>1225443</v>
      </c>
      <c r="N682" s="267">
        <f>L683/M683</f>
        <v>8.712870153513169</v>
      </c>
      <c r="O682" s="302"/>
    </row>
    <row r="683" spans="1:15" ht="15">
      <c r="A683" s="39">
        <v>680</v>
      </c>
      <c r="B683" s="268" t="s">
        <v>51</v>
      </c>
      <c r="C683" s="46">
        <v>40137</v>
      </c>
      <c r="D683" s="32" t="s">
        <v>242</v>
      </c>
      <c r="E683" s="54">
        <v>147</v>
      </c>
      <c r="F683" s="54">
        <v>3</v>
      </c>
      <c r="G683" s="54">
        <v>15</v>
      </c>
      <c r="H683" s="163">
        <v>3362</v>
      </c>
      <c r="I683" s="164">
        <v>840</v>
      </c>
      <c r="J683" s="181">
        <f t="shared" si="64"/>
        <v>280</v>
      </c>
      <c r="K683" s="182">
        <f aca="true" t="shared" si="66" ref="K683:K689">H683/I683</f>
        <v>4.002380952380952</v>
      </c>
      <c r="L683" s="183">
        <f>4499732.5+3362984.5+1262292.25+664013.75+490740.5+244990+87796+33908+25213+8908+4440+435+625+2349+3362</f>
        <v>10691789.5</v>
      </c>
      <c r="M683" s="181">
        <f>493806+365411+142937+78728+74756+40294+15922+6247+4692+1746+904+107+157+579+840</f>
        <v>1227126</v>
      </c>
      <c r="N683" s="267">
        <f>+L684/M684</f>
        <v>8.716096815914069</v>
      </c>
      <c r="O683" s="310"/>
    </row>
    <row r="684" spans="1:15" ht="15">
      <c r="A684" s="39">
        <v>681</v>
      </c>
      <c r="B684" s="268" t="s">
        <v>51</v>
      </c>
      <c r="C684" s="31">
        <v>40137</v>
      </c>
      <c r="D684" s="32" t="s">
        <v>242</v>
      </c>
      <c r="E684" s="56">
        <v>147</v>
      </c>
      <c r="F684" s="56">
        <v>2</v>
      </c>
      <c r="G684" s="56">
        <v>14</v>
      </c>
      <c r="H684" s="148">
        <v>2349</v>
      </c>
      <c r="I684" s="162">
        <v>579</v>
      </c>
      <c r="J684" s="181">
        <f>I684/F684</f>
        <v>289.5</v>
      </c>
      <c r="K684" s="182">
        <f t="shared" si="66"/>
        <v>4.05699481865285</v>
      </c>
      <c r="L684" s="183">
        <f>4499732.5+3362984.5+1262292.25+664013.75+490740.5+244990+87796+33908+25213+8908+4440+435+625+2349</f>
        <v>10688427.5</v>
      </c>
      <c r="M684" s="181">
        <f>493806+365411+142937+78728+74756+40294+15922+6247+4692+1746+904+107+157+579</f>
        <v>1226286</v>
      </c>
      <c r="N684" s="267">
        <f>L685/M685</f>
        <v>8.70609590969529</v>
      </c>
      <c r="O684" s="303"/>
    </row>
    <row r="685" spans="1:15" ht="15">
      <c r="A685" s="39">
        <v>682</v>
      </c>
      <c r="B685" s="275" t="s">
        <v>51</v>
      </c>
      <c r="C685" s="31">
        <v>40137</v>
      </c>
      <c r="D685" s="32" t="s">
        <v>242</v>
      </c>
      <c r="E685" s="54">
        <v>147</v>
      </c>
      <c r="F685" s="54">
        <v>1</v>
      </c>
      <c r="G685" s="54">
        <v>18</v>
      </c>
      <c r="H685" s="163">
        <v>2014</v>
      </c>
      <c r="I685" s="164">
        <v>504</v>
      </c>
      <c r="J685" s="181">
        <f>I685/F685</f>
        <v>504</v>
      </c>
      <c r="K685" s="182">
        <f t="shared" si="66"/>
        <v>3.996031746031746</v>
      </c>
      <c r="L685" s="183">
        <f>4499732.5+3362984.5+1262292.25+664013.75+490740.5+244990+87796+33908+25213+8908+4440+435+625+2349+3362+4879+291+2014</f>
        <v>10698973.5</v>
      </c>
      <c r="M685" s="181">
        <f>493806+365411+142937+78728+74756+40294+15922+6247+4692+1746+904+107+157+579+840+1220+56+504</f>
        <v>1228906</v>
      </c>
      <c r="N685" s="270">
        <f>+L685/M685</f>
        <v>8.70609590969529</v>
      </c>
      <c r="O685" s="303"/>
    </row>
    <row r="686" spans="1:15" ht="15">
      <c r="A686" s="39">
        <v>683</v>
      </c>
      <c r="B686" s="265" t="s">
        <v>51</v>
      </c>
      <c r="C686" s="26">
        <v>40137</v>
      </c>
      <c r="D686" s="27" t="s">
        <v>261</v>
      </c>
      <c r="E686" s="55">
        <v>147</v>
      </c>
      <c r="F686" s="55">
        <v>3</v>
      </c>
      <c r="G686" s="55">
        <v>22</v>
      </c>
      <c r="H686" s="159">
        <v>1821</v>
      </c>
      <c r="I686" s="160">
        <v>305</v>
      </c>
      <c r="J686" s="177">
        <f>I686/F686</f>
        <v>101.66666666666667</v>
      </c>
      <c r="K686" s="155">
        <f t="shared" si="66"/>
        <v>5.970491803278689</v>
      </c>
      <c r="L686" s="178">
        <f>4499732.5+3362984.5+1262292.25+664013.75+490740.5+244990+87796+33908+25213+8908+4440+435+625+2349+3362+4879+291+2014+126+373.5+718+1821</f>
        <v>10702012</v>
      </c>
      <c r="M686" s="179">
        <f>493806+365411+142937+78728+74756+40294+15922+6247+4692+1746+904+107+157+579+840+1220+56+504+21+69+99+305</f>
        <v>1229400</v>
      </c>
      <c r="N686" s="266">
        <f>+L686/M686</f>
        <v>8.705069139417603</v>
      </c>
      <c r="O686" s="307"/>
    </row>
    <row r="687" spans="1:15" ht="15">
      <c r="A687" s="39">
        <v>684</v>
      </c>
      <c r="B687" s="265" t="s">
        <v>51</v>
      </c>
      <c r="C687" s="26">
        <v>40137</v>
      </c>
      <c r="D687" s="27" t="s">
        <v>242</v>
      </c>
      <c r="E687" s="230">
        <v>147</v>
      </c>
      <c r="F687" s="230">
        <v>2</v>
      </c>
      <c r="G687" s="230">
        <v>25</v>
      </c>
      <c r="H687" s="149">
        <v>752</v>
      </c>
      <c r="I687" s="151">
        <v>92</v>
      </c>
      <c r="J687" s="153">
        <f>(I687/F687)</f>
        <v>46</v>
      </c>
      <c r="K687" s="155">
        <f t="shared" si="66"/>
        <v>8.173913043478262</v>
      </c>
      <c r="L687" s="157">
        <f>4499732.5+3362984.5+1262292.25+664013.75+490740.5+244990+87796+33908+25213+8908+4440+435+625+2349+3362+4879+291+2014+126+373.5+718+1821+107573+2907+752</f>
        <v>10813244</v>
      </c>
      <c r="M687" s="158">
        <f>493806+365411+142937+78728+74756+40294+15922+6247+4692+1746+904+107+157+579+840+1220+56+504+21+69+99+305+12631+649+92</f>
        <v>1242772</v>
      </c>
      <c r="N687" s="266">
        <f>L687/M687</f>
        <v>8.700907326524897</v>
      </c>
      <c r="O687" s="304"/>
    </row>
    <row r="688" spans="1:15" ht="15">
      <c r="A688" s="39">
        <v>685</v>
      </c>
      <c r="B688" s="268" t="s">
        <v>51</v>
      </c>
      <c r="C688" s="31">
        <v>40137</v>
      </c>
      <c r="D688" s="32" t="s">
        <v>261</v>
      </c>
      <c r="E688" s="229">
        <v>147</v>
      </c>
      <c r="F688" s="229">
        <v>1</v>
      </c>
      <c r="G688" s="229">
        <v>21</v>
      </c>
      <c r="H688" s="149">
        <v>718</v>
      </c>
      <c r="I688" s="151">
        <v>99</v>
      </c>
      <c r="J688" s="153">
        <f>(I688/F688)</f>
        <v>99</v>
      </c>
      <c r="K688" s="155">
        <f t="shared" si="66"/>
        <v>7.252525252525253</v>
      </c>
      <c r="L688" s="157">
        <f>4499732.5+3362984.5+1262292.25+664013.75+490740.5+244990+87796+33908+25213+8908+4440+435+625+2349+3362+4879+291+2014+126+373.5+718</f>
        <v>10700191</v>
      </c>
      <c r="M688" s="158">
        <f>493806+365411+142937+78728+74756+40294+15922+6247+4692+1746+904+107+157+579+840+1220+56+504+21+69+99</f>
        <v>1229095</v>
      </c>
      <c r="N688" s="266">
        <f>L688/M688</f>
        <v>8.705747724952099</v>
      </c>
      <c r="O688" s="303"/>
    </row>
    <row r="689" spans="1:15" ht="15">
      <c r="A689" s="39">
        <v>686</v>
      </c>
      <c r="B689" s="268" t="s">
        <v>51</v>
      </c>
      <c r="C689" s="31">
        <v>40137</v>
      </c>
      <c r="D689" s="32" t="s">
        <v>242</v>
      </c>
      <c r="E689" s="56">
        <v>147</v>
      </c>
      <c r="F689" s="56">
        <v>1</v>
      </c>
      <c r="G689" s="56">
        <v>13</v>
      </c>
      <c r="H689" s="148">
        <v>625</v>
      </c>
      <c r="I689" s="162">
        <v>157</v>
      </c>
      <c r="J689" s="181">
        <f>(I689/F689)</f>
        <v>157</v>
      </c>
      <c r="K689" s="182">
        <f t="shared" si="66"/>
        <v>3.9808917197452227</v>
      </c>
      <c r="L689" s="183">
        <f>4499732.5+3362984.5+1262292.25+664013.75+490740.5+244990+87796+33908+25213+8908+4440+435+625</f>
        <v>10686078.5</v>
      </c>
      <c r="M689" s="181">
        <f>493806+365411+142937+78728+74756+40294+15922+6247+4692+1746+904+107+157</f>
        <v>1225707</v>
      </c>
      <c r="N689" s="267">
        <f>L690/M690</f>
        <v>8.718904573456815</v>
      </c>
      <c r="O689" s="303"/>
    </row>
    <row r="690" spans="1:15" ht="15">
      <c r="A690" s="39">
        <v>687</v>
      </c>
      <c r="B690" s="268" t="s">
        <v>51</v>
      </c>
      <c r="C690" s="31">
        <v>40137</v>
      </c>
      <c r="D690" s="32" t="s">
        <v>242</v>
      </c>
      <c r="E690" s="56">
        <v>147</v>
      </c>
      <c r="F690" s="56">
        <v>1</v>
      </c>
      <c r="G690" s="56">
        <v>12</v>
      </c>
      <c r="H690" s="161">
        <v>435</v>
      </c>
      <c r="I690" s="150">
        <v>107</v>
      </c>
      <c r="J690" s="152">
        <f>I690/F690</f>
        <v>107</v>
      </c>
      <c r="K690" s="154">
        <f>+H690/I690</f>
        <v>4.065420560747664</v>
      </c>
      <c r="L690" s="156">
        <f>4499732.5+3362984.5+1262292.25+664013.75+490740.5+244990+87796+33908+25213+8908+4440+435</f>
        <v>10685453.5</v>
      </c>
      <c r="M690" s="152">
        <f>493806+365411+142937+78728+74756+40294+15922+6247+4692+1746+904+107</f>
        <v>1225550</v>
      </c>
      <c r="N690" s="266">
        <f>L691/M691</f>
        <v>8.705864787192148</v>
      </c>
      <c r="O690" s="308"/>
    </row>
    <row r="691" spans="1:15" ht="15">
      <c r="A691" s="39">
        <v>688</v>
      </c>
      <c r="B691" s="265" t="s">
        <v>51</v>
      </c>
      <c r="C691" s="31">
        <v>40137</v>
      </c>
      <c r="D691" s="32" t="s">
        <v>242</v>
      </c>
      <c r="E691" s="56">
        <v>147</v>
      </c>
      <c r="F691" s="56">
        <v>2</v>
      </c>
      <c r="G691" s="56">
        <v>20</v>
      </c>
      <c r="H691" s="149">
        <v>373.5</v>
      </c>
      <c r="I691" s="151">
        <v>69</v>
      </c>
      <c r="J691" s="152">
        <f>I691/F691</f>
        <v>34.5</v>
      </c>
      <c r="K691" s="154">
        <f aca="true" t="shared" si="67" ref="K691:K697">H691/I691</f>
        <v>5.413043478260869</v>
      </c>
      <c r="L691" s="156">
        <f>4499732.5+3362984.5+1262292.25+664013.75+490740.5+244990+87796+33908+25213+8908+4440+435+625+2349+3362+4879+291+2014+126+373.5</f>
        <v>10699473</v>
      </c>
      <c r="M691" s="152">
        <f>493806+365411+142937+78728+74756+40294+15922+6247+4692+1746+904+107+157+579+840+1220+56+504+21+69</f>
        <v>1228996</v>
      </c>
      <c r="N691" s="267">
        <f>+L691/M691</f>
        <v>8.705864787192148</v>
      </c>
      <c r="O691" s="301"/>
    </row>
    <row r="692" spans="1:15" ht="15">
      <c r="A692" s="39">
        <v>689</v>
      </c>
      <c r="B692" s="265" t="s">
        <v>51</v>
      </c>
      <c r="C692" s="26">
        <v>40137</v>
      </c>
      <c r="D692" s="32" t="s">
        <v>242</v>
      </c>
      <c r="E692" s="55">
        <v>147</v>
      </c>
      <c r="F692" s="55">
        <v>1</v>
      </c>
      <c r="G692" s="55">
        <v>17</v>
      </c>
      <c r="H692" s="159">
        <v>291</v>
      </c>
      <c r="I692" s="160">
        <v>56</v>
      </c>
      <c r="J692" s="177">
        <f>(I692/F692)</f>
        <v>56</v>
      </c>
      <c r="K692" s="180">
        <f t="shared" si="67"/>
        <v>5.196428571428571</v>
      </c>
      <c r="L692" s="178">
        <f>4499732.5+3362984.5+1262292.25+664013.75+490740.5+244990+87796+33908+25213+8908+4440+435+625+2349+3362+4879+291</f>
        <v>10696959.5</v>
      </c>
      <c r="M692" s="179">
        <f>493806+365411+142937+78728+74756+40294+15922+6247+4692+1746+904+107+157+579+840+1220+56</f>
        <v>1228402</v>
      </c>
      <c r="N692" s="266">
        <f>+L693/M693</f>
        <v>8.706049667718261</v>
      </c>
      <c r="O692" s="303"/>
    </row>
    <row r="693" spans="1:15" ht="15">
      <c r="A693" s="39">
        <v>690</v>
      </c>
      <c r="B693" s="265" t="s">
        <v>51</v>
      </c>
      <c r="C693" s="26">
        <v>40137</v>
      </c>
      <c r="D693" s="27" t="s">
        <v>242</v>
      </c>
      <c r="E693" s="55">
        <v>147</v>
      </c>
      <c r="F693" s="55">
        <v>1</v>
      </c>
      <c r="G693" s="55">
        <v>19</v>
      </c>
      <c r="H693" s="159">
        <v>126</v>
      </c>
      <c r="I693" s="160">
        <v>21</v>
      </c>
      <c r="J693" s="177">
        <f>(I693/F693)</f>
        <v>21</v>
      </c>
      <c r="K693" s="180">
        <f t="shared" si="67"/>
        <v>6</v>
      </c>
      <c r="L693" s="178">
        <f>4499732.5+3362984.5+1262292.25+664013.75+490740.5+244990+87796+33908+25213+8908+4440+435+625+2349+3362+4879+291+2014+126</f>
        <v>10699099.5</v>
      </c>
      <c r="M693" s="179">
        <f>493806+365411+142937+78728+74756+40294+15922+6247+4692+1746+904+107+157+579+840+1220+56+504+21</f>
        <v>1228927</v>
      </c>
      <c r="N693" s="266">
        <f>L693/M693</f>
        <v>8.706049667718261</v>
      </c>
      <c r="O693" s="303"/>
    </row>
    <row r="694" spans="1:15" ht="15">
      <c r="A694" s="39">
        <v>691</v>
      </c>
      <c r="B694" s="265" t="s">
        <v>97</v>
      </c>
      <c r="C694" s="26">
        <v>40081</v>
      </c>
      <c r="D694" s="27" t="s">
        <v>241</v>
      </c>
      <c r="E694" s="55">
        <v>70</v>
      </c>
      <c r="F694" s="55">
        <v>1</v>
      </c>
      <c r="G694" s="55">
        <v>13</v>
      </c>
      <c r="H694" s="159">
        <v>1671</v>
      </c>
      <c r="I694" s="151">
        <v>278</v>
      </c>
      <c r="J694" s="153">
        <f aca="true" t="shared" si="68" ref="J694:J704">I694/F694</f>
        <v>278</v>
      </c>
      <c r="K694" s="155">
        <f t="shared" si="67"/>
        <v>6.010791366906475</v>
      </c>
      <c r="L694" s="178">
        <f>1392975+803+1671</f>
        <v>1395449</v>
      </c>
      <c r="M694" s="158">
        <f>137156+132+278</f>
        <v>137566</v>
      </c>
      <c r="N694" s="266">
        <f aca="true" t="shared" si="69" ref="N694:N699">+L695/M695</f>
        <v>10.15222015034089</v>
      </c>
      <c r="O694" s="303"/>
    </row>
    <row r="695" spans="1:15" ht="15">
      <c r="A695" s="39">
        <v>692</v>
      </c>
      <c r="B695" s="265" t="s">
        <v>97</v>
      </c>
      <c r="C695" s="26">
        <v>40081</v>
      </c>
      <c r="D695" s="27" t="s">
        <v>241</v>
      </c>
      <c r="E695" s="55">
        <v>70</v>
      </c>
      <c r="F695" s="55">
        <v>1</v>
      </c>
      <c r="G695" s="55">
        <v>12</v>
      </c>
      <c r="H695" s="159">
        <v>803</v>
      </c>
      <c r="I695" s="160">
        <v>132</v>
      </c>
      <c r="J695" s="177">
        <f t="shared" si="68"/>
        <v>132</v>
      </c>
      <c r="K695" s="180">
        <f t="shared" si="67"/>
        <v>6.083333333333333</v>
      </c>
      <c r="L695" s="178">
        <f>1392975+803</f>
        <v>1393778</v>
      </c>
      <c r="M695" s="179">
        <f>137156+132</f>
        <v>137288</v>
      </c>
      <c r="N695" s="267">
        <f t="shared" si="69"/>
        <v>6.698634721355791</v>
      </c>
      <c r="O695" s="301"/>
    </row>
    <row r="696" spans="1:15" ht="15">
      <c r="A696" s="39">
        <v>693</v>
      </c>
      <c r="B696" s="279" t="s">
        <v>168</v>
      </c>
      <c r="C696" s="31">
        <v>39871</v>
      </c>
      <c r="D696" s="47" t="s">
        <v>47</v>
      </c>
      <c r="E696" s="56">
        <v>192</v>
      </c>
      <c r="F696" s="56">
        <v>1</v>
      </c>
      <c r="G696" s="56">
        <v>22</v>
      </c>
      <c r="H696" s="148">
        <v>1918</v>
      </c>
      <c r="I696" s="162">
        <v>319</v>
      </c>
      <c r="J696" s="181">
        <f t="shared" si="68"/>
        <v>319</v>
      </c>
      <c r="K696" s="182">
        <f t="shared" si="67"/>
        <v>6.012539184952978</v>
      </c>
      <c r="L696" s="183">
        <f>568084.5+439199.5+199559+109980+164256.5-20+26773.5+13463+1383+6404+0.5+715+335+85+378+1008+757+6618+713+0.75+243+1525+380+105+2395+1918</f>
        <v>1546259.25</v>
      </c>
      <c r="M696" s="181">
        <f>79686+62524+31158+18444+26844-3+5195+2619+207+1137+130+77+14+84+252+149+1160+124+32+241+76+21+342+319</f>
        <v>230832</v>
      </c>
      <c r="N696" s="267">
        <f t="shared" si="69"/>
        <v>9.353614436176715</v>
      </c>
      <c r="O696" s="301">
        <v>1</v>
      </c>
    </row>
    <row r="697" spans="1:15" ht="15">
      <c r="A697" s="39">
        <v>694</v>
      </c>
      <c r="B697" s="268" t="s">
        <v>44</v>
      </c>
      <c r="C697" s="31">
        <v>40102</v>
      </c>
      <c r="D697" s="35" t="s">
        <v>240</v>
      </c>
      <c r="E697" s="56">
        <v>99</v>
      </c>
      <c r="F697" s="56">
        <v>1</v>
      </c>
      <c r="G697" s="56">
        <v>19</v>
      </c>
      <c r="H697" s="148">
        <v>5600</v>
      </c>
      <c r="I697" s="162">
        <v>1400</v>
      </c>
      <c r="J697" s="181">
        <f t="shared" si="68"/>
        <v>1400</v>
      </c>
      <c r="K697" s="182">
        <f t="shared" si="67"/>
        <v>4</v>
      </c>
      <c r="L697" s="183">
        <v>2602082</v>
      </c>
      <c r="M697" s="181">
        <v>278190</v>
      </c>
      <c r="N697" s="267">
        <f t="shared" si="69"/>
        <v>9.326807110411675</v>
      </c>
      <c r="O697" s="302"/>
    </row>
    <row r="698" spans="1:15" ht="15">
      <c r="A698" s="39">
        <v>695</v>
      </c>
      <c r="B698" s="268" t="s">
        <v>44</v>
      </c>
      <c r="C698" s="46">
        <v>40102</v>
      </c>
      <c r="D698" s="35" t="s">
        <v>240</v>
      </c>
      <c r="E698" s="54">
        <v>99</v>
      </c>
      <c r="F698" s="54">
        <v>1</v>
      </c>
      <c r="G698" s="54">
        <v>20</v>
      </c>
      <c r="H698" s="163">
        <v>5600</v>
      </c>
      <c r="I698" s="164">
        <v>1400</v>
      </c>
      <c r="J698" s="181">
        <f t="shared" si="68"/>
        <v>1400</v>
      </c>
      <c r="K698" s="182">
        <f>+H698/I698</f>
        <v>4</v>
      </c>
      <c r="L698" s="183">
        <v>2607682</v>
      </c>
      <c r="M698" s="181">
        <v>279590</v>
      </c>
      <c r="N698" s="267">
        <f t="shared" si="69"/>
        <v>9.380692944109253</v>
      </c>
      <c r="O698" s="303"/>
    </row>
    <row r="699" spans="1:15" ht="15">
      <c r="A699" s="39">
        <v>696</v>
      </c>
      <c r="B699" s="268" t="s">
        <v>44</v>
      </c>
      <c r="C699" s="31">
        <v>40102</v>
      </c>
      <c r="D699" s="35" t="s">
        <v>240</v>
      </c>
      <c r="E699" s="56">
        <v>99</v>
      </c>
      <c r="F699" s="56">
        <v>2</v>
      </c>
      <c r="G699" s="56">
        <v>18</v>
      </c>
      <c r="H699" s="148">
        <v>5089</v>
      </c>
      <c r="I699" s="162">
        <v>1400</v>
      </c>
      <c r="J699" s="181">
        <f t="shared" si="68"/>
        <v>700</v>
      </c>
      <c r="K699" s="182">
        <f>+H699/I699</f>
        <v>3.635</v>
      </c>
      <c r="L699" s="183">
        <v>2596482</v>
      </c>
      <c r="M699" s="181">
        <v>276790</v>
      </c>
      <c r="N699" s="267">
        <f t="shared" si="69"/>
        <v>9.248832772285288</v>
      </c>
      <c r="O699" s="305"/>
    </row>
    <row r="700" spans="1:15" ht="15">
      <c r="A700" s="39">
        <v>697</v>
      </c>
      <c r="B700" s="275" t="s">
        <v>44</v>
      </c>
      <c r="C700" s="46">
        <v>40102</v>
      </c>
      <c r="D700" s="35" t="s">
        <v>240</v>
      </c>
      <c r="E700" s="54">
        <v>99</v>
      </c>
      <c r="F700" s="54">
        <v>1</v>
      </c>
      <c r="G700" s="54">
        <v>22</v>
      </c>
      <c r="H700" s="163">
        <v>4830</v>
      </c>
      <c r="I700" s="164">
        <v>1610</v>
      </c>
      <c r="J700" s="181">
        <f t="shared" si="68"/>
        <v>1610</v>
      </c>
      <c r="K700" s="182">
        <f>H700/I700</f>
        <v>3</v>
      </c>
      <c r="L700" s="183">
        <v>2612860</v>
      </c>
      <c r="M700" s="181">
        <v>282507</v>
      </c>
      <c r="N700" s="267">
        <f>L701/M701</f>
        <v>9.435323837128651</v>
      </c>
      <c r="O700" s="303"/>
    </row>
    <row r="701" spans="1:15" ht="15">
      <c r="A701" s="39">
        <v>698</v>
      </c>
      <c r="B701" s="268" t="s">
        <v>44</v>
      </c>
      <c r="C701" s="31">
        <v>40102</v>
      </c>
      <c r="D701" s="35" t="s">
        <v>240</v>
      </c>
      <c r="E701" s="56">
        <v>99</v>
      </c>
      <c r="F701" s="56">
        <v>8</v>
      </c>
      <c r="G701" s="56">
        <v>15</v>
      </c>
      <c r="H701" s="161">
        <v>4479</v>
      </c>
      <c r="I701" s="150">
        <v>839</v>
      </c>
      <c r="J701" s="152">
        <f t="shared" si="68"/>
        <v>104.875</v>
      </c>
      <c r="K701" s="154">
        <f>+H701/I701</f>
        <v>5.33849821215733</v>
      </c>
      <c r="L701" s="156">
        <v>2584656</v>
      </c>
      <c r="M701" s="152">
        <v>273934</v>
      </c>
      <c r="N701" s="267">
        <f>+L702/M702</f>
        <v>9.423857526147753</v>
      </c>
      <c r="O701" s="303"/>
    </row>
    <row r="702" spans="1:15" ht="15">
      <c r="A702" s="39">
        <v>699</v>
      </c>
      <c r="B702" s="268" t="s">
        <v>44</v>
      </c>
      <c r="C702" s="31">
        <v>40102</v>
      </c>
      <c r="D702" s="35" t="s">
        <v>240</v>
      </c>
      <c r="E702" s="56">
        <v>99</v>
      </c>
      <c r="F702" s="56">
        <v>5</v>
      </c>
      <c r="G702" s="56">
        <v>16</v>
      </c>
      <c r="H702" s="161">
        <v>3974</v>
      </c>
      <c r="I702" s="150">
        <v>755</v>
      </c>
      <c r="J702" s="152">
        <f t="shared" si="68"/>
        <v>151</v>
      </c>
      <c r="K702" s="154">
        <f>+H702/I702</f>
        <v>5.263576158940397</v>
      </c>
      <c r="L702" s="156">
        <v>2588630</v>
      </c>
      <c r="M702" s="152">
        <v>274689</v>
      </c>
      <c r="N702" s="267">
        <f>+L703/M703</f>
        <v>9.221783454747847</v>
      </c>
      <c r="O702" s="303"/>
    </row>
    <row r="703" spans="1:15" ht="15">
      <c r="A703" s="39">
        <v>700</v>
      </c>
      <c r="B703" s="265" t="s">
        <v>44</v>
      </c>
      <c r="C703" s="31">
        <v>40102</v>
      </c>
      <c r="D703" s="35" t="s">
        <v>240</v>
      </c>
      <c r="E703" s="54">
        <v>99</v>
      </c>
      <c r="F703" s="54">
        <v>3</v>
      </c>
      <c r="G703" s="54">
        <v>28</v>
      </c>
      <c r="H703" s="163">
        <v>3828</v>
      </c>
      <c r="I703" s="164">
        <v>1060</v>
      </c>
      <c r="J703" s="181">
        <f t="shared" si="68"/>
        <v>353.3333333333333</v>
      </c>
      <c r="K703" s="182">
        <f>+H703/I703</f>
        <v>3.611320754716981</v>
      </c>
      <c r="L703" s="183">
        <v>2617843</v>
      </c>
      <c r="M703" s="181">
        <v>283876</v>
      </c>
      <c r="N703" s="270">
        <f>+L703/M703</f>
        <v>9.221783454747847</v>
      </c>
      <c r="O703" s="303"/>
    </row>
    <row r="704" spans="1:15" ht="15">
      <c r="A704" s="39">
        <v>701</v>
      </c>
      <c r="B704" s="268" t="s">
        <v>44</v>
      </c>
      <c r="C704" s="31">
        <v>40102</v>
      </c>
      <c r="D704" s="35" t="s">
        <v>240</v>
      </c>
      <c r="E704" s="56">
        <v>99</v>
      </c>
      <c r="F704" s="56">
        <v>9</v>
      </c>
      <c r="G704" s="56">
        <v>14</v>
      </c>
      <c r="H704" s="148">
        <v>3375</v>
      </c>
      <c r="I704" s="150">
        <v>911</v>
      </c>
      <c r="J704" s="152">
        <f t="shared" si="68"/>
        <v>101.22222222222223</v>
      </c>
      <c r="K704" s="154">
        <f>+H704/I704</f>
        <v>3.7047200878155873</v>
      </c>
      <c r="L704" s="183">
        <v>2580177</v>
      </c>
      <c r="M704" s="152">
        <v>273095</v>
      </c>
      <c r="N704" s="267">
        <f>L705/M705</f>
        <v>9.409902320345692</v>
      </c>
      <c r="O704" s="301"/>
    </row>
    <row r="705" spans="1:15" ht="15">
      <c r="A705" s="39">
        <v>702</v>
      </c>
      <c r="B705" s="268" t="s">
        <v>44</v>
      </c>
      <c r="C705" s="31">
        <v>40102</v>
      </c>
      <c r="D705" s="35" t="s">
        <v>240</v>
      </c>
      <c r="E705" s="56">
        <v>99</v>
      </c>
      <c r="F705" s="56">
        <v>5</v>
      </c>
      <c r="G705" s="56">
        <v>17</v>
      </c>
      <c r="H705" s="161">
        <v>2763</v>
      </c>
      <c r="I705" s="150">
        <v>701</v>
      </c>
      <c r="J705" s="152">
        <f>(I705/F705)</f>
        <v>140.2</v>
      </c>
      <c r="K705" s="154">
        <f>(J705/G705)</f>
        <v>8.24705882352941</v>
      </c>
      <c r="L705" s="156">
        <v>2591393</v>
      </c>
      <c r="M705" s="152">
        <v>275390</v>
      </c>
      <c r="N705" s="277">
        <f>+L706/M706</f>
        <v>9.470172742181008</v>
      </c>
      <c r="O705" s="316"/>
    </row>
    <row r="706" spans="1:15" ht="15">
      <c r="A706" s="39">
        <v>703</v>
      </c>
      <c r="B706" s="278" t="s">
        <v>44</v>
      </c>
      <c r="C706" s="36">
        <v>40102</v>
      </c>
      <c r="D706" s="35" t="s">
        <v>240</v>
      </c>
      <c r="E706" s="59">
        <v>99</v>
      </c>
      <c r="F706" s="59">
        <v>15</v>
      </c>
      <c r="G706" s="59">
        <v>12</v>
      </c>
      <c r="H706" s="172">
        <v>2194</v>
      </c>
      <c r="I706" s="173">
        <v>315</v>
      </c>
      <c r="J706" s="197">
        <f aca="true" t="shared" si="70" ref="J706:J712">I706/F706</f>
        <v>21</v>
      </c>
      <c r="K706" s="196">
        <f>+H706/I706</f>
        <v>6.965079365079365</v>
      </c>
      <c r="L706" s="198">
        <v>2575565</v>
      </c>
      <c r="M706" s="197">
        <v>271966</v>
      </c>
      <c r="N706" s="267">
        <f>+L707/M707</f>
        <v>9.28407983208225</v>
      </c>
      <c r="O706" s="303"/>
    </row>
    <row r="707" spans="1:15" ht="15">
      <c r="A707" s="39">
        <v>704</v>
      </c>
      <c r="B707" s="268" t="s">
        <v>44</v>
      </c>
      <c r="C707" s="46">
        <v>40102</v>
      </c>
      <c r="D707" s="35" t="s">
        <v>240</v>
      </c>
      <c r="E707" s="54">
        <v>99</v>
      </c>
      <c r="F707" s="54">
        <v>1</v>
      </c>
      <c r="G707" s="54">
        <v>21</v>
      </c>
      <c r="H707" s="163">
        <v>1980</v>
      </c>
      <c r="I707" s="164">
        <v>1500</v>
      </c>
      <c r="J707" s="181">
        <f t="shared" si="70"/>
        <v>1500</v>
      </c>
      <c r="K707" s="182">
        <f>H707/I707</f>
        <v>1.32</v>
      </c>
      <c r="L707" s="183">
        <v>2609662</v>
      </c>
      <c r="M707" s="181">
        <v>281090</v>
      </c>
      <c r="N707" s="267">
        <f>+L708/M708</f>
        <v>9.467132527995767</v>
      </c>
      <c r="O707" s="301"/>
    </row>
    <row r="708" spans="1:15" ht="15">
      <c r="A708" s="39">
        <v>705</v>
      </c>
      <c r="B708" s="268" t="s">
        <v>44</v>
      </c>
      <c r="C708" s="31">
        <v>40102</v>
      </c>
      <c r="D708" s="35" t="s">
        <v>240</v>
      </c>
      <c r="E708" s="56">
        <v>99</v>
      </c>
      <c r="F708" s="56">
        <v>5</v>
      </c>
      <c r="G708" s="56">
        <v>13</v>
      </c>
      <c r="H708" s="148">
        <v>1237</v>
      </c>
      <c r="I708" s="162">
        <v>218</v>
      </c>
      <c r="J708" s="181">
        <f t="shared" si="70"/>
        <v>43.6</v>
      </c>
      <c r="K708" s="182">
        <f>+H708/I708</f>
        <v>5.674311926605505</v>
      </c>
      <c r="L708" s="183">
        <v>2576802</v>
      </c>
      <c r="M708" s="181">
        <v>272184</v>
      </c>
      <c r="N708" s="267">
        <f>+L709/M709</f>
        <v>9.242811580674362</v>
      </c>
      <c r="O708" s="303"/>
    </row>
    <row r="709" spans="1:15" ht="15">
      <c r="A709" s="39">
        <v>706</v>
      </c>
      <c r="B709" s="265" t="s">
        <v>44</v>
      </c>
      <c r="C709" s="31">
        <v>40102</v>
      </c>
      <c r="D709" s="35" t="s">
        <v>240</v>
      </c>
      <c r="E709" s="54">
        <v>99</v>
      </c>
      <c r="F709" s="54">
        <v>1</v>
      </c>
      <c r="G709" s="54">
        <v>27</v>
      </c>
      <c r="H709" s="163">
        <v>1127</v>
      </c>
      <c r="I709" s="164">
        <v>307</v>
      </c>
      <c r="J709" s="181">
        <f t="shared" si="70"/>
        <v>307</v>
      </c>
      <c r="K709" s="182">
        <f>H709/I709</f>
        <v>3.6710097719869705</v>
      </c>
      <c r="L709" s="183">
        <v>2614015</v>
      </c>
      <c r="M709" s="181">
        <v>282816</v>
      </c>
      <c r="N709" s="270">
        <f>+L709/M709</f>
        <v>9.242811580674362</v>
      </c>
      <c r="O709" s="316"/>
    </row>
    <row r="710" spans="1:15" ht="15">
      <c r="A710" s="39">
        <v>707</v>
      </c>
      <c r="B710" s="265" t="s">
        <v>44</v>
      </c>
      <c r="C710" s="31">
        <v>40102</v>
      </c>
      <c r="D710" s="35" t="s">
        <v>240</v>
      </c>
      <c r="E710" s="54">
        <v>99</v>
      </c>
      <c r="F710" s="54">
        <v>1</v>
      </c>
      <c r="G710" s="54">
        <v>30</v>
      </c>
      <c r="H710" s="163">
        <v>609</v>
      </c>
      <c r="I710" s="165">
        <v>280</v>
      </c>
      <c r="J710" s="152">
        <f t="shared" si="70"/>
        <v>280</v>
      </c>
      <c r="K710" s="154">
        <f>+H710/I710</f>
        <v>2.175</v>
      </c>
      <c r="L710" s="156">
        <v>2618452</v>
      </c>
      <c r="M710" s="152">
        <v>284156</v>
      </c>
      <c r="N710" s="267">
        <f>+L710/M710</f>
        <v>9.214839735919707</v>
      </c>
      <c r="O710" s="312"/>
    </row>
    <row r="711" spans="1:15" ht="15">
      <c r="A711" s="39">
        <v>708</v>
      </c>
      <c r="B711" s="265" t="s">
        <v>44</v>
      </c>
      <c r="C711" s="31">
        <v>40102</v>
      </c>
      <c r="D711" s="35" t="s">
        <v>240</v>
      </c>
      <c r="E711" s="56">
        <v>99</v>
      </c>
      <c r="F711" s="56">
        <v>1</v>
      </c>
      <c r="G711" s="56">
        <v>32</v>
      </c>
      <c r="H711" s="149">
        <v>609</v>
      </c>
      <c r="I711" s="151">
        <v>280</v>
      </c>
      <c r="J711" s="152">
        <f t="shared" si="70"/>
        <v>280</v>
      </c>
      <c r="K711" s="154">
        <f>+H711/I711</f>
        <v>2.175</v>
      </c>
      <c r="L711" s="156">
        <v>2619061</v>
      </c>
      <c r="M711" s="152">
        <v>284436</v>
      </c>
      <c r="N711" s="267">
        <f>+L711/M711</f>
        <v>9.20790968794386</v>
      </c>
      <c r="O711" s="308"/>
    </row>
    <row r="712" spans="1:15" ht="15">
      <c r="A712" s="39">
        <v>709</v>
      </c>
      <c r="B712" s="265" t="s">
        <v>44</v>
      </c>
      <c r="C712" s="26">
        <v>40102</v>
      </c>
      <c r="D712" s="27" t="s">
        <v>240</v>
      </c>
      <c r="E712" s="55">
        <v>99</v>
      </c>
      <c r="F712" s="55">
        <v>1</v>
      </c>
      <c r="G712" s="55">
        <v>33</v>
      </c>
      <c r="H712" s="159">
        <v>608</v>
      </c>
      <c r="I712" s="160">
        <v>280</v>
      </c>
      <c r="J712" s="177">
        <f t="shared" si="70"/>
        <v>280</v>
      </c>
      <c r="K712" s="180">
        <f>+H712/I712</f>
        <v>2.1714285714285713</v>
      </c>
      <c r="L712" s="178">
        <v>2619669</v>
      </c>
      <c r="M712" s="179">
        <v>284716</v>
      </c>
      <c r="N712" s="266">
        <f>+L712/M712</f>
        <v>9.200989758215204</v>
      </c>
      <c r="O712" s="303"/>
    </row>
    <row r="713" spans="1:15" ht="15">
      <c r="A713" s="39">
        <v>710</v>
      </c>
      <c r="B713" s="265" t="s">
        <v>44</v>
      </c>
      <c r="C713" s="26">
        <v>40102</v>
      </c>
      <c r="D713" s="27" t="s">
        <v>240</v>
      </c>
      <c r="E713" s="55">
        <v>99</v>
      </c>
      <c r="F713" s="55">
        <v>1</v>
      </c>
      <c r="G713" s="55">
        <v>40</v>
      </c>
      <c r="H713" s="159">
        <v>459</v>
      </c>
      <c r="I713" s="160">
        <v>51</v>
      </c>
      <c r="J713" s="177">
        <v>51</v>
      </c>
      <c r="K713" s="155">
        <v>9</v>
      </c>
      <c r="L713" s="178">
        <v>2620813</v>
      </c>
      <c r="M713" s="179">
        <v>284904</v>
      </c>
      <c r="N713" s="266">
        <v>9.198933675904867</v>
      </c>
      <c r="O713" s="331"/>
    </row>
    <row r="714" spans="1:15" ht="15">
      <c r="A714" s="39">
        <v>711</v>
      </c>
      <c r="B714" s="268" t="s">
        <v>31</v>
      </c>
      <c r="C714" s="31">
        <v>40095</v>
      </c>
      <c r="D714" s="32" t="s">
        <v>242</v>
      </c>
      <c r="E714" s="56">
        <v>52</v>
      </c>
      <c r="F714" s="56">
        <v>2</v>
      </c>
      <c r="G714" s="56">
        <v>8</v>
      </c>
      <c r="H714" s="149">
        <v>2968</v>
      </c>
      <c r="I714" s="151">
        <v>742</v>
      </c>
      <c r="J714" s="153">
        <f>(I714/F714)</f>
        <v>371</v>
      </c>
      <c r="K714" s="155">
        <f>H714/I714</f>
        <v>4</v>
      </c>
      <c r="L714" s="157">
        <f>108013.25+68864+27976+10214+2402+2209+1188+2968</f>
        <v>223834.25</v>
      </c>
      <c r="M714" s="158">
        <f>12202+8144+4339+1841+481+460+297+742</f>
        <v>28506</v>
      </c>
      <c r="N714" s="267">
        <f>L715/M715</f>
        <v>7.661998666444407</v>
      </c>
      <c r="O714" s="302">
        <v>1</v>
      </c>
    </row>
    <row r="715" spans="1:15" ht="15">
      <c r="A715" s="39">
        <v>712</v>
      </c>
      <c r="B715" s="268" t="s">
        <v>31</v>
      </c>
      <c r="C715" s="31">
        <v>40095</v>
      </c>
      <c r="D715" s="32" t="s">
        <v>242</v>
      </c>
      <c r="E715" s="54">
        <v>52</v>
      </c>
      <c r="F715" s="54">
        <v>1</v>
      </c>
      <c r="G715" s="54">
        <v>11</v>
      </c>
      <c r="H715" s="163">
        <v>2427.4</v>
      </c>
      <c r="I715" s="164">
        <v>599</v>
      </c>
      <c r="J715" s="181">
        <f>I715/F715</f>
        <v>599</v>
      </c>
      <c r="K715" s="182">
        <f>+H715/I715</f>
        <v>4.052420701168614</v>
      </c>
      <c r="L715" s="183">
        <f>108013.25+68864+27976+10214+2402+2209+1188+2968+1780+1780+2427.4</f>
        <v>229821.65</v>
      </c>
      <c r="M715" s="181">
        <f>12202+8144+4339+1841+481+460+297+742+445+445+599</f>
        <v>29995</v>
      </c>
      <c r="N715" s="270">
        <f>+L715/M715</f>
        <v>7.661998666444407</v>
      </c>
      <c r="O715" s="303">
        <v>1</v>
      </c>
    </row>
    <row r="716" spans="1:15" ht="15">
      <c r="A716" s="39">
        <v>713</v>
      </c>
      <c r="B716" s="268" t="s">
        <v>31</v>
      </c>
      <c r="C716" s="46">
        <v>40095</v>
      </c>
      <c r="D716" s="32" t="s">
        <v>242</v>
      </c>
      <c r="E716" s="54">
        <v>52</v>
      </c>
      <c r="F716" s="54">
        <v>1</v>
      </c>
      <c r="G716" s="54">
        <v>10</v>
      </c>
      <c r="H716" s="163">
        <v>1780</v>
      </c>
      <c r="I716" s="164">
        <v>445</v>
      </c>
      <c r="J716" s="181">
        <f>(I716/F716)</f>
        <v>445</v>
      </c>
      <c r="K716" s="182">
        <f>H716/I716</f>
        <v>4</v>
      </c>
      <c r="L716" s="183">
        <f>108013.25+68864+27976+10214+2402+2209+1188+2968+1780+1780</f>
        <v>227394.25</v>
      </c>
      <c r="M716" s="181">
        <f>12202+8144+4339+1841+481+460+297+742+445+445</f>
        <v>29396</v>
      </c>
      <c r="N716" s="266">
        <f>L717/M717</f>
        <v>7.792969154778764</v>
      </c>
      <c r="O716" s="305">
        <v>1</v>
      </c>
    </row>
    <row r="717" spans="1:15" ht="15">
      <c r="A717" s="39">
        <v>714</v>
      </c>
      <c r="B717" s="268" t="s">
        <v>31</v>
      </c>
      <c r="C717" s="31">
        <v>40095</v>
      </c>
      <c r="D717" s="32" t="s">
        <v>242</v>
      </c>
      <c r="E717" s="56">
        <v>52</v>
      </c>
      <c r="F717" s="56">
        <v>1</v>
      </c>
      <c r="G717" s="56">
        <v>9</v>
      </c>
      <c r="H717" s="148">
        <v>1780</v>
      </c>
      <c r="I717" s="162">
        <v>445</v>
      </c>
      <c r="J717" s="181">
        <f>(I717/F717)</f>
        <v>445</v>
      </c>
      <c r="K717" s="182">
        <f>H717/I717</f>
        <v>4</v>
      </c>
      <c r="L717" s="183">
        <f>108013.25+68864+27976+10214+2402+2209+1188+2968+1780</f>
        <v>225614.25</v>
      </c>
      <c r="M717" s="181">
        <f>12202+8144+4339+1841+481+460+297+742+445</f>
        <v>28951</v>
      </c>
      <c r="N717" s="266">
        <f>IF(L718&lt;&gt;0,L718/M718,"")</f>
        <v>7.955130744849446</v>
      </c>
      <c r="O717" s="303">
        <v>1</v>
      </c>
    </row>
    <row r="718" spans="1:15" ht="15">
      <c r="A718" s="39">
        <v>715</v>
      </c>
      <c r="B718" s="268" t="s">
        <v>31</v>
      </c>
      <c r="C718" s="31">
        <v>40095</v>
      </c>
      <c r="D718" s="32" t="s">
        <v>242</v>
      </c>
      <c r="E718" s="56">
        <v>52</v>
      </c>
      <c r="F718" s="56">
        <v>1</v>
      </c>
      <c r="G718" s="56">
        <v>7</v>
      </c>
      <c r="H718" s="159">
        <v>1188</v>
      </c>
      <c r="I718" s="151">
        <v>297</v>
      </c>
      <c r="J718" s="153">
        <f>(I718/F718)</f>
        <v>297</v>
      </c>
      <c r="K718" s="155">
        <f>H718/I718</f>
        <v>4</v>
      </c>
      <c r="L718" s="178">
        <f>108013.25+68864+27976+10214+2402+2209+1188</f>
        <v>220866.25</v>
      </c>
      <c r="M718" s="158">
        <f>12202+8144+4339+1841+481+460+297</f>
        <v>27764</v>
      </c>
      <c r="N718" s="266">
        <f>L719/M719</f>
        <v>7.651966956984243</v>
      </c>
      <c r="O718" s="301">
        <v>1</v>
      </c>
    </row>
    <row r="719" spans="1:15" ht="15">
      <c r="A719" s="39">
        <v>716</v>
      </c>
      <c r="B719" s="265" t="s">
        <v>31</v>
      </c>
      <c r="C719" s="31">
        <v>40095</v>
      </c>
      <c r="D719" s="32" t="s">
        <v>242</v>
      </c>
      <c r="E719" s="54">
        <v>52</v>
      </c>
      <c r="F719" s="54">
        <v>1</v>
      </c>
      <c r="G719" s="54">
        <v>12</v>
      </c>
      <c r="H719" s="163">
        <v>364.82</v>
      </c>
      <c r="I719" s="164">
        <v>87</v>
      </c>
      <c r="J719" s="181">
        <f>(I719/F719)</f>
        <v>87</v>
      </c>
      <c r="K719" s="182">
        <f>H719/I719</f>
        <v>4.193333333333333</v>
      </c>
      <c r="L719" s="183">
        <f>108013.25+68864+27976+10214+2402+2209+1188+2968+1780+1780+2427.4+364.82</f>
        <v>230186.47</v>
      </c>
      <c r="M719" s="181">
        <f>12202+8144+4339+1841+481+460+297+742+445+445+599+87</f>
        <v>30082</v>
      </c>
      <c r="N719" s="270">
        <f>L719/M719</f>
        <v>7.651966956984243</v>
      </c>
      <c r="O719" s="303">
        <v>1</v>
      </c>
    </row>
    <row r="720" spans="1:15" ht="15">
      <c r="A720" s="39">
        <v>717</v>
      </c>
      <c r="B720" s="265" t="s">
        <v>31</v>
      </c>
      <c r="C720" s="31">
        <v>40095</v>
      </c>
      <c r="D720" s="32" t="s">
        <v>242</v>
      </c>
      <c r="E720" s="54">
        <v>52</v>
      </c>
      <c r="F720" s="54">
        <v>1</v>
      </c>
      <c r="G720" s="54">
        <v>13</v>
      </c>
      <c r="H720" s="163">
        <v>248.58</v>
      </c>
      <c r="I720" s="165">
        <v>57</v>
      </c>
      <c r="J720" s="152">
        <f>(I720/F720)</f>
        <v>57</v>
      </c>
      <c r="K720" s="154">
        <f>H720/I720</f>
        <v>4.361052631578947</v>
      </c>
      <c r="L720" s="156">
        <f>108013.25+68864+27976+10214+2402+2209+1188+2968+1780+1780+2427.4+364.82+248.58</f>
        <v>230435.05</v>
      </c>
      <c r="M720" s="152">
        <f>12202+8144+4339+1841+481+460+297+742+445+445+599+87+57</f>
        <v>30139</v>
      </c>
      <c r="N720" s="267">
        <f>L720/M720</f>
        <v>7.645743057168453</v>
      </c>
      <c r="O720" s="312">
        <v>1</v>
      </c>
    </row>
    <row r="721" spans="1:15" ht="15">
      <c r="A721" s="39">
        <v>718</v>
      </c>
      <c r="B721" s="268" t="s">
        <v>28</v>
      </c>
      <c r="C721" s="31">
        <v>39822</v>
      </c>
      <c r="D721" s="33" t="s">
        <v>154</v>
      </c>
      <c r="E721" s="56">
        <v>175</v>
      </c>
      <c r="F721" s="56">
        <v>1</v>
      </c>
      <c r="G721" s="56">
        <v>25</v>
      </c>
      <c r="H721" s="149">
        <v>30203</v>
      </c>
      <c r="I721" s="151">
        <v>6041</v>
      </c>
      <c r="J721" s="153">
        <f>IF(H721&lt;&gt;0,I721/F721,"")</f>
        <v>6041</v>
      </c>
      <c r="K721" s="155">
        <f>IF(H721&lt;&gt;0,H721/I721,"")</f>
        <v>4.999668928985267</v>
      </c>
      <c r="L721" s="157">
        <v>3549661</v>
      </c>
      <c r="M721" s="158">
        <v>486849</v>
      </c>
      <c r="N721" s="267">
        <f>IF(L722&lt;&gt;0,L722/M722,"")</f>
        <v>7.285740047419102</v>
      </c>
      <c r="O721" s="303">
        <v>1</v>
      </c>
    </row>
    <row r="722" spans="1:15" ht="15">
      <c r="A722" s="39">
        <v>719</v>
      </c>
      <c r="B722" s="268" t="s">
        <v>163</v>
      </c>
      <c r="C722" s="31">
        <v>39822</v>
      </c>
      <c r="D722" s="28" t="s">
        <v>154</v>
      </c>
      <c r="E722" s="56">
        <v>175</v>
      </c>
      <c r="F722" s="56">
        <v>1</v>
      </c>
      <c r="G722" s="56">
        <v>26</v>
      </c>
      <c r="H722" s="148">
        <v>5700</v>
      </c>
      <c r="I722" s="162">
        <v>1140</v>
      </c>
      <c r="J722" s="181">
        <f>IF(H722&lt;&gt;0,I722/F722,"")</f>
        <v>1140</v>
      </c>
      <c r="K722" s="182">
        <f>IF(H722&lt;&gt;0,H722/I722,"")</f>
        <v>5</v>
      </c>
      <c r="L722" s="183">
        <v>3555361</v>
      </c>
      <c r="M722" s="181">
        <v>487989</v>
      </c>
      <c r="N722" s="277">
        <f>+L723/M723</f>
        <v>7.282108411796238</v>
      </c>
      <c r="O722" s="303">
        <v>1</v>
      </c>
    </row>
    <row r="723" spans="1:15" ht="15">
      <c r="A723" s="39">
        <v>720</v>
      </c>
      <c r="B723" s="265" t="s">
        <v>28</v>
      </c>
      <c r="C723" s="31">
        <v>39822</v>
      </c>
      <c r="D723" s="32" t="s">
        <v>154</v>
      </c>
      <c r="E723" s="56">
        <v>175</v>
      </c>
      <c r="F723" s="56">
        <v>1</v>
      </c>
      <c r="G723" s="56">
        <v>28</v>
      </c>
      <c r="H723" s="148">
        <v>2376</v>
      </c>
      <c r="I723" s="150">
        <v>475</v>
      </c>
      <c r="J723" s="152">
        <f>I723/F723</f>
        <v>475</v>
      </c>
      <c r="K723" s="154">
        <f>H723/I723</f>
        <v>5.002105263157895</v>
      </c>
      <c r="L723" s="156">
        <v>3559247</v>
      </c>
      <c r="M723" s="152">
        <v>488766</v>
      </c>
      <c r="N723" s="267">
        <f>+L723/M723</f>
        <v>7.282108411796238</v>
      </c>
      <c r="O723" s="309">
        <v>1</v>
      </c>
    </row>
    <row r="724" spans="1:15" ht="15">
      <c r="A724" s="39">
        <v>721</v>
      </c>
      <c r="B724" s="265" t="s">
        <v>28</v>
      </c>
      <c r="C724" s="31">
        <v>39822</v>
      </c>
      <c r="D724" s="47" t="s">
        <v>154</v>
      </c>
      <c r="E724" s="54">
        <v>175</v>
      </c>
      <c r="F724" s="54">
        <v>1</v>
      </c>
      <c r="G724" s="54">
        <v>27</v>
      </c>
      <c r="H724" s="163">
        <v>1510</v>
      </c>
      <c r="I724" s="165">
        <v>302</v>
      </c>
      <c r="J724" s="152">
        <f>IF(H724&lt;&gt;0,I724/F724,"")</f>
        <v>302</v>
      </c>
      <c r="K724" s="154">
        <f>IF(H724&lt;&gt;0,H724/I724,"")</f>
        <v>5</v>
      </c>
      <c r="L724" s="156">
        <v>3556871</v>
      </c>
      <c r="M724" s="152">
        <v>488291</v>
      </c>
      <c r="N724" s="267">
        <f>IF(L724&lt;&gt;0,L724/M724,"")</f>
        <v>7.284326354571352</v>
      </c>
      <c r="O724" s="312">
        <v>1</v>
      </c>
    </row>
    <row r="725" spans="1:15" ht="15">
      <c r="A725" s="39">
        <v>722</v>
      </c>
      <c r="B725" s="265" t="s">
        <v>280</v>
      </c>
      <c r="C725" s="26">
        <v>39843</v>
      </c>
      <c r="D725" s="27" t="s">
        <v>261</v>
      </c>
      <c r="E725" s="55">
        <v>80</v>
      </c>
      <c r="F725" s="55">
        <v>1</v>
      </c>
      <c r="G725" s="55">
        <v>19</v>
      </c>
      <c r="H725" s="159">
        <v>2376</v>
      </c>
      <c r="I725" s="160">
        <v>594</v>
      </c>
      <c r="J725" s="177">
        <f aca="true" t="shared" si="71" ref="J725:J730">I725/F725</f>
        <v>594</v>
      </c>
      <c r="K725" s="155">
        <f>H725/I725</f>
        <v>4</v>
      </c>
      <c r="L725" s="178">
        <f>667928.5+422494.5+139288+71324.5+23049.5+32432+3540.5+7287+4043+3439+1920+354+1623+2298+1780+163+2200+1276.5+2376</f>
        <v>1388817</v>
      </c>
      <c r="M725" s="179">
        <f>67031+44640+16046+10311+3717+6651+677+1565+893+611+318+68+399+572+445+33+509+98+594</f>
        <v>155178</v>
      </c>
      <c r="N725" s="266">
        <f>+L725/M725</f>
        <v>8.949831806054982</v>
      </c>
      <c r="O725" s="303"/>
    </row>
    <row r="726" spans="1:15" ht="15">
      <c r="A726" s="39">
        <v>723</v>
      </c>
      <c r="B726" s="278" t="s">
        <v>130</v>
      </c>
      <c r="C726" s="36">
        <v>40165</v>
      </c>
      <c r="D726" s="35" t="s">
        <v>240</v>
      </c>
      <c r="E726" s="59">
        <v>109</v>
      </c>
      <c r="F726" s="59">
        <v>70</v>
      </c>
      <c r="G726" s="59">
        <v>3</v>
      </c>
      <c r="H726" s="172">
        <v>175077</v>
      </c>
      <c r="I726" s="173">
        <v>16879</v>
      </c>
      <c r="J726" s="197">
        <f t="shared" si="71"/>
        <v>241.12857142857143</v>
      </c>
      <c r="K726" s="196">
        <f>+H726/I726</f>
        <v>10.372474672670181</v>
      </c>
      <c r="L726" s="198">
        <v>1207284</v>
      </c>
      <c r="M726" s="197">
        <v>120991</v>
      </c>
      <c r="N726" s="267">
        <f>+L727/M727</f>
        <v>9.946799536427497</v>
      </c>
      <c r="O726" s="301">
        <v>1</v>
      </c>
    </row>
    <row r="727" spans="1:15" ht="15">
      <c r="A727" s="39">
        <v>724</v>
      </c>
      <c r="B727" s="268" t="s">
        <v>174</v>
      </c>
      <c r="C727" s="31">
        <v>40165</v>
      </c>
      <c r="D727" s="35" t="s">
        <v>240</v>
      </c>
      <c r="E727" s="56">
        <v>109</v>
      </c>
      <c r="F727" s="56">
        <v>39</v>
      </c>
      <c r="G727" s="56">
        <v>4</v>
      </c>
      <c r="H727" s="148">
        <v>54378</v>
      </c>
      <c r="I727" s="162">
        <v>5850</v>
      </c>
      <c r="J727" s="181">
        <f t="shared" si="71"/>
        <v>150</v>
      </c>
      <c r="K727" s="182">
        <f>+H727/I727</f>
        <v>9.295384615384615</v>
      </c>
      <c r="L727" s="183">
        <v>1261662</v>
      </c>
      <c r="M727" s="181">
        <v>126841</v>
      </c>
      <c r="N727" s="267">
        <f>+L728/M728</f>
        <v>9.838538139506248</v>
      </c>
      <c r="O727" s="303">
        <v>1</v>
      </c>
    </row>
    <row r="728" spans="1:15" ht="15">
      <c r="A728" s="39">
        <v>725</v>
      </c>
      <c r="B728" s="268" t="s">
        <v>174</v>
      </c>
      <c r="C728" s="31">
        <v>40165</v>
      </c>
      <c r="D728" s="35" t="s">
        <v>240</v>
      </c>
      <c r="E728" s="56">
        <v>109</v>
      </c>
      <c r="F728" s="56">
        <v>19</v>
      </c>
      <c r="G728" s="56">
        <v>5</v>
      </c>
      <c r="H728" s="148">
        <v>16797</v>
      </c>
      <c r="I728" s="150">
        <v>3103</v>
      </c>
      <c r="J728" s="152">
        <f t="shared" si="71"/>
        <v>163.31578947368422</v>
      </c>
      <c r="K728" s="154">
        <f>+H728/I728</f>
        <v>5.413148565903964</v>
      </c>
      <c r="L728" s="183">
        <v>1278459</v>
      </c>
      <c r="M728" s="152">
        <v>129944</v>
      </c>
      <c r="N728" s="267">
        <f>+L729/M729</f>
        <v>9.81528511652057</v>
      </c>
      <c r="O728" s="302">
        <v>1</v>
      </c>
    </row>
    <row r="729" spans="1:15" ht="15">
      <c r="A729" s="39">
        <v>726</v>
      </c>
      <c r="B729" s="268" t="s">
        <v>109</v>
      </c>
      <c r="C729" s="31">
        <v>40165</v>
      </c>
      <c r="D729" s="35" t="s">
        <v>240</v>
      </c>
      <c r="E729" s="56">
        <v>109</v>
      </c>
      <c r="F729" s="56">
        <v>3</v>
      </c>
      <c r="G729" s="56">
        <v>7</v>
      </c>
      <c r="H729" s="161">
        <v>3736</v>
      </c>
      <c r="I729" s="150">
        <v>537</v>
      </c>
      <c r="J729" s="152">
        <f t="shared" si="71"/>
        <v>179</v>
      </c>
      <c r="K729" s="154">
        <f>+H729/I729</f>
        <v>6.957169459962756</v>
      </c>
      <c r="L729" s="156">
        <v>1285449</v>
      </c>
      <c r="M729" s="152">
        <v>130964</v>
      </c>
      <c r="N729" s="267">
        <f>+L730/M730</f>
        <v>9.827052680809954</v>
      </c>
      <c r="O729" s="305">
        <v>1</v>
      </c>
    </row>
    <row r="730" spans="1:15" ht="15">
      <c r="A730" s="39">
        <v>727</v>
      </c>
      <c r="B730" s="268" t="s">
        <v>174</v>
      </c>
      <c r="C730" s="31">
        <v>40165</v>
      </c>
      <c r="D730" s="35" t="s">
        <v>240</v>
      </c>
      <c r="E730" s="56">
        <v>109</v>
      </c>
      <c r="F730" s="56">
        <v>5</v>
      </c>
      <c r="G730" s="56">
        <v>6</v>
      </c>
      <c r="H730" s="161">
        <v>3254</v>
      </c>
      <c r="I730" s="150">
        <v>483</v>
      </c>
      <c r="J730" s="152">
        <f t="shared" si="71"/>
        <v>96.6</v>
      </c>
      <c r="K730" s="154">
        <f>+H730/I730</f>
        <v>6.737060041407868</v>
      </c>
      <c r="L730" s="156">
        <v>1281713</v>
      </c>
      <c r="M730" s="152">
        <v>130427</v>
      </c>
      <c r="N730" s="267">
        <f>L731/M731</f>
        <v>9.811742635115039</v>
      </c>
      <c r="O730" s="303">
        <v>1</v>
      </c>
    </row>
    <row r="731" spans="1:15" ht="15">
      <c r="A731" s="39">
        <v>728</v>
      </c>
      <c r="B731" s="268" t="s">
        <v>174</v>
      </c>
      <c r="C731" s="31">
        <v>40165</v>
      </c>
      <c r="D731" s="35" t="s">
        <v>240</v>
      </c>
      <c r="E731" s="56">
        <v>109</v>
      </c>
      <c r="F731" s="56">
        <v>1</v>
      </c>
      <c r="G731" s="56">
        <v>8</v>
      </c>
      <c r="H731" s="161">
        <v>1155</v>
      </c>
      <c r="I731" s="150">
        <v>165</v>
      </c>
      <c r="J731" s="152">
        <f>(I731/F731)</f>
        <v>165</v>
      </c>
      <c r="K731" s="154">
        <f>(J731/G731)</f>
        <v>20.625</v>
      </c>
      <c r="L731" s="156">
        <v>1286604</v>
      </c>
      <c r="M731" s="152">
        <v>131129</v>
      </c>
      <c r="N731" s="267">
        <f>+L732/M732</f>
        <v>9.806134483834395</v>
      </c>
      <c r="O731" s="303">
        <v>1</v>
      </c>
    </row>
    <row r="732" spans="1:15" ht="15">
      <c r="A732" s="39">
        <v>729</v>
      </c>
      <c r="B732" s="265" t="s">
        <v>130</v>
      </c>
      <c r="C732" s="31">
        <v>40165</v>
      </c>
      <c r="D732" s="35" t="s">
        <v>240</v>
      </c>
      <c r="E732" s="56">
        <v>109</v>
      </c>
      <c r="F732" s="56">
        <v>1</v>
      </c>
      <c r="G732" s="54">
        <v>17</v>
      </c>
      <c r="H732" s="163">
        <v>1028</v>
      </c>
      <c r="I732" s="164">
        <v>139</v>
      </c>
      <c r="J732" s="181">
        <f>I732/F732</f>
        <v>139</v>
      </c>
      <c r="K732" s="182">
        <f>H732/I732</f>
        <v>7.39568345323741</v>
      </c>
      <c r="L732" s="183">
        <v>1288732</v>
      </c>
      <c r="M732" s="181">
        <v>131421</v>
      </c>
      <c r="N732" s="270">
        <f>+L732/M732</f>
        <v>9.806134483834395</v>
      </c>
      <c r="O732" s="303">
        <v>1</v>
      </c>
    </row>
    <row r="733" spans="1:15" ht="15">
      <c r="A733" s="39">
        <v>730</v>
      </c>
      <c r="B733" s="268" t="s">
        <v>174</v>
      </c>
      <c r="C733" s="31">
        <v>40165</v>
      </c>
      <c r="D733" s="35" t="s">
        <v>240</v>
      </c>
      <c r="E733" s="56">
        <v>109</v>
      </c>
      <c r="F733" s="56">
        <v>1</v>
      </c>
      <c r="G733" s="56">
        <v>9</v>
      </c>
      <c r="H733" s="148">
        <v>749</v>
      </c>
      <c r="I733" s="162">
        <v>107</v>
      </c>
      <c r="J733" s="181">
        <f>I733/F733</f>
        <v>107</v>
      </c>
      <c r="K733" s="182">
        <f>+H733/I733</f>
        <v>7</v>
      </c>
      <c r="L733" s="183">
        <v>1287353</v>
      </c>
      <c r="M733" s="181">
        <v>131236</v>
      </c>
      <c r="N733" s="267">
        <f>+L734/M734</f>
        <v>9.808508531383303</v>
      </c>
      <c r="O733" s="303">
        <v>1</v>
      </c>
    </row>
    <row r="734" spans="1:15" ht="15">
      <c r="A734" s="39">
        <v>731</v>
      </c>
      <c r="B734" s="268" t="s">
        <v>174</v>
      </c>
      <c r="C734" s="31">
        <v>40165</v>
      </c>
      <c r="D734" s="35" t="s">
        <v>240</v>
      </c>
      <c r="E734" s="56">
        <v>109</v>
      </c>
      <c r="F734" s="56">
        <v>1</v>
      </c>
      <c r="G734" s="56">
        <v>10</v>
      </c>
      <c r="H734" s="148">
        <v>308</v>
      </c>
      <c r="I734" s="162">
        <v>44</v>
      </c>
      <c r="J734" s="181">
        <f>I734/F734</f>
        <v>44</v>
      </c>
      <c r="K734" s="182">
        <f aca="true" t="shared" si="72" ref="K734:K740">H734/I734</f>
        <v>7</v>
      </c>
      <c r="L734" s="183">
        <v>1287661</v>
      </c>
      <c r="M734" s="181">
        <v>131280</v>
      </c>
      <c r="N734" s="266">
        <f>L735/M735</f>
        <v>8.045067610173055</v>
      </c>
      <c r="O734" s="303">
        <v>1</v>
      </c>
    </row>
    <row r="735" spans="1:15" ht="15">
      <c r="A735" s="39">
        <v>732</v>
      </c>
      <c r="B735" s="276" t="s">
        <v>20</v>
      </c>
      <c r="C735" s="31">
        <v>40046</v>
      </c>
      <c r="D735" s="32" t="s">
        <v>242</v>
      </c>
      <c r="E735" s="56">
        <v>5</v>
      </c>
      <c r="F735" s="56">
        <v>1</v>
      </c>
      <c r="G735" s="56">
        <v>23</v>
      </c>
      <c r="H735" s="149">
        <v>1125</v>
      </c>
      <c r="I735" s="151">
        <v>180</v>
      </c>
      <c r="J735" s="153">
        <f aca="true" t="shared" si="73" ref="J735:J742">(I735/F735)</f>
        <v>180</v>
      </c>
      <c r="K735" s="155">
        <f t="shared" si="72"/>
        <v>6.25</v>
      </c>
      <c r="L735" s="157">
        <f>29266.75+13116.25+9279.25+8463+18147.5+3121+4110+6763+926+5173.5+9461.5+192+486+2002+382+72+487.5+555+468+186+222+822+1125</f>
        <v>114827.25</v>
      </c>
      <c r="M735" s="158">
        <f>2425+1257+1223+1013+2360+455+662+1253+138+745+1554+44+79+353+69+18+78+90+76+31+37+133+180</f>
        <v>14273</v>
      </c>
      <c r="N735" s="266">
        <f>L735/M735</f>
        <v>8.045067610173055</v>
      </c>
      <c r="O735" s="309"/>
    </row>
    <row r="736" spans="1:15" ht="15">
      <c r="A736" s="39">
        <v>733</v>
      </c>
      <c r="B736" s="269" t="s">
        <v>20</v>
      </c>
      <c r="C736" s="31">
        <v>40046</v>
      </c>
      <c r="D736" s="32" t="s">
        <v>242</v>
      </c>
      <c r="E736" s="54">
        <v>5</v>
      </c>
      <c r="F736" s="54">
        <v>1</v>
      </c>
      <c r="G736" s="54">
        <v>22</v>
      </c>
      <c r="H736" s="163">
        <v>822</v>
      </c>
      <c r="I736" s="165">
        <v>133</v>
      </c>
      <c r="J736" s="152">
        <f t="shared" si="73"/>
        <v>133</v>
      </c>
      <c r="K736" s="154">
        <f t="shared" si="72"/>
        <v>6.180451127819549</v>
      </c>
      <c r="L736" s="156">
        <f>29266.75+13116.25+9279.25+8463+18147.5+3121+4110+6763+926+5173.5+9461.5+192+486+2002+382+72+487.5+555+468+186+222+822</f>
        <v>113702.25</v>
      </c>
      <c r="M736" s="152">
        <f>2425+1257+1223+1013+2360+455+662+1253+138+745+1554+44+79+353+69+18+78+90+76+31+37+133</f>
        <v>14093</v>
      </c>
      <c r="N736" s="267">
        <f>L736/M736</f>
        <v>8.067994749166253</v>
      </c>
      <c r="O736" s="312"/>
    </row>
    <row r="737" spans="1:15" ht="15">
      <c r="A737" s="39">
        <v>734</v>
      </c>
      <c r="B737" s="269" t="s">
        <v>20</v>
      </c>
      <c r="C737" s="34">
        <v>40046</v>
      </c>
      <c r="D737" s="32" t="s">
        <v>242</v>
      </c>
      <c r="E737" s="57">
        <v>5</v>
      </c>
      <c r="F737" s="57">
        <v>1</v>
      </c>
      <c r="G737" s="57">
        <v>18</v>
      </c>
      <c r="H737" s="159">
        <v>555</v>
      </c>
      <c r="I737" s="151">
        <v>90</v>
      </c>
      <c r="J737" s="153">
        <f t="shared" si="73"/>
        <v>90</v>
      </c>
      <c r="K737" s="155">
        <f t="shared" si="72"/>
        <v>6.166666666666667</v>
      </c>
      <c r="L737" s="178">
        <f>29266.75+13116.25+9279.25+8463+18147.5+3121+4110+6763+926+5173.5+9461.5+192+486+2002+382+72+487.5+555</f>
        <v>112004.25</v>
      </c>
      <c r="M737" s="158">
        <f>2425+1257+1223+1013+2360+455+662+1253+138+745+1554+44+79+353+69+18+78+90</f>
        <v>13816</v>
      </c>
      <c r="N737" s="266">
        <f>L738/M738</f>
        <v>8.119572344455777</v>
      </c>
      <c r="O737" s="303"/>
    </row>
    <row r="738" spans="1:15" ht="15">
      <c r="A738" s="39">
        <v>735</v>
      </c>
      <c r="B738" s="268" t="s">
        <v>20</v>
      </c>
      <c r="C738" s="31">
        <v>40046</v>
      </c>
      <c r="D738" s="32" t="s">
        <v>242</v>
      </c>
      <c r="E738" s="56">
        <v>5</v>
      </c>
      <c r="F738" s="56">
        <v>1</v>
      </c>
      <c r="G738" s="56">
        <v>17</v>
      </c>
      <c r="H738" s="159">
        <v>487.5</v>
      </c>
      <c r="I738" s="160">
        <v>78</v>
      </c>
      <c r="J738" s="177">
        <f t="shared" si="73"/>
        <v>78</v>
      </c>
      <c r="K738" s="180">
        <f t="shared" si="72"/>
        <v>6.25</v>
      </c>
      <c r="L738" s="178">
        <f>29266.75+13116.25+9279.25+8463+18147.5+3121+4110+6763+926+5173.5+9461.5+192+486+2002+382+72+487.5</f>
        <v>111449.25</v>
      </c>
      <c r="M738" s="179">
        <f>2425+1257+1223+1013+2360+455+662+1253+138+745+1554+44+79+353+69+18+78</f>
        <v>13726</v>
      </c>
      <c r="N738" s="266">
        <f>L739/M739</f>
        <v>8.096188453786352</v>
      </c>
      <c r="O738" s="303"/>
    </row>
    <row r="739" spans="1:15" ht="15">
      <c r="A739" s="39">
        <v>736</v>
      </c>
      <c r="B739" s="268" t="s">
        <v>20</v>
      </c>
      <c r="C739" s="31">
        <v>40046</v>
      </c>
      <c r="D739" s="32" t="s">
        <v>242</v>
      </c>
      <c r="E739" s="56">
        <v>5</v>
      </c>
      <c r="F739" s="56">
        <v>1</v>
      </c>
      <c r="G739" s="56">
        <v>19</v>
      </c>
      <c r="H739" s="149">
        <v>468</v>
      </c>
      <c r="I739" s="151">
        <v>76</v>
      </c>
      <c r="J739" s="153">
        <f t="shared" si="73"/>
        <v>76</v>
      </c>
      <c r="K739" s="155">
        <f t="shared" si="72"/>
        <v>6.157894736842105</v>
      </c>
      <c r="L739" s="157">
        <f>29266.75+13116.25+9279.25+8463+18147.5+3121+4110+6763+926+5173.5+9461.5+192+486+2002+382+72+487.5+555+468</f>
        <v>112472.25</v>
      </c>
      <c r="M739" s="158">
        <f>2425+1257+1223+1013+2360+455+662+1253+138+745+1554+44+79+353+69+18+78+90+76</f>
        <v>13892</v>
      </c>
      <c r="N739" s="267">
        <f>L740/M740</f>
        <v>8.085977793696275</v>
      </c>
      <c r="O739" s="303"/>
    </row>
    <row r="740" spans="1:15" ht="15">
      <c r="A740" s="39">
        <v>737</v>
      </c>
      <c r="B740" s="268" t="s">
        <v>20</v>
      </c>
      <c r="C740" s="31">
        <v>40046</v>
      </c>
      <c r="D740" s="32" t="s">
        <v>242</v>
      </c>
      <c r="E740" s="56">
        <v>5</v>
      </c>
      <c r="F740" s="56">
        <v>1</v>
      </c>
      <c r="G740" s="56">
        <v>21</v>
      </c>
      <c r="H740" s="161">
        <v>222</v>
      </c>
      <c r="I740" s="150">
        <v>37</v>
      </c>
      <c r="J740" s="152">
        <f t="shared" si="73"/>
        <v>37</v>
      </c>
      <c r="K740" s="154">
        <f t="shared" si="72"/>
        <v>6</v>
      </c>
      <c r="L740" s="156">
        <f>29266.75+13116.25+9279.25+8463+18147.5+3121+4110+6763+926+5173.5+9461.5+192+486+2002+382+72+487.5+555+468+186+222</f>
        <v>112880.25</v>
      </c>
      <c r="M740" s="152">
        <f>2425+1257+1223+1013+2360+455+662+1253+138+745+1554+44+79+353+69+18+78+90+76+31+37</f>
        <v>13960</v>
      </c>
      <c r="N740" s="266">
        <f>L741/M741</f>
        <v>8.091521223874166</v>
      </c>
      <c r="O740" s="303"/>
    </row>
    <row r="741" spans="1:15" ht="15">
      <c r="A741" s="39">
        <v>738</v>
      </c>
      <c r="B741" s="269" t="s">
        <v>20</v>
      </c>
      <c r="C741" s="34">
        <v>40046</v>
      </c>
      <c r="D741" s="32" t="s">
        <v>242</v>
      </c>
      <c r="E741" s="57">
        <v>5</v>
      </c>
      <c r="F741" s="57">
        <v>1</v>
      </c>
      <c r="G741" s="57">
        <v>20</v>
      </c>
      <c r="H741" s="149">
        <v>186</v>
      </c>
      <c r="I741" s="151">
        <v>31</v>
      </c>
      <c r="J741" s="153">
        <f t="shared" si="73"/>
        <v>31</v>
      </c>
      <c r="K741" s="154">
        <f>+H741/I741</f>
        <v>6</v>
      </c>
      <c r="L741" s="157">
        <f>29266.75+13116.25+9279.25+8463+18147.5+3121+4110+6763+926+5173.5+9461.5+192+486+2002+382+72+487.5+555+468+186</f>
        <v>112658.25</v>
      </c>
      <c r="M741" s="158">
        <f>2425+1257+1223+1013+2360+455+662+1253+138+745+1554+44+79+353+69+18+78+90+76+31</f>
        <v>13923</v>
      </c>
      <c r="N741" s="266">
        <f>L742/M742</f>
        <v>8.130257180539273</v>
      </c>
      <c r="O741" s="303"/>
    </row>
    <row r="742" spans="1:15" ht="15">
      <c r="A742" s="39">
        <v>739</v>
      </c>
      <c r="B742" s="268" t="s">
        <v>20</v>
      </c>
      <c r="C742" s="31">
        <v>40046</v>
      </c>
      <c r="D742" s="32" t="s">
        <v>242</v>
      </c>
      <c r="E742" s="56">
        <v>5</v>
      </c>
      <c r="F742" s="56">
        <v>1</v>
      </c>
      <c r="G742" s="56">
        <v>16</v>
      </c>
      <c r="H742" s="159">
        <v>72</v>
      </c>
      <c r="I742" s="160">
        <v>18</v>
      </c>
      <c r="J742" s="177">
        <f t="shared" si="73"/>
        <v>18</v>
      </c>
      <c r="K742" s="155">
        <f>H742/I742</f>
        <v>4</v>
      </c>
      <c r="L742" s="178">
        <f>29266.75+13116.25+9279.25+8463+18147.5+3121+4110+6763+926+5173.5+9461.5+192+486+2002+382+72</f>
        <v>110961.75</v>
      </c>
      <c r="M742" s="179">
        <f>2425+1257+1223+1013+2360+455+662+1253+138+745+1554+44+79+353+69+18</f>
        <v>13648</v>
      </c>
      <c r="N742" s="272">
        <f>IF(L743&lt;&gt;0,L743/M743,"")</f>
        <v>6.606494221243809</v>
      </c>
      <c r="O742" s="303"/>
    </row>
    <row r="743" spans="1:15" ht="15">
      <c r="A743" s="39">
        <v>740</v>
      </c>
      <c r="B743" s="268" t="s">
        <v>82</v>
      </c>
      <c r="C743" s="31">
        <v>40144</v>
      </c>
      <c r="D743" s="32" t="s">
        <v>83</v>
      </c>
      <c r="E743" s="56">
        <v>2</v>
      </c>
      <c r="F743" s="56">
        <v>1</v>
      </c>
      <c r="G743" s="56">
        <v>3</v>
      </c>
      <c r="H743" s="148">
        <v>6827</v>
      </c>
      <c r="I743" s="162">
        <v>1058</v>
      </c>
      <c r="J743" s="189">
        <f>I743/F743</f>
        <v>1058</v>
      </c>
      <c r="K743" s="193">
        <f>H743/I743</f>
        <v>6.452741020793951</v>
      </c>
      <c r="L743" s="183">
        <v>12004</v>
      </c>
      <c r="M743" s="181">
        <v>1817</v>
      </c>
      <c r="N743" s="272">
        <f>IF(L744&lt;&gt;0,L744/M744,"")</f>
        <v>6.478410206084397</v>
      </c>
      <c r="O743" s="303"/>
    </row>
    <row r="744" spans="1:15" ht="15">
      <c r="A744" s="39">
        <v>741</v>
      </c>
      <c r="B744" s="268" t="s">
        <v>82</v>
      </c>
      <c r="C744" s="31">
        <v>40144</v>
      </c>
      <c r="D744" s="32" t="s">
        <v>83</v>
      </c>
      <c r="E744" s="56">
        <v>2</v>
      </c>
      <c r="F744" s="56">
        <v>1</v>
      </c>
      <c r="G744" s="56">
        <v>4</v>
      </c>
      <c r="H744" s="148">
        <v>1199</v>
      </c>
      <c r="I744" s="162">
        <v>221</v>
      </c>
      <c r="J744" s="189">
        <f>I744/F744</f>
        <v>221</v>
      </c>
      <c r="K744" s="193">
        <f>H744/I744</f>
        <v>5.425339366515837</v>
      </c>
      <c r="L744" s="183">
        <v>13203</v>
      </c>
      <c r="M744" s="181">
        <v>2038</v>
      </c>
      <c r="N744" s="267">
        <f>+L745/M745</f>
        <v>7.814875111648855</v>
      </c>
      <c r="O744" s="303"/>
    </row>
    <row r="745" spans="1:15" ht="15">
      <c r="A745" s="39">
        <v>742</v>
      </c>
      <c r="B745" s="265" t="s">
        <v>125</v>
      </c>
      <c r="C745" s="31">
        <v>39731</v>
      </c>
      <c r="D745" s="47" t="s">
        <v>154</v>
      </c>
      <c r="E745" s="54">
        <v>131</v>
      </c>
      <c r="F745" s="54">
        <v>1</v>
      </c>
      <c r="G745" s="54">
        <v>15</v>
      </c>
      <c r="H745" s="163">
        <v>80</v>
      </c>
      <c r="I745" s="164">
        <v>20</v>
      </c>
      <c r="J745" s="181">
        <f>I745/F745</f>
        <v>20</v>
      </c>
      <c r="K745" s="182">
        <f>+H745/I745</f>
        <v>4</v>
      </c>
      <c r="L745" s="183">
        <v>1233664</v>
      </c>
      <c r="M745" s="181">
        <v>157861</v>
      </c>
      <c r="N745" s="270">
        <f>+L745/M745</f>
        <v>7.814875111648855</v>
      </c>
      <c r="O745" s="303">
        <v>1</v>
      </c>
    </row>
    <row r="746" spans="1:15" ht="15">
      <c r="A746" s="39">
        <v>743</v>
      </c>
      <c r="B746" s="265" t="s">
        <v>125</v>
      </c>
      <c r="C746" s="31">
        <v>39731</v>
      </c>
      <c r="D746" s="47" t="s">
        <v>154</v>
      </c>
      <c r="E746" s="54">
        <v>131</v>
      </c>
      <c r="F746" s="54">
        <v>1</v>
      </c>
      <c r="G746" s="54">
        <v>16</v>
      </c>
      <c r="H746" s="163">
        <v>64</v>
      </c>
      <c r="I746" s="164">
        <v>16</v>
      </c>
      <c r="J746" s="181">
        <f>IF(H746&lt;&gt;0,I746/F746,"")</f>
        <v>16</v>
      </c>
      <c r="K746" s="182">
        <f>IF(H746&lt;&gt;0,H746/I746,"")</f>
        <v>4</v>
      </c>
      <c r="L746" s="183">
        <v>1233728</v>
      </c>
      <c r="M746" s="181">
        <v>157877</v>
      </c>
      <c r="N746" s="270">
        <f>IF(L746&lt;&gt;0,L746/M746,"")</f>
        <v>7.814488494207516</v>
      </c>
      <c r="O746" s="303">
        <v>1</v>
      </c>
    </row>
    <row r="747" spans="1:15" ht="15">
      <c r="A747" s="39">
        <v>744</v>
      </c>
      <c r="B747" s="275" t="s">
        <v>76</v>
      </c>
      <c r="C747" s="46">
        <v>39717</v>
      </c>
      <c r="D747" s="35" t="s">
        <v>240</v>
      </c>
      <c r="E747" s="54">
        <v>130</v>
      </c>
      <c r="F747" s="54">
        <v>1</v>
      </c>
      <c r="G747" s="54">
        <v>77</v>
      </c>
      <c r="H747" s="163">
        <v>5600</v>
      </c>
      <c r="I747" s="164">
        <v>1400</v>
      </c>
      <c r="J747" s="181">
        <f>I747/F747</f>
        <v>1400</v>
      </c>
      <c r="K747" s="182">
        <f>H747/I747</f>
        <v>4</v>
      </c>
      <c r="L747" s="183">
        <v>1488597</v>
      </c>
      <c r="M747" s="181">
        <v>174447</v>
      </c>
      <c r="N747" s="267">
        <f>+L748/M748</f>
        <v>8.571935349899633</v>
      </c>
      <c r="O747" s="303"/>
    </row>
    <row r="748" spans="1:15" ht="15">
      <c r="A748" s="39">
        <v>745</v>
      </c>
      <c r="B748" s="268" t="s">
        <v>76</v>
      </c>
      <c r="C748" s="46">
        <v>39717</v>
      </c>
      <c r="D748" s="35" t="s">
        <v>240</v>
      </c>
      <c r="E748" s="54">
        <v>130</v>
      </c>
      <c r="F748" s="54">
        <v>1</v>
      </c>
      <c r="G748" s="54">
        <v>76</v>
      </c>
      <c r="H748" s="163">
        <v>4480</v>
      </c>
      <c r="I748" s="164">
        <v>1120</v>
      </c>
      <c r="J748" s="181">
        <f>I748/F748</f>
        <v>1120</v>
      </c>
      <c r="K748" s="182">
        <f>H748/I748</f>
        <v>4</v>
      </c>
      <c r="L748" s="183">
        <v>1486065</v>
      </c>
      <c r="M748" s="181">
        <v>173364</v>
      </c>
      <c r="N748" s="267">
        <f>+L749/M749</f>
        <v>6.51605334650531</v>
      </c>
      <c r="O748" s="321"/>
    </row>
    <row r="749" spans="1:15" ht="15">
      <c r="A749" s="39">
        <v>746</v>
      </c>
      <c r="B749" s="265" t="s">
        <v>303</v>
      </c>
      <c r="C749" s="26">
        <v>39850</v>
      </c>
      <c r="D749" s="27" t="s">
        <v>242</v>
      </c>
      <c r="E749" s="230">
        <v>2</v>
      </c>
      <c r="F749" s="230">
        <v>1</v>
      </c>
      <c r="G749" s="230">
        <v>15</v>
      </c>
      <c r="H749" s="149">
        <v>1780</v>
      </c>
      <c r="I749" s="151">
        <v>445</v>
      </c>
      <c r="J749" s="153">
        <f>(I749/F749)</f>
        <v>445</v>
      </c>
      <c r="K749" s="155">
        <f>H749/I749</f>
        <v>4</v>
      </c>
      <c r="L749" s="157">
        <f>8077.5+3261+2251+2481+682+679+634+482+544+2140+204+1664+1377+127+1780</f>
        <v>26383.5</v>
      </c>
      <c r="M749" s="158">
        <f>773+379+260+266+71+198+101+110+127+535+34+416+320+14+445</f>
        <v>4049</v>
      </c>
      <c r="N749" s="266">
        <f>L749/M749</f>
        <v>6.51605334650531</v>
      </c>
      <c r="O749" s="304"/>
    </row>
    <row r="750" spans="1:15" ht="15">
      <c r="A750" s="39">
        <v>747</v>
      </c>
      <c r="B750" s="273" t="s">
        <v>16</v>
      </c>
      <c r="C750" s="26">
        <v>40060</v>
      </c>
      <c r="D750" s="37" t="s">
        <v>105</v>
      </c>
      <c r="E750" s="58">
        <v>60</v>
      </c>
      <c r="F750" s="58">
        <v>1</v>
      </c>
      <c r="G750" s="58">
        <v>9</v>
      </c>
      <c r="H750" s="174">
        <v>722</v>
      </c>
      <c r="I750" s="175">
        <v>98</v>
      </c>
      <c r="J750" s="184">
        <f>+I750/F750</f>
        <v>98</v>
      </c>
      <c r="K750" s="185">
        <f>+H750/I750</f>
        <v>7.36734693877551</v>
      </c>
      <c r="L750" s="201">
        <v>31093</v>
      </c>
      <c r="M750" s="202">
        <v>4346</v>
      </c>
      <c r="N750" s="267">
        <f>+L751/M751</f>
        <v>10.148068669527897</v>
      </c>
      <c r="O750" s="303">
        <v>1</v>
      </c>
    </row>
    <row r="751" spans="1:15" ht="15">
      <c r="A751" s="39">
        <v>748</v>
      </c>
      <c r="B751" s="265" t="s">
        <v>60</v>
      </c>
      <c r="C751" s="26">
        <v>40172</v>
      </c>
      <c r="D751" s="27" t="s">
        <v>241</v>
      </c>
      <c r="E751" s="55">
        <v>40</v>
      </c>
      <c r="F751" s="55">
        <v>34</v>
      </c>
      <c r="G751" s="55">
        <v>2</v>
      </c>
      <c r="H751" s="159">
        <v>15275</v>
      </c>
      <c r="I751" s="160">
        <v>1524</v>
      </c>
      <c r="J751" s="177">
        <f>I751/F751</f>
        <v>44.8235294117647</v>
      </c>
      <c r="K751" s="155">
        <f>H751/I751</f>
        <v>10.022965879265092</v>
      </c>
      <c r="L751" s="178">
        <f>74576+15275</f>
        <v>89851</v>
      </c>
      <c r="M751" s="179">
        <f>7330+1524</f>
        <v>8854</v>
      </c>
      <c r="N751" s="267">
        <f>+L752/M752</f>
        <v>9.646523907304195</v>
      </c>
      <c r="O751" s="303"/>
    </row>
    <row r="752" spans="1:15" ht="15">
      <c r="A752" s="39">
        <v>749</v>
      </c>
      <c r="B752" s="265" t="s">
        <v>60</v>
      </c>
      <c r="C752" s="26">
        <v>40172</v>
      </c>
      <c r="D752" s="27" t="s">
        <v>241</v>
      </c>
      <c r="E752" s="55">
        <v>40</v>
      </c>
      <c r="F752" s="55">
        <v>8</v>
      </c>
      <c r="G752" s="55">
        <v>4</v>
      </c>
      <c r="H752" s="159">
        <v>5335</v>
      </c>
      <c r="I752" s="151">
        <v>870</v>
      </c>
      <c r="J752" s="153">
        <f>I752/F752</f>
        <v>108.75</v>
      </c>
      <c r="K752" s="155">
        <f>H752/I752</f>
        <v>6.132183908045977</v>
      </c>
      <c r="L752" s="178">
        <f>74576+15275+3431+38+5335</f>
        <v>98655</v>
      </c>
      <c r="M752" s="158">
        <f>7330+1524+499+4+870</f>
        <v>10227</v>
      </c>
      <c r="N752" s="267">
        <f>+L753/M753</f>
        <v>9.973282034840226</v>
      </c>
      <c r="O752" s="303"/>
    </row>
    <row r="753" spans="1:15" ht="15">
      <c r="A753" s="39">
        <v>750</v>
      </c>
      <c r="B753" s="265" t="s">
        <v>60</v>
      </c>
      <c r="C753" s="26">
        <v>40172</v>
      </c>
      <c r="D753" s="27" t="s">
        <v>241</v>
      </c>
      <c r="E753" s="55">
        <v>40</v>
      </c>
      <c r="F753" s="55">
        <v>10</v>
      </c>
      <c r="G753" s="55">
        <v>3</v>
      </c>
      <c r="H753" s="159">
        <f>3431+38</f>
        <v>3469</v>
      </c>
      <c r="I753" s="160">
        <f>499+4</f>
        <v>503</v>
      </c>
      <c r="J753" s="177">
        <f>I753/F753</f>
        <v>50.3</v>
      </c>
      <c r="K753" s="180">
        <f>H753/I753</f>
        <v>6.89662027833002</v>
      </c>
      <c r="L753" s="178">
        <f>74576+15275+3431+38</f>
        <v>93320</v>
      </c>
      <c r="M753" s="179">
        <f>7330+1524+499+4</f>
        <v>9357</v>
      </c>
      <c r="N753" s="267">
        <f>+L754/M754</f>
        <v>9.62346879253354</v>
      </c>
      <c r="O753" s="303"/>
    </row>
    <row r="754" spans="1:15" ht="15">
      <c r="A754" s="39">
        <v>751</v>
      </c>
      <c r="B754" s="265" t="s">
        <v>60</v>
      </c>
      <c r="C754" s="26">
        <v>40172</v>
      </c>
      <c r="D754" s="27" t="s">
        <v>241</v>
      </c>
      <c r="E754" s="55">
        <v>40</v>
      </c>
      <c r="F754" s="55">
        <v>1</v>
      </c>
      <c r="G754" s="55">
        <v>6</v>
      </c>
      <c r="H754" s="159">
        <v>292</v>
      </c>
      <c r="I754" s="160">
        <v>51</v>
      </c>
      <c r="J754" s="177">
        <f>I754/F754</f>
        <v>51</v>
      </c>
      <c r="K754" s="180">
        <f>H754/I754</f>
        <v>5.7254901960784315</v>
      </c>
      <c r="L754" s="178">
        <f>74576+15275+3431+38+5335+40+292</f>
        <v>98987</v>
      </c>
      <c r="M754" s="179">
        <f>7330+1524+499+4+870+8+51</f>
        <v>10286</v>
      </c>
      <c r="N754" s="267">
        <f>+L755/M755</f>
        <v>9.642892037127504</v>
      </c>
      <c r="O754" s="303"/>
    </row>
    <row r="755" spans="1:15" ht="15.75" thickBot="1">
      <c r="A755" s="39">
        <v>752</v>
      </c>
      <c r="B755" s="282" t="s">
        <v>60</v>
      </c>
      <c r="C755" s="283">
        <v>40172</v>
      </c>
      <c r="D755" s="284" t="s">
        <v>241</v>
      </c>
      <c r="E755" s="285">
        <v>40</v>
      </c>
      <c r="F755" s="285">
        <v>1</v>
      </c>
      <c r="G755" s="285">
        <v>5</v>
      </c>
      <c r="H755" s="286">
        <v>40</v>
      </c>
      <c r="I755" s="287">
        <v>8</v>
      </c>
      <c r="J755" s="288">
        <f>I755/F755</f>
        <v>8</v>
      </c>
      <c r="K755" s="289">
        <f>H755/I755</f>
        <v>5</v>
      </c>
      <c r="L755" s="290">
        <f>74576+15275+3431+38+5335+40</f>
        <v>98695</v>
      </c>
      <c r="M755" s="291">
        <f>7330+1524+499+4+870+8</f>
        <v>10235</v>
      </c>
      <c r="N755" s="298"/>
      <c r="O755" s="303"/>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275:Q294 J10:K44" formula="1"/>
    <ignoredError sqref="L4:N4 L45:N45 L5:N9 H4:I4" unlockedFormula="1"/>
    <ignoredError sqref="L10:N44"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2010-09-07T19:57:45Z</dcterms:modified>
  <cp:category/>
  <cp:version/>
  <cp:contentType/>
  <cp:contentStatus/>
</cp:coreProperties>
</file>