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4650" windowWidth="17565" windowHeight="5535" tabRatio="500" activeTab="0"/>
  </bookViews>
  <sheets>
    <sheet name="30 Apr-06 May' 10 (WK 18)" sheetId="1" r:id="rId1"/>
    <sheet name="01 Jan'-06 May'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Jan'-06 May' 10 (Annual)'!#REF!</definedName>
    <definedName name="_xlnm.Print_Area" localSheetId="0">'30 Apr-06 May'' 10 (WK 18)'!$A$1:$N$127</definedName>
  </definedNames>
  <calcPr fullCalcOnLoad="1"/>
</workbook>
</file>

<file path=xl/sharedStrings.xml><?xml version="1.0" encoding="utf-8"?>
<sst xmlns="http://schemas.openxmlformats.org/spreadsheetml/2006/main" count="1528" uniqueCount="290">
  <si>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</si>
  <si>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</si>
  <si>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</si>
  <si>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</si>
  <si>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</si>
  <si>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</si>
  <si>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</si>
  <si>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</si>
  <si>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</si>
  <si>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</si>
  <si>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</si>
  <si>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</si>
  <si>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</si>
  <si>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</si>
  <si>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</si>
  <si>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</si>
  <si>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</si>
  <si>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</si>
  <si>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</si>
  <si>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</si>
  <si>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</si>
  <si>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</si>
  <si>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</si>
  <si>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</si>
  <si>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</si>
  <si>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</si>
  <si>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</si>
  <si>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</si>
  <si>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</si>
  <si>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</si>
  <si>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</si>
  <si>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</si>
  <si>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</si>
  <si>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</si>
  <si>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</si>
  <si>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</si>
  <si>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</si>
  <si>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</si>
  <si>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</si>
  <si>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</si>
  <si>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</si>
  <si>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</si>
  <si>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</si>
  <si>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</si>
  <si>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</si>
  <si>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</si>
  <si>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</si>
  <si>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</si>
  <si>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</si>
  <si>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</si>
  <si>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</si>
  <si>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</si>
  <si>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</si>
  <si>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</si>
  <si>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</si>
  <si>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</si>
  <si>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</si>
  <si>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</si>
  <si>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</si>
  <si>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</si>
  <si>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</si>
  <si>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</si>
  <si>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</si>
  <si>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</si>
  <si>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</si>
  <si>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</si>
  <si>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</si>
  <si>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</si>
  <si>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</si>
  <si>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</si>
  <si>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</si>
  <si>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PERCY JACKSON &amp; THE OLYMPIANS: THE LIGHTNING THIEF</t>
  </si>
  <si>
    <t>ARTHUR AND THE REVENGE OF MALTAZARD</t>
  </si>
  <si>
    <t>EDUCATION, AN</t>
  </si>
  <si>
    <t>BOOK OF ELI, THE</t>
  </si>
  <si>
    <t xml:space="preserve">BAKJWI </t>
  </si>
  <si>
    <t>NIKO - LENTAJAN POIKA</t>
  </si>
  <si>
    <t>LOS ABRAZOS ROTOS</t>
  </si>
  <si>
    <t>INVICTUS</t>
  </si>
  <si>
    <r>
      <t xml:space="preserve">EYYVAH EYVAH </t>
    </r>
    <r>
      <rPr>
        <sz val="10"/>
        <color indexed="10"/>
        <rFont val="Arial Black"/>
        <family val="2"/>
      </rPr>
      <t>(LOCAL)</t>
    </r>
  </si>
  <si>
    <r>
      <t xml:space="preserve">VEDA </t>
    </r>
    <r>
      <rPr>
        <sz val="10"/>
        <color indexed="10"/>
        <rFont val="Arial Black"/>
        <family val="2"/>
      </rPr>
      <t xml:space="preserve">(LOCAL) </t>
    </r>
  </si>
  <si>
    <t xml:space="preserve">NINE </t>
  </si>
  <si>
    <t>WALL-E</t>
  </si>
  <si>
    <t>LOVELY BONES, THE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</si>
  <si>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</si>
  <si>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</si>
  <si>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</si>
  <si>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</si>
  <si>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</si>
  <si>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</si>
  <si>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</si>
  <si>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</si>
  <si>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</si>
  <si>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</si>
  <si>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</si>
  <si>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</si>
  <si>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</si>
  <si>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</si>
  <si>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</si>
  <si>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</si>
  <si>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</si>
  <si>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</si>
  <si>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</si>
  <si>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</si>
  <si>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</si>
  <si>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</si>
  <si>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</si>
  <si>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</si>
  <si>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</si>
  <si>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</si>
  <si>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</si>
  <si>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</si>
  <si>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</si>
  <si>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</si>
  <si>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</si>
  <si>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</si>
  <si>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</si>
  <si>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</si>
  <si>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</si>
  <si>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</si>
  <si>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</si>
  <si>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</si>
  <si>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</si>
  <si>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</si>
  <si>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</si>
  <si>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</si>
  <si>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</si>
  <si>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</si>
  <si>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</si>
  <si>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</si>
  <si>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</si>
  <si>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</si>
  <si>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</si>
  <si>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</si>
  <si>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</si>
  <si>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</si>
  <si>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</si>
  <si>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</si>
  <si>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</si>
  <si>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</si>
  <si>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</si>
  <si>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</si>
  <si>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</si>
  <si>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</si>
  <si>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</si>
  <si>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</si>
  <si>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</si>
  <si>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</si>
  <si>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</si>
  <si>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</si>
  <si>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</si>
  <si>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</si>
  <si>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</si>
  <si>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</si>
  <si>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</si>
  <si>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</si>
  <si>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</si>
  <si>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</si>
  <si>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</si>
  <si>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</si>
  <si>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</si>
  <si>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</si>
  <si>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</si>
  <si>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</si>
  <si>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</si>
  <si>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</si>
  <si>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</si>
  <si>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</si>
  <si>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CHANTIER F.</t>
  </si>
  <si>
    <t>9</t>
  </si>
  <si>
    <t>IMPY'S WONDERLAND</t>
  </si>
  <si>
    <t>NORTH</t>
  </si>
  <si>
    <t>HUNGER</t>
  </si>
  <si>
    <r>
      <t xml:space="preserve">EJDER KAPANI </t>
    </r>
    <r>
      <rPr>
        <sz val="10"/>
        <color indexed="10"/>
        <rFont val="Arial Black"/>
        <family val="2"/>
      </rPr>
      <t>(LOCAL)</t>
    </r>
  </si>
  <si>
    <r>
      <t xml:space="preserve">ADA: ZOMBİLERİN DÜĞÜNÜ </t>
    </r>
    <r>
      <rPr>
        <sz val="10"/>
        <color indexed="10"/>
        <rFont val="Arial Black"/>
        <family val="2"/>
      </rPr>
      <t>(LOCAL)</t>
    </r>
  </si>
  <si>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</si>
  <si>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</si>
  <si>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</si>
  <si>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</si>
  <si>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</si>
  <si>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</si>
  <si>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</si>
  <si>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</si>
  <si>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RECEP İVEDİK 3 </t>
    </r>
    <r>
      <rPr>
        <b/>
        <sz val="10"/>
        <color indexed="10"/>
        <rFont val="Arial Black"/>
        <family val="2"/>
      </rPr>
      <t>(LOCAL)</t>
    </r>
    <r>
      <rPr>
        <b/>
        <sz val="10"/>
        <color indexed="12"/>
        <rFont val="Arial Black"/>
        <family val="2"/>
      </rPr>
      <t xml:space="preserve"> </t>
    </r>
  </si>
  <si>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</si>
  <si>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</si>
  <si>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</si>
  <si>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</si>
  <si>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AVSAR FILM</t>
  </si>
  <si>
    <r>
      <t xml:space="preserve">ROMANTİK KOMEDİ </t>
    </r>
    <r>
      <rPr>
        <b/>
        <sz val="10"/>
        <color indexed="10"/>
        <rFont val="Arial Black"/>
        <family val="2"/>
      </rPr>
      <t>(LOCAL)</t>
    </r>
  </si>
  <si>
    <t>WOLFMAN, THE</t>
  </si>
  <si>
    <r>
      <t>YAHŞİ BATI</t>
    </r>
    <r>
      <rPr>
        <sz val="10"/>
        <color indexed="10"/>
        <rFont val="Arial Black"/>
        <family val="2"/>
      </rPr>
      <t xml:space="preserve"> (LOCAL)</t>
    </r>
  </si>
  <si>
    <t>SPY NEXT DOOR, THE</t>
  </si>
  <si>
    <r>
      <t xml:space="preserve">KAPTAN FEZA </t>
    </r>
    <r>
      <rPr>
        <sz val="10"/>
        <color indexed="10"/>
        <rFont val="Arial Black"/>
        <family val="2"/>
      </rPr>
      <t>(LOCAL)</t>
    </r>
  </si>
  <si>
    <t xml:space="preserve">HALLOWEEN II </t>
  </si>
  <si>
    <t>EL SECRETO DE SUS OJOS</t>
  </si>
  <si>
    <r>
      <t>DELİ DUMRUL KURTLAR KUŞLAR ALEMİNDE</t>
    </r>
    <r>
      <rPr>
        <sz val="10"/>
        <color indexed="10"/>
        <rFont val="Arial Black"/>
        <family val="2"/>
      </rPr>
      <t xml:space="preserve"> (LOCAL)</t>
    </r>
  </si>
  <si>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</si>
  <si>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</si>
  <si>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</si>
  <si>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</si>
  <si>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KUTSAL DAMACANA 2: İTMEN </t>
    </r>
    <r>
      <rPr>
        <b/>
        <sz val="10"/>
        <color indexed="10"/>
        <rFont val="Arial Black"/>
        <family val="2"/>
      </rPr>
      <t>(LOCAL)</t>
    </r>
  </si>
  <si>
    <r>
      <t xml:space="preserve">SİYAH BEYAZ </t>
    </r>
    <r>
      <rPr>
        <sz val="10"/>
        <color indexed="10"/>
        <rFont val="Arial Black"/>
        <family val="2"/>
      </rPr>
      <t>(LOCAL)</t>
    </r>
  </si>
  <si>
    <r>
      <t xml:space="preserve">HAYAT VAR </t>
    </r>
    <r>
      <rPr>
        <sz val="10"/>
        <color indexed="10"/>
        <rFont val="Arial Black"/>
        <family val="2"/>
      </rPr>
      <t>(LOCAL)</t>
    </r>
  </si>
  <si>
    <t>PRINCES AND THE FROG, THE</t>
  </si>
  <si>
    <t>LE PETIT NICHOLAS</t>
  </si>
  <si>
    <t>NORDWAND</t>
  </si>
  <si>
    <t>LAT DEN RATTE KOMME IN</t>
  </si>
  <si>
    <t>DEUSYNLIGE (TROUBLED WATER)</t>
  </si>
  <si>
    <t>UP IN THE AIR</t>
  </si>
  <si>
    <t>DID YOU HEAR ABOUT THE MORGANS?</t>
  </si>
  <si>
    <t>NINJA ASSASSIN</t>
  </si>
  <si>
    <t>WHATEVER WORKS</t>
  </si>
  <si>
    <t>CHERI</t>
  </si>
  <si>
    <t>AMELIA</t>
  </si>
  <si>
    <r>
      <t xml:space="preserve">EŞREFPAŞALILAR  </t>
    </r>
    <r>
      <rPr>
        <sz val="10"/>
        <color indexed="10"/>
        <rFont val="Arial Black"/>
        <family val="2"/>
      </rPr>
      <t>(LOCAL)</t>
    </r>
  </si>
  <si>
    <t>DAYBREAKERS</t>
  </si>
  <si>
    <r>
      <t xml:space="preserve">SES </t>
    </r>
    <r>
      <rPr>
        <sz val="10"/>
        <color indexed="10"/>
        <rFont val="Arial Black"/>
        <family val="2"/>
      </rPr>
      <t>(LOCAL)</t>
    </r>
  </si>
  <si>
    <t>ALICE IN WONDERLAND</t>
  </si>
  <si>
    <t>SHUTTER ISLAND</t>
  </si>
  <si>
    <r>
      <t xml:space="preserve">AY LAV YU </t>
    </r>
    <r>
      <rPr>
        <sz val="10"/>
        <color indexed="10"/>
        <rFont val="Arial Black"/>
        <family val="2"/>
      </rPr>
      <t>(LOCAL)</t>
    </r>
  </si>
  <si>
    <r>
      <t xml:space="preserve">YÜREĞİNE SOR </t>
    </r>
    <r>
      <rPr>
        <sz val="10"/>
        <color indexed="10"/>
        <rFont val="Arial Black"/>
        <family val="2"/>
      </rPr>
      <t>(LOCAL)</t>
    </r>
  </si>
  <si>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</si>
  <si>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</si>
  <si>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</si>
  <si>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</si>
  <si>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</si>
  <si>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</si>
  <si>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</si>
  <si>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r>
      <t xml:space="preserve">BÜŞRA </t>
    </r>
    <r>
      <rPr>
        <sz val="10"/>
        <color indexed="10"/>
        <rFont val="Arial Black"/>
        <family val="2"/>
      </rPr>
      <t>(LOCAL)</t>
    </r>
  </si>
  <si>
    <r>
      <t xml:space="preserve">DERSİMİZ: ATATÜRK </t>
    </r>
    <r>
      <rPr>
        <sz val="10"/>
        <color indexed="10"/>
        <rFont val="Arial Black"/>
        <family val="2"/>
      </rPr>
      <t>(LOCAL)</t>
    </r>
  </si>
  <si>
    <t>MAN WHO STARE AT GOATS, THE</t>
  </si>
  <si>
    <t>MOON</t>
  </si>
  <si>
    <t>MINE VAGANTI</t>
  </si>
  <si>
    <t>LEAP YEAR</t>
  </si>
  <si>
    <r>
      <t xml:space="preserve">ÇOK FİLİM HAREKETLER BUNLAR </t>
    </r>
    <r>
      <rPr>
        <sz val="10"/>
        <color indexed="10"/>
        <rFont val="Arial Black"/>
        <family val="2"/>
      </rPr>
      <t>(LOCAL)</t>
    </r>
  </si>
  <si>
    <t>AWAY WE GO</t>
  </si>
  <si>
    <r>
      <t xml:space="preserve">ANADOLU'NUN KAYIP ŞARKILARI </t>
    </r>
    <r>
      <rPr>
        <sz val="10"/>
        <color indexed="10"/>
        <rFont val="Arial Black"/>
        <family val="2"/>
      </rPr>
      <t>(LOCAL)</t>
    </r>
  </si>
  <si>
    <t xml:space="preserve">BOX, THE </t>
  </si>
  <si>
    <t>NAR FILM</t>
  </si>
  <si>
    <t>BLUE ELEPHANT, THE</t>
  </si>
  <si>
    <t>IMAGINARIUM OF DOCTOR PARNASSUS, THE</t>
  </si>
  <si>
    <t xml:space="preserve">CLASH OF THE TITANS </t>
  </si>
  <si>
    <t>REBOUND, THE</t>
  </si>
  <si>
    <t>15</t>
  </si>
  <si>
    <t>EASTERN PLAYS</t>
  </si>
  <si>
    <r>
      <t xml:space="preserve">BEŞ ŞEHİR </t>
    </r>
    <r>
      <rPr>
        <sz val="10"/>
        <color indexed="10"/>
        <rFont val="Arial Black"/>
        <family val="2"/>
      </rPr>
      <t>(LOCAL)</t>
    </r>
  </si>
  <si>
    <t>DESCENT: PART 2, THE</t>
  </si>
  <si>
    <t>OLD DOGS</t>
  </si>
  <si>
    <t>ASTRO BOY</t>
  </si>
  <si>
    <r>
      <t xml:space="preserve">EN MUTLU OLDUĞUM YER </t>
    </r>
    <r>
      <rPr>
        <sz val="10"/>
        <color indexed="10"/>
        <rFont val="Arial Black"/>
        <family val="2"/>
      </rPr>
      <t>(LOCAL)</t>
    </r>
  </si>
  <si>
    <r>
      <t xml:space="preserve">BAL </t>
    </r>
    <r>
      <rPr>
        <sz val="10"/>
        <color indexed="10"/>
        <rFont val="Arial Black"/>
        <family val="2"/>
      </rPr>
      <t>(LOCAL)</t>
    </r>
  </si>
  <si>
    <r>
      <t>RİNA</t>
    </r>
    <r>
      <rPr>
        <sz val="10"/>
        <color indexed="10"/>
        <rFont val="Arial Black"/>
        <family val="2"/>
      </rPr>
      <t xml:space="preserve"> (LOCAL)</t>
    </r>
  </si>
  <si>
    <r>
      <t xml:space="preserve">HERKES Mİ ALDATIR? </t>
    </r>
    <r>
      <rPr>
        <sz val="10"/>
        <color indexed="10"/>
        <rFont val="Arial Black"/>
        <family val="2"/>
      </rPr>
      <t>(LOCAL)</t>
    </r>
  </si>
  <si>
    <r>
      <t xml:space="preserve">SON İSTASYON </t>
    </r>
    <r>
      <rPr>
        <sz val="10"/>
        <color indexed="10"/>
        <rFont val="Arial Black"/>
        <family val="2"/>
      </rPr>
      <t>(LOCAL)</t>
    </r>
  </si>
  <si>
    <t>CATCHER: CAT CITY 2</t>
  </si>
  <si>
    <t>DONKEY XOTE</t>
  </si>
  <si>
    <r>
      <t xml:space="preserve">SONBAHAR </t>
    </r>
    <r>
      <rPr>
        <sz val="10"/>
        <color indexed="10"/>
        <rFont val="Arial Black"/>
        <family val="2"/>
      </rPr>
      <t>(LOCAL)</t>
    </r>
  </si>
  <si>
    <t>E'ELLERMANI: STORY OF LEO AND LEVA, THE</t>
  </si>
  <si>
    <t>KÖPRÜDEKİLER</t>
  </si>
  <si>
    <t>TMNT</t>
  </si>
  <si>
    <t xml:space="preserve">MIN DIT: THE CHILDREN OF DİYARBAKİR </t>
  </si>
  <si>
    <t xml:space="preserve">EVERYBODY'S FINE </t>
  </si>
  <si>
    <t>[REC] 2</t>
  </si>
  <si>
    <t>CRAZIES, THE</t>
  </si>
  <si>
    <t>SINGLE MAN, A</t>
  </si>
  <si>
    <r>
      <t xml:space="preserve">KOSMOS </t>
    </r>
    <r>
      <rPr>
        <sz val="10"/>
        <color indexed="10"/>
        <rFont val="Arial Black"/>
        <family val="2"/>
      </rPr>
      <t>(LOCAL)</t>
    </r>
  </si>
  <si>
    <r>
      <t xml:space="preserve">DENİZDEN GELEN </t>
    </r>
    <r>
      <rPr>
        <sz val="10"/>
        <color indexed="10"/>
        <rFont val="Arial Black"/>
        <family val="2"/>
      </rPr>
      <t>(LOCAL)</t>
    </r>
  </si>
  <si>
    <t>YOUNG VICTORIA, THE</t>
  </si>
  <si>
    <t>HOW TO TRAIN YOUR DRAGON</t>
  </si>
  <si>
    <r>
      <t xml:space="preserve">LEGION </t>
    </r>
    <r>
      <rPr>
        <sz val="10"/>
        <color indexed="12"/>
        <rFont val="Arial Black"/>
        <family val="2"/>
      </rPr>
      <t>(NEW)</t>
    </r>
  </si>
  <si>
    <r>
      <t xml:space="preserve">REMEMBER ME </t>
    </r>
    <r>
      <rPr>
        <sz val="10"/>
        <color indexed="12"/>
        <rFont val="Arial Black"/>
        <family val="2"/>
      </rPr>
      <t>(NEW)</t>
    </r>
  </si>
  <si>
    <r>
      <t xml:space="preserve">GREEN ZONE </t>
    </r>
    <r>
      <rPr>
        <sz val="10"/>
        <color indexed="12"/>
        <rFont val="Arial Black"/>
        <family val="2"/>
      </rPr>
      <t>(NEW)</t>
    </r>
  </si>
  <si>
    <t>BOUNTY HUNTER, THE</t>
  </si>
  <si>
    <r>
      <t xml:space="preserve">WHEN IN ROME </t>
    </r>
    <r>
      <rPr>
        <sz val="10"/>
        <color indexed="12"/>
        <rFont val="Arial Black"/>
        <family val="2"/>
      </rPr>
      <t>(NEW)</t>
    </r>
  </si>
  <si>
    <t>MIN DIT: CHILDREN OF DİYARBAKIR</t>
  </si>
  <si>
    <r>
      <t xml:space="preserve">BRIGHT STAR </t>
    </r>
    <r>
      <rPr>
        <sz val="10"/>
        <color indexed="12"/>
        <rFont val="Arial Black"/>
        <family val="2"/>
      </rPr>
      <t>(NEW)</t>
    </r>
  </si>
  <si>
    <r>
      <t xml:space="preserve">DAS WEISSE BAND </t>
    </r>
    <r>
      <rPr>
        <sz val="10"/>
        <color indexed="12"/>
        <rFont val="Arial Black"/>
        <family val="2"/>
      </rPr>
      <t>(NEW)</t>
    </r>
  </si>
  <si>
    <t>WEGA FILM</t>
  </si>
  <si>
    <r>
      <t xml:space="preserve">HAYATIN TUZU </t>
    </r>
    <r>
      <rPr>
        <sz val="10"/>
        <color indexed="10"/>
        <rFont val="Arial Black"/>
        <family val="2"/>
      </rPr>
      <t>(LOCAL)</t>
    </r>
  </si>
  <si>
    <r>
      <t>MEZUNİYET</t>
    </r>
    <r>
      <rPr>
        <sz val="10"/>
        <color indexed="10"/>
        <rFont val="Arial Black"/>
        <family val="2"/>
      </rPr>
      <t xml:space="preserve"> (LOCAL)</t>
    </r>
  </si>
  <si>
    <r>
      <t>GELECEKTEN BİR GÜN</t>
    </r>
    <r>
      <rPr>
        <sz val="10"/>
        <color indexed="10"/>
        <rFont val="Arial Black"/>
        <family val="2"/>
      </rPr>
      <t xml:space="preserve"> (LOCAL)</t>
    </r>
  </si>
  <si>
    <r>
      <t>2010 Türkiye Annual Box Office Report</t>
    </r>
    <r>
      <rPr>
        <b/>
        <sz val="26"/>
        <rFont val="Garamond"/>
        <family val="1"/>
      </rPr>
      <t xml:space="preserve">  </t>
    </r>
    <r>
      <rPr>
        <b/>
        <sz val="12"/>
        <rFont val="Garamond"/>
        <family val="1"/>
      </rPr>
      <t>01 January - 06 May 2010</t>
    </r>
  </si>
  <si>
    <r>
      <t>2010 Türkiye Ex Years Releases Annual Box Office Report</t>
    </r>
    <r>
      <rPr>
        <b/>
        <sz val="26"/>
        <rFont val="Garamond"/>
        <family val="1"/>
      </rPr>
      <t xml:space="preserve">  </t>
    </r>
    <r>
      <rPr>
        <b/>
        <sz val="16"/>
        <rFont val="Garamond"/>
        <family val="1"/>
      </rPr>
      <t>01 January - 06 May 2010</t>
    </r>
  </si>
  <si>
    <t>LEGION</t>
  </si>
  <si>
    <t>REMEMBER ME</t>
  </si>
  <si>
    <t xml:space="preserve">GREEN ZONE </t>
  </si>
  <si>
    <t xml:space="preserve">WHEN IN ROME </t>
  </si>
  <si>
    <t xml:space="preserve">BRIGHT STAR </t>
  </si>
  <si>
    <t>DAS WEISSE BAND</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</si>
</sst>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100">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b/>
      <sz val="10"/>
      <color indexed="12"/>
      <name val="Arial Black"/>
      <family val="2"/>
    </font>
    <font>
      <sz val="8"/>
      <color indexed="9"/>
      <name val="Trebuchet MS"/>
      <family val="2"/>
    </font>
    <font>
      <sz val="11"/>
      <color indexed="9"/>
      <name val="Calibri"/>
      <family val="2"/>
    </font>
    <font>
      <sz val="10"/>
      <color indexed="9"/>
      <name val="Arial Narrow"/>
      <family val="2"/>
    </font>
    <font>
      <sz val="9"/>
      <color indexed="9"/>
      <name val="Century Gothic"/>
      <family val="2"/>
    </font>
    <font>
      <sz val="12"/>
      <color indexed="9"/>
      <name val="Trebuchet MS"/>
      <family val="2"/>
    </font>
    <font>
      <sz val="10"/>
      <color indexed="9"/>
      <name val="Verdana"/>
      <family val="2"/>
    </font>
    <font>
      <sz val="11"/>
      <color indexed="9"/>
      <name val="Arial"/>
      <family val="2"/>
    </font>
    <font>
      <sz val="10"/>
      <color indexed="9"/>
      <name val="Impact"/>
      <family val="2"/>
    </font>
    <font>
      <sz val="14"/>
      <color indexed="9"/>
      <name val="Impact"/>
      <family val="2"/>
    </font>
    <font>
      <sz val="20"/>
      <color indexed="9"/>
      <name val="Impact"/>
      <family val="2"/>
    </font>
    <font>
      <sz val="14"/>
      <color indexed="9"/>
      <name val="Arial"/>
      <family val="2"/>
    </font>
    <font>
      <sz val="9"/>
      <name val="Century Gothic"/>
      <family val="2"/>
    </font>
    <font>
      <sz val="11"/>
      <color indexed="8"/>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40"/>
      <color indexed="8"/>
      <name val="Garamond"/>
      <family val="0"/>
    </font>
    <font>
      <sz val="26"/>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hair"/>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hair"/>
      <right style="hair"/>
      <top style="hair"/>
      <bottom style="medium"/>
    </border>
    <border>
      <left>
        <color indexed="63"/>
      </left>
      <right style="hair"/>
      <top style="hair"/>
      <bottom style="hair"/>
    </border>
    <border>
      <left style="thin"/>
      <right style="thin"/>
      <top style="thin"/>
      <bottom>
        <color indexed="63"/>
      </bottom>
    </border>
    <border>
      <left style="medium"/>
      <right style="hair"/>
      <top style="hair"/>
      <bottom style="hair"/>
    </border>
    <border>
      <left style="medium"/>
      <right style="hair"/>
      <top style="medium"/>
      <bottom style="hair"/>
    </border>
    <border>
      <left style="hair"/>
      <right style="hair"/>
      <top style="medium"/>
      <bottom style="hair"/>
    </border>
    <border>
      <left style="medium"/>
      <right>
        <color indexed="63"/>
      </right>
      <top style="hair"/>
      <bottom style="medium"/>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medium"/>
      <bottom style="hair"/>
    </border>
    <border>
      <left style="medium"/>
      <right style="hair"/>
      <top>
        <color indexed="63"/>
      </top>
      <bottom style="hair"/>
    </border>
    <border>
      <left style="medium"/>
      <right style="hair"/>
      <top style="hair"/>
      <bottom style="medium"/>
    </border>
    <border>
      <left style="thin"/>
      <right style="medium"/>
      <top style="thin"/>
      <bottom style="medium"/>
    </border>
    <border>
      <left style="medium"/>
      <right style="hair"/>
      <top style="medium"/>
      <bottom style="medium"/>
    </border>
    <border>
      <left style="medium"/>
      <right style="thin"/>
      <top style="thin"/>
      <bottom>
        <color indexed="63"/>
      </bottom>
    </border>
    <border>
      <left>
        <color indexed="63"/>
      </left>
      <right style="thin"/>
      <top style="thin"/>
      <bottom>
        <color indexed="63"/>
      </bottom>
    </border>
    <border>
      <left style="hair"/>
      <right style="hair"/>
      <top style="medium"/>
      <bottom>
        <color indexed="63"/>
      </bottom>
    </border>
    <border>
      <left style="hair"/>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171" fontId="0" fillId="0" borderId="0" applyFont="0" applyFill="0" applyBorder="0" applyAlignment="0" applyProtection="0"/>
    <xf numFmtId="0" fontId="86" fillId="27" borderId="1" applyNumberFormat="0" applyAlignment="0" applyProtection="0"/>
    <xf numFmtId="0" fontId="8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454">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4" fillId="33" borderId="10" xfId="0" applyNumberFormat="1" applyFont="1" applyFill="1" applyBorder="1" applyAlignment="1">
      <alignment horizontal="right" vertical="center"/>
    </xf>
    <xf numFmtId="193" fontId="24" fillId="33" borderId="10" xfId="0" applyNumberFormat="1" applyFont="1" applyFill="1" applyBorder="1" applyAlignment="1">
      <alignment horizontal="right" vertical="center"/>
    </xf>
    <xf numFmtId="0" fontId="16" fillId="0" borderId="0" xfId="0" applyFont="1" applyFill="1" applyBorder="1" applyAlignment="1" applyProtection="1">
      <alignment horizontal="center" vertical="center" wrapText="1"/>
      <protection locked="0"/>
    </xf>
    <xf numFmtId="0" fontId="18" fillId="0" borderId="0" xfId="0" applyFont="1" applyAlignment="1">
      <alignment/>
    </xf>
    <xf numFmtId="0" fontId="29" fillId="0" borderId="0" xfId="0" applyFont="1" applyAlignment="1">
      <alignment/>
    </xf>
    <xf numFmtId="0" fontId="32" fillId="0" borderId="0" xfId="0" applyFont="1" applyFill="1" applyBorder="1" applyAlignment="1" applyProtection="1">
      <alignment horizontal="center" vertical="center" wrapText="1"/>
      <protection locked="0"/>
    </xf>
    <xf numFmtId="193" fontId="35" fillId="33" borderId="10" xfId="0" applyNumberFormat="1" applyFont="1" applyFill="1" applyBorder="1" applyAlignment="1">
      <alignment horizontal="right" vertical="center"/>
    </xf>
    <xf numFmtId="192" fontId="36" fillId="33" borderId="10" xfId="0" applyNumberFormat="1" applyFont="1" applyFill="1" applyBorder="1" applyAlignment="1">
      <alignment horizontal="right" vertical="center"/>
    </xf>
    <xf numFmtId="200" fontId="36" fillId="33" borderId="10" xfId="0" applyNumberFormat="1" applyFont="1" applyFill="1" applyBorder="1" applyAlignment="1">
      <alignment horizontal="right" vertical="center"/>
    </xf>
    <xf numFmtId="193" fontId="36" fillId="33" borderId="10" xfId="0" applyNumberFormat="1" applyFont="1" applyFill="1" applyBorder="1" applyAlignment="1">
      <alignment horizontal="right" vertical="center"/>
    </xf>
    <xf numFmtId="0" fontId="18" fillId="0" borderId="0" xfId="0" applyFont="1" applyAlignment="1">
      <alignment horizontal="center"/>
    </xf>
    <xf numFmtId="4" fontId="20" fillId="0" borderId="0" xfId="0" applyNumberFormat="1" applyFont="1" applyAlignment="1">
      <alignment horizontal="right"/>
    </xf>
    <xf numFmtId="3" fontId="20" fillId="0" borderId="0" xfId="0" applyNumberFormat="1" applyFont="1" applyAlignment="1">
      <alignment horizontal="right"/>
    </xf>
    <xf numFmtId="0" fontId="20" fillId="0" borderId="0" xfId="0" applyFont="1" applyAlignment="1">
      <alignment/>
    </xf>
    <xf numFmtId="3" fontId="34" fillId="0" borderId="0" xfId="0" applyNumberFormat="1" applyFont="1" applyAlignment="1">
      <alignment horizontal="right"/>
    </xf>
    <xf numFmtId="2" fontId="34" fillId="0" borderId="0" xfId="0" applyNumberFormat="1" applyFont="1" applyAlignment="1">
      <alignment/>
    </xf>
    <xf numFmtId="4" fontId="34" fillId="0" borderId="0" xfId="0" applyNumberFormat="1" applyFont="1" applyAlignment="1">
      <alignment horizontal="right"/>
    </xf>
    <xf numFmtId="0" fontId="36" fillId="0" borderId="0" xfId="0" applyFont="1" applyFill="1" applyBorder="1" applyAlignment="1">
      <alignment horizontal="right"/>
    </xf>
    <xf numFmtId="184" fontId="17" fillId="0" borderId="11" xfId="0" applyNumberFormat="1" applyFont="1" applyFill="1" applyBorder="1" applyAlignment="1" applyProtection="1">
      <alignment horizontal="center" vertical="center"/>
      <protection locked="0"/>
    </xf>
    <xf numFmtId="184" fontId="17" fillId="0" borderId="11" xfId="0" applyNumberFormat="1" applyFont="1" applyFill="1" applyBorder="1" applyAlignment="1" applyProtection="1">
      <alignment vertical="center"/>
      <protection locked="0"/>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3" fontId="34" fillId="0" borderId="11" xfId="40" applyNumberFormat="1" applyFont="1" applyFill="1" applyBorder="1" applyAlignment="1" applyProtection="1">
      <alignment horizontal="right" vertical="center"/>
      <protection/>
    </xf>
    <xf numFmtId="2" fontId="34" fillId="0" borderId="11" xfId="40" applyNumberFormat="1" applyFont="1" applyFill="1" applyBorder="1" applyAlignment="1" applyProtection="1">
      <alignment vertical="center"/>
      <protection/>
    </xf>
    <xf numFmtId="4" fontId="34" fillId="0" borderId="11" xfId="40" applyNumberFormat="1" applyFont="1" applyFill="1" applyBorder="1" applyAlignment="1" applyProtection="1">
      <alignment horizontal="right" vertical="center"/>
      <protection locked="0"/>
    </xf>
    <xf numFmtId="3" fontId="34" fillId="0" borderId="11" xfId="40" applyNumberFormat="1" applyFont="1" applyFill="1" applyBorder="1" applyAlignment="1" applyProtection="1">
      <alignment horizontal="right" vertical="center"/>
      <protection locked="0"/>
    </xf>
    <xf numFmtId="0" fontId="17" fillId="0" borderId="11" xfId="0" applyFont="1" applyFill="1" applyBorder="1" applyAlignment="1" applyProtection="1">
      <alignment horizontal="left" vertical="center"/>
      <protection locked="0"/>
    </xf>
    <xf numFmtId="2" fontId="34" fillId="0" borderId="11" xfId="40" applyNumberFormat="1" applyFont="1" applyFill="1" applyBorder="1" applyAlignment="1" applyProtection="1">
      <alignment horizontal="right" vertical="center"/>
      <protection/>
    </xf>
    <xf numFmtId="184" fontId="17" fillId="0" borderId="11" xfId="0" applyNumberFormat="1" applyFont="1" applyFill="1" applyBorder="1" applyAlignment="1" applyProtection="1">
      <alignment horizontal="left" vertical="center"/>
      <protection locked="0"/>
    </xf>
    <xf numFmtId="3" fontId="19" fillId="0" borderId="11" xfId="40" applyNumberFormat="1" applyFont="1" applyFill="1" applyBorder="1" applyAlignment="1" applyProtection="1">
      <alignment vertical="center"/>
      <protection locked="0"/>
    </xf>
    <xf numFmtId="3" fontId="34" fillId="0" borderId="11" xfId="40" applyNumberFormat="1" applyFont="1" applyFill="1" applyBorder="1" applyAlignment="1" applyProtection="1">
      <alignment vertical="center"/>
      <protection/>
    </xf>
    <xf numFmtId="3" fontId="34" fillId="0" borderId="11" xfId="40" applyNumberFormat="1"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4" fontId="19" fillId="0" borderId="11" xfId="40" applyNumberFormat="1" applyFont="1" applyFill="1" applyBorder="1" applyAlignment="1" applyProtection="1">
      <alignment vertical="center"/>
      <protection locked="0"/>
    </xf>
    <xf numFmtId="4" fontId="34" fillId="0" borderId="11" xfId="40" applyNumberFormat="1" applyFont="1" applyFill="1" applyBorder="1" applyAlignment="1" applyProtection="1">
      <alignment vertical="center"/>
      <protection locked="0"/>
    </xf>
    <xf numFmtId="184" fontId="17" fillId="0" borderId="11" xfId="0" applyNumberFormat="1" applyFont="1" applyFill="1" applyBorder="1" applyAlignment="1">
      <alignment horizontal="center" vertical="center"/>
    </xf>
    <xf numFmtId="0" fontId="17" fillId="0" borderId="11" xfId="0" applyFont="1" applyFill="1" applyBorder="1" applyAlignment="1">
      <alignment horizontal="left" vertical="center"/>
    </xf>
    <xf numFmtId="0" fontId="17" fillId="0" borderId="11" xfId="0" applyFont="1" applyFill="1" applyBorder="1" applyAlignment="1">
      <alignment vertical="center"/>
    </xf>
    <xf numFmtId="4" fontId="19"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2" fontId="34" fillId="0" borderId="11" xfId="0" applyNumberFormat="1" applyFont="1" applyFill="1" applyBorder="1" applyAlignment="1">
      <alignment vertical="center"/>
    </xf>
    <xf numFmtId="4" fontId="34" fillId="0" borderId="11" xfId="0" applyNumberFormat="1" applyFont="1" applyFill="1" applyBorder="1" applyAlignment="1">
      <alignment horizontal="right" vertical="center"/>
    </xf>
    <xf numFmtId="2" fontId="34" fillId="0" borderId="11" xfId="0" applyNumberFormat="1" applyFont="1" applyFill="1" applyBorder="1" applyAlignment="1">
      <alignment horizontal="right" vertical="center"/>
    </xf>
    <xf numFmtId="4"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vertical="center"/>
      <protection/>
    </xf>
    <xf numFmtId="3" fontId="34" fillId="0" borderId="11" xfId="61" applyNumberFormat="1" applyFont="1" applyFill="1" applyBorder="1" applyAlignment="1" applyProtection="1">
      <alignment vertical="center"/>
      <protection/>
    </xf>
    <xf numFmtId="2" fontId="34" fillId="0" borderId="11" xfId="61" applyNumberFormat="1" applyFont="1" applyFill="1" applyBorder="1" applyAlignment="1" applyProtection="1">
      <alignment vertical="center"/>
      <protection/>
    </xf>
    <xf numFmtId="4" fontId="34"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xf>
    <xf numFmtId="3" fontId="34" fillId="0" borderId="11" xfId="61" applyNumberFormat="1" applyFont="1" applyFill="1" applyBorder="1" applyAlignment="1" applyProtection="1">
      <alignment horizontal="right" vertical="center"/>
      <protection/>
    </xf>
    <xf numFmtId="2" fontId="34" fillId="0" borderId="11" xfId="61" applyNumberFormat="1" applyFont="1" applyFill="1" applyBorder="1" applyAlignment="1" applyProtection="1">
      <alignment horizontal="right" vertical="center"/>
      <protection/>
    </xf>
    <xf numFmtId="184" fontId="17" fillId="34" borderId="11" xfId="0" applyNumberFormat="1" applyFont="1" applyFill="1" applyBorder="1" applyAlignment="1">
      <alignment horizontal="center" vertical="center"/>
    </xf>
    <xf numFmtId="0" fontId="17" fillId="34" borderId="11" xfId="0" applyFont="1" applyFill="1" applyBorder="1" applyAlignment="1">
      <alignment horizontal="left" vertical="center"/>
    </xf>
    <xf numFmtId="0" fontId="17" fillId="0" borderId="11" xfId="0" applyNumberFormat="1" applyFont="1" applyFill="1" applyBorder="1" applyAlignment="1" applyProtection="1">
      <alignment vertical="center"/>
      <protection locked="0"/>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3" fontId="34" fillId="0" borderId="11" xfId="45" applyNumberFormat="1" applyFont="1" applyFill="1" applyBorder="1" applyAlignment="1" applyProtection="1">
      <alignment horizontal="right" vertical="center"/>
      <protection/>
    </xf>
    <xf numFmtId="2" fontId="34" fillId="0" borderId="11" xfId="45" applyNumberFormat="1" applyFont="1" applyFill="1" applyBorder="1" applyAlignment="1" applyProtection="1">
      <alignment vertical="center"/>
      <protection/>
    </xf>
    <xf numFmtId="4" fontId="34" fillId="0" borderId="11" xfId="45" applyNumberFormat="1" applyFont="1" applyFill="1" applyBorder="1" applyAlignment="1" applyProtection="1">
      <alignment horizontal="right" vertical="center"/>
      <protection locked="0"/>
    </xf>
    <xf numFmtId="3" fontId="34" fillId="0" borderId="11" xfId="45" applyNumberFormat="1" applyFont="1" applyFill="1" applyBorder="1" applyAlignment="1" applyProtection="1">
      <alignment horizontal="right" vertical="center"/>
      <protection locked="0"/>
    </xf>
    <xf numFmtId="0" fontId="17" fillId="0" borderId="11" xfId="0" applyNumberFormat="1" applyFont="1" applyFill="1" applyBorder="1" applyAlignment="1" applyProtection="1">
      <alignment horizontal="left" vertical="center"/>
      <protection locked="0"/>
    </xf>
    <xf numFmtId="2" fontId="34"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locked="0"/>
    </xf>
    <xf numFmtId="3" fontId="34" fillId="0" borderId="11" xfId="45" applyNumberFormat="1" applyFont="1" applyFill="1" applyBorder="1" applyAlignment="1" applyProtection="1">
      <alignment vertical="center"/>
      <protection/>
    </xf>
    <xf numFmtId="3" fontId="34" fillId="0" borderId="11" xfId="45" applyNumberFormat="1" applyFont="1" applyFill="1" applyBorder="1" applyAlignment="1" applyProtection="1">
      <alignment vertical="center"/>
      <protection locked="0"/>
    </xf>
    <xf numFmtId="4" fontId="19" fillId="0" borderId="11" xfId="0" applyNumberFormat="1" applyFont="1" applyFill="1" applyBorder="1" applyAlignment="1">
      <alignment vertical="center"/>
    </xf>
    <xf numFmtId="3" fontId="19" fillId="0" borderId="11" xfId="0" applyNumberFormat="1" applyFont="1" applyFill="1" applyBorder="1" applyAlignment="1">
      <alignment vertical="center"/>
    </xf>
    <xf numFmtId="4" fontId="34" fillId="0" borderId="11" xfId="0" applyNumberFormat="1" applyFont="1" applyFill="1" applyBorder="1" applyAlignment="1">
      <alignment vertical="center"/>
    </xf>
    <xf numFmtId="14" fontId="17" fillId="0" borderId="11" xfId="0" applyNumberFormat="1" applyFont="1" applyFill="1" applyBorder="1" applyAlignment="1">
      <alignment horizontal="left" vertical="center"/>
    </xf>
    <xf numFmtId="184" fontId="17" fillId="35" borderId="11" xfId="0" applyNumberFormat="1" applyFont="1" applyFill="1" applyBorder="1" applyAlignment="1">
      <alignment horizontal="center" vertical="center"/>
    </xf>
    <xf numFmtId="14" fontId="17" fillId="35" borderId="11" xfId="0" applyNumberFormat="1" applyFont="1" applyFill="1" applyBorder="1" applyAlignment="1">
      <alignment vertical="center"/>
    </xf>
    <xf numFmtId="4" fontId="19" fillId="35" borderId="11" xfId="0" applyNumberFormat="1" applyFont="1" applyFill="1" applyBorder="1" applyAlignment="1">
      <alignment horizontal="right" vertical="center"/>
    </xf>
    <xf numFmtId="3" fontId="34" fillId="35" borderId="11" xfId="0" applyNumberFormat="1" applyFont="1" applyFill="1" applyBorder="1" applyAlignment="1">
      <alignment horizontal="right" vertical="center"/>
    </xf>
    <xf numFmtId="4" fontId="34" fillId="35" borderId="11" xfId="0" applyNumberFormat="1" applyFont="1" applyFill="1" applyBorder="1" applyAlignment="1">
      <alignment horizontal="right" vertical="center"/>
    </xf>
    <xf numFmtId="2" fontId="34" fillId="35" borderId="11" xfId="0" applyNumberFormat="1" applyFont="1" applyFill="1" applyBorder="1" applyAlignment="1">
      <alignment vertical="center"/>
    </xf>
    <xf numFmtId="14" fontId="17" fillId="0" borderId="11" xfId="0" applyNumberFormat="1" applyFont="1" applyFill="1" applyBorder="1" applyAlignment="1">
      <alignment vertical="center"/>
    </xf>
    <xf numFmtId="49" fontId="17" fillId="0" borderId="11" xfId="0" applyNumberFormat="1" applyFont="1" applyFill="1" applyBorder="1" applyAlignment="1" applyProtection="1">
      <alignment horizontal="left" vertical="center"/>
      <protection locked="0"/>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4" fontId="34" fillId="0" borderId="11" xfId="43" applyNumberFormat="1" applyFont="1" applyFill="1" applyBorder="1" applyAlignment="1" applyProtection="1">
      <alignment horizontal="right" vertical="center"/>
      <protection locked="0"/>
    </xf>
    <xf numFmtId="3" fontId="34"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locked="0"/>
    </xf>
    <xf numFmtId="3" fontId="34" fillId="0" borderId="11" xfId="43" applyNumberFormat="1" applyFont="1" applyFill="1" applyBorder="1" applyAlignment="1" applyProtection="1">
      <alignment horizontal="right" vertical="center"/>
      <protection/>
    </xf>
    <xf numFmtId="3" fontId="34" fillId="0" borderId="11" xfId="43" applyNumberFormat="1" applyFont="1" applyFill="1" applyBorder="1" applyAlignment="1" applyProtection="1">
      <alignment horizontal="right" vertical="center"/>
      <protection locked="0"/>
    </xf>
    <xf numFmtId="3" fontId="34" fillId="0" borderId="11" xfId="43" applyNumberFormat="1" applyFont="1" applyFill="1" applyBorder="1" applyAlignment="1" applyProtection="1">
      <alignment vertical="center"/>
      <protection/>
    </xf>
    <xf numFmtId="2" fontId="34" fillId="0" borderId="11" xfId="43" applyNumberFormat="1" applyFont="1" applyFill="1" applyBorder="1" applyAlignment="1" applyProtection="1">
      <alignment vertical="center"/>
      <protection/>
    </xf>
    <xf numFmtId="49" fontId="17" fillId="0" borderId="11" xfId="0" applyNumberFormat="1" applyFont="1" applyFill="1" applyBorder="1" applyAlignment="1" applyProtection="1">
      <alignment vertical="center"/>
      <protection locked="0"/>
    </xf>
    <xf numFmtId="3" fontId="19" fillId="35" borderId="11" xfId="0" applyNumberFormat="1" applyFont="1" applyFill="1" applyBorder="1" applyAlignment="1">
      <alignment horizontal="right" vertical="center"/>
    </xf>
    <xf numFmtId="2" fontId="34" fillId="0" borderId="11" xfId="43" applyNumberFormat="1" applyFont="1" applyFill="1" applyBorder="1" applyAlignment="1" applyProtection="1">
      <alignment horizontal="right" vertical="center"/>
      <protection/>
    </xf>
    <xf numFmtId="0" fontId="17" fillId="0" borderId="12" xfId="0" applyFont="1" applyFill="1" applyBorder="1" applyAlignment="1" applyProtection="1">
      <alignment horizontal="left" vertical="center"/>
      <protection locked="0"/>
    </xf>
    <xf numFmtId="3" fontId="34" fillId="0" borderId="11" xfId="0" applyNumberFormat="1" applyFont="1" applyFill="1" applyBorder="1" applyAlignment="1">
      <alignment vertical="center"/>
    </xf>
    <xf numFmtId="1" fontId="18" fillId="0" borderId="13" xfId="0" applyNumberFormat="1" applyFont="1" applyFill="1" applyBorder="1" applyAlignment="1" applyProtection="1">
      <alignment horizontal="center" vertical="center" wrapText="1"/>
      <protection/>
    </xf>
    <xf numFmtId="1" fontId="27" fillId="0" borderId="14"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right" vertical="center"/>
      <protection/>
    </xf>
    <xf numFmtId="0" fontId="35" fillId="0" borderId="0" xfId="0" applyFont="1" applyFill="1" applyBorder="1" applyAlignment="1">
      <alignment horizontal="right"/>
    </xf>
    <xf numFmtId="0" fontId="45" fillId="0" borderId="0" xfId="0" applyFont="1" applyFill="1" applyAlignment="1">
      <alignment/>
    </xf>
    <xf numFmtId="0" fontId="46" fillId="0" borderId="0" xfId="0" applyFont="1" applyAlignment="1">
      <alignment/>
    </xf>
    <xf numFmtId="0" fontId="31" fillId="33" borderId="10" xfId="0" applyFont="1" applyFill="1" applyBorder="1" applyAlignment="1">
      <alignment horizontal="right" vertical="center"/>
    </xf>
    <xf numFmtId="3" fontId="31" fillId="33" borderId="10" xfId="0" applyNumberFormat="1" applyFont="1" applyFill="1" applyBorder="1" applyAlignment="1">
      <alignment horizontal="right" vertical="center"/>
    </xf>
    <xf numFmtId="0" fontId="21" fillId="0" borderId="0" xfId="0" applyFont="1" applyAlignment="1">
      <alignment horizontal="right" vertical="center"/>
    </xf>
    <xf numFmtId="4" fontId="19" fillId="0" borderId="11" xfId="0" applyNumberFormat="1" applyFont="1" applyFill="1" applyBorder="1" applyAlignment="1">
      <alignment vertical="center"/>
    </xf>
    <xf numFmtId="3" fontId="19" fillId="0" borderId="11" xfId="0" applyNumberFormat="1" applyFont="1" applyFill="1" applyBorder="1" applyAlignment="1">
      <alignment vertical="center"/>
    </xf>
    <xf numFmtId="0" fontId="17" fillId="0" borderId="12" xfId="0" applyFont="1" applyBorder="1" applyAlignment="1">
      <alignment horizontal="left" vertical="center"/>
    </xf>
    <xf numFmtId="0" fontId="21" fillId="0" borderId="12" xfId="0" applyFont="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184" fontId="17" fillId="0" borderId="11" xfId="0" applyNumberFormat="1" applyFont="1" applyBorder="1" applyAlignment="1">
      <alignment horizontal="center" vertical="center"/>
    </xf>
    <xf numFmtId="0" fontId="17" fillId="0" borderId="11" xfId="0" applyFont="1" applyBorder="1" applyAlignment="1">
      <alignment horizontal="lef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34" fillId="0" borderId="11" xfId="0" applyNumberFormat="1" applyFont="1" applyBorder="1" applyAlignment="1">
      <alignment horizontal="right" vertical="center"/>
    </xf>
    <xf numFmtId="3" fontId="34" fillId="0" borderId="11" xfId="0" applyNumberFormat="1" applyFont="1" applyFill="1" applyBorder="1" applyAlignment="1">
      <alignment horizontal="right" vertical="center"/>
    </xf>
    <xf numFmtId="3" fontId="34" fillId="0" borderId="11" xfId="0" applyNumberFormat="1" applyFont="1" applyBorder="1" applyAlignment="1">
      <alignment horizontal="right" vertical="center"/>
    </xf>
    <xf numFmtId="0" fontId="19" fillId="0" borderId="16" xfId="0" applyFont="1" applyBorder="1" applyAlignment="1" applyProtection="1">
      <alignment vertical="center"/>
      <protection locked="0"/>
    </xf>
    <xf numFmtId="0" fontId="21" fillId="0" borderId="10" xfId="0" applyFont="1" applyBorder="1" applyAlignment="1">
      <alignment horizontal="right" vertical="center"/>
    </xf>
    <xf numFmtId="0" fontId="21" fillId="0" borderId="17" xfId="0" applyFont="1" applyBorder="1" applyAlignment="1">
      <alignment horizontal="right" vertical="center"/>
    </xf>
    <xf numFmtId="0" fontId="20" fillId="0" borderId="12" xfId="0" applyFont="1" applyFill="1" applyBorder="1" applyAlignment="1" applyProtection="1">
      <alignment horizontal="left" vertical="center"/>
      <protection locked="0"/>
    </xf>
    <xf numFmtId="0" fontId="20" fillId="0" borderId="12" xfId="0" applyFont="1" applyFill="1" applyBorder="1" applyAlignment="1">
      <alignment horizontal="left" vertical="center"/>
    </xf>
    <xf numFmtId="0" fontId="20" fillId="0" borderId="12" xfId="0" applyFont="1" applyFill="1" applyBorder="1" applyAlignment="1">
      <alignment horizontal="left"/>
    </xf>
    <xf numFmtId="0" fontId="20" fillId="0" borderId="18" xfId="0" applyFont="1" applyFill="1" applyBorder="1" applyAlignment="1" applyProtection="1">
      <alignment horizontal="left" vertical="center"/>
      <protection locked="0"/>
    </xf>
    <xf numFmtId="0" fontId="20" fillId="0" borderId="18" xfId="0" applyFont="1" applyFill="1" applyBorder="1" applyAlignment="1">
      <alignment horizontal="left" vertical="center"/>
    </xf>
    <xf numFmtId="0" fontId="20" fillId="0" borderId="18" xfId="0" applyFont="1" applyFill="1" applyBorder="1" applyAlignment="1">
      <alignment horizontal="left"/>
    </xf>
    <xf numFmtId="0" fontId="21" fillId="0" borderId="11" xfId="0" applyFont="1" applyBorder="1" applyAlignment="1">
      <alignment horizontal="right" vertical="center"/>
    </xf>
    <xf numFmtId="4" fontId="16" fillId="0" borderId="19" xfId="0" applyNumberFormat="1" applyFont="1" applyFill="1" applyBorder="1" applyAlignment="1" applyProtection="1">
      <alignment horizontal="center" wrapText="1"/>
      <protection/>
    </xf>
    <xf numFmtId="3" fontId="16" fillId="0" borderId="19" xfId="0" applyNumberFormat="1" applyFont="1" applyFill="1" applyBorder="1" applyAlignment="1" applyProtection="1">
      <alignment horizontal="center" wrapText="1"/>
      <protection/>
    </xf>
    <xf numFmtId="2" fontId="16" fillId="0" borderId="19" xfId="0" applyNumberFormat="1" applyFont="1" applyFill="1" applyBorder="1" applyAlignment="1" applyProtection="1">
      <alignment horizontal="center" wrapText="1"/>
      <protection/>
    </xf>
    <xf numFmtId="0" fontId="21" fillId="0" borderId="11" xfId="0" applyFont="1" applyFill="1" applyBorder="1" applyAlignment="1" applyProtection="1">
      <alignment horizontal="right" vertical="center"/>
      <protection locked="0"/>
    </xf>
    <xf numFmtId="0" fontId="21" fillId="0" borderId="11" xfId="0" applyFont="1" applyFill="1" applyBorder="1" applyAlignment="1">
      <alignment horizontal="right" vertical="center"/>
    </xf>
    <xf numFmtId="0" fontId="21" fillId="34" borderId="11" xfId="0" applyFont="1" applyFill="1" applyBorder="1" applyAlignment="1">
      <alignment horizontal="right" vertical="center"/>
    </xf>
    <xf numFmtId="0" fontId="21" fillId="0" borderId="11" xfId="0" applyNumberFormat="1" applyFont="1" applyFill="1" applyBorder="1" applyAlignment="1" applyProtection="1">
      <alignment horizontal="right" vertical="center"/>
      <protection locked="0"/>
    </xf>
    <xf numFmtId="0" fontId="21" fillId="35" borderId="11" xfId="0" applyFont="1" applyFill="1" applyBorder="1" applyAlignment="1">
      <alignment horizontal="right" vertical="center"/>
    </xf>
    <xf numFmtId="49" fontId="21" fillId="0" borderId="11" xfId="0" applyNumberFormat="1" applyFont="1" applyFill="1" applyBorder="1" applyAlignment="1" applyProtection="1">
      <alignment horizontal="right" vertical="center"/>
      <protection locked="0"/>
    </xf>
    <xf numFmtId="200" fontId="22" fillId="0" borderId="0" xfId="0" applyNumberFormat="1" applyFont="1" applyAlignment="1">
      <alignment horizontal="right" vertical="center"/>
    </xf>
    <xf numFmtId="193" fontId="22" fillId="0" borderId="0" xfId="0" applyNumberFormat="1" applyFont="1" applyAlignment="1">
      <alignment horizontal="right" vertical="center"/>
    </xf>
    <xf numFmtId="0" fontId="35" fillId="0" borderId="0" xfId="0" applyFont="1" applyFill="1" applyBorder="1" applyAlignment="1" applyProtection="1">
      <alignment horizontal="center" vertical="center" wrapText="1"/>
      <protection locked="0"/>
    </xf>
    <xf numFmtId="184" fontId="17" fillId="0" borderId="12" xfId="0" applyNumberFormat="1" applyFont="1" applyFill="1" applyBorder="1" applyAlignment="1">
      <alignment horizontal="center" vertical="center"/>
    </xf>
    <xf numFmtId="0" fontId="29" fillId="0" borderId="20" xfId="0" applyFont="1" applyFill="1" applyBorder="1" applyAlignment="1" applyProtection="1">
      <alignment vertical="center"/>
      <protection locked="0"/>
    </xf>
    <xf numFmtId="1" fontId="19" fillId="0" borderId="12" xfId="0" applyNumberFormat="1" applyFont="1" applyFill="1" applyBorder="1" applyAlignment="1" applyProtection="1">
      <alignment horizontal="right" vertical="center"/>
      <protection locked="0"/>
    </xf>
    <xf numFmtId="0" fontId="30" fillId="0" borderId="12" xfId="0" applyFont="1" applyFill="1" applyBorder="1" applyAlignment="1" applyProtection="1">
      <alignment vertical="center"/>
      <protection locked="0"/>
    </xf>
    <xf numFmtId="184" fontId="6"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protection locked="0"/>
    </xf>
    <xf numFmtId="0" fontId="21" fillId="0" borderId="12" xfId="0" applyNumberFormat="1" applyFont="1" applyFill="1" applyBorder="1" applyAlignment="1" applyProtection="1">
      <alignment horizontal="right" vertical="center"/>
      <protection locked="0"/>
    </xf>
    <xf numFmtId="200" fontId="25" fillId="0" borderId="12" xfId="0" applyNumberFormat="1" applyFont="1" applyFill="1" applyBorder="1" applyAlignment="1" applyProtection="1">
      <alignment horizontal="right" vertical="center"/>
      <protection locked="0"/>
    </xf>
    <xf numFmtId="193" fontId="22" fillId="0" borderId="12" xfId="0" applyNumberFormat="1" applyFont="1" applyFill="1" applyBorder="1" applyAlignment="1" applyProtection="1">
      <alignment horizontal="right" vertical="center"/>
      <protection locked="0"/>
    </xf>
    <xf numFmtId="193" fontId="33" fillId="0" borderId="12" xfId="0" applyNumberFormat="1" applyFont="1" applyFill="1" applyBorder="1" applyAlignment="1" applyProtection="1">
      <alignment horizontal="right" vertical="center"/>
      <protection locked="0"/>
    </xf>
    <xf numFmtId="192" fontId="34" fillId="0" borderId="12" xfId="0" applyNumberFormat="1" applyFont="1" applyFill="1" applyBorder="1" applyAlignment="1" applyProtection="1">
      <alignment horizontal="right" vertical="center"/>
      <protection locked="0"/>
    </xf>
    <xf numFmtId="200" fontId="34" fillId="0" borderId="12" xfId="43" applyNumberFormat="1" applyFont="1" applyFill="1" applyBorder="1" applyAlignment="1" applyProtection="1">
      <alignment horizontal="right" vertical="center"/>
      <protection/>
    </xf>
    <xf numFmtId="193" fontId="34" fillId="0" borderId="12" xfId="0" applyNumberFormat="1" applyFont="1" applyFill="1" applyBorder="1" applyAlignment="1" applyProtection="1">
      <alignment horizontal="right" vertical="center"/>
      <protection locked="0"/>
    </xf>
    <xf numFmtId="0" fontId="29" fillId="0" borderId="12" xfId="0" applyFont="1" applyBorder="1" applyAlignment="1">
      <alignment/>
    </xf>
    <xf numFmtId="184" fontId="0" fillId="0" borderId="12" xfId="0" applyNumberFormat="1" applyBorder="1" applyAlignment="1">
      <alignment horizontal="center"/>
    </xf>
    <xf numFmtId="0" fontId="0" fillId="0" borderId="12" xfId="0" applyBorder="1" applyAlignment="1">
      <alignment horizontal="left"/>
    </xf>
    <xf numFmtId="0" fontId="21" fillId="0" borderId="12" xfId="0" applyFont="1" applyBorder="1" applyAlignment="1">
      <alignment horizontal="right"/>
    </xf>
    <xf numFmtId="0" fontId="22" fillId="0" borderId="12" xfId="0" applyFont="1" applyBorder="1" applyAlignment="1">
      <alignment horizontal="right" vertical="center"/>
    </xf>
    <xf numFmtId="187" fontId="22" fillId="0" borderId="12" xfId="0" applyNumberFormat="1" applyFont="1" applyFill="1" applyBorder="1" applyAlignment="1" applyProtection="1">
      <alignment horizontal="right" vertical="center"/>
      <protection locked="0"/>
    </xf>
    <xf numFmtId="0" fontId="29" fillId="0" borderId="12" xfId="0" applyFont="1" applyBorder="1" applyAlignment="1">
      <alignment vertical="center" readingOrder="1"/>
    </xf>
    <xf numFmtId="184" fontId="0" fillId="0" borderId="12" xfId="0" applyNumberFormat="1" applyBorder="1" applyAlignment="1">
      <alignment horizontal="center" vertical="center"/>
    </xf>
    <xf numFmtId="0" fontId="0" fillId="0" borderId="12" xfId="0" applyBorder="1" applyAlignment="1">
      <alignment horizontal="left" vertical="center"/>
    </xf>
    <xf numFmtId="200" fontId="19" fillId="0" borderId="12" xfId="0" applyNumberFormat="1" applyFont="1" applyBorder="1" applyAlignment="1">
      <alignment horizontal="right" vertical="center"/>
    </xf>
    <xf numFmtId="193" fontId="19" fillId="0" borderId="12" xfId="0" applyNumberFormat="1" applyFont="1" applyBorder="1" applyAlignment="1">
      <alignment horizontal="right" vertical="center"/>
    </xf>
    <xf numFmtId="193" fontId="33" fillId="0" borderId="12" xfId="0" applyNumberFormat="1" applyFont="1" applyBorder="1" applyAlignment="1">
      <alignment horizontal="right" vertical="center"/>
    </xf>
    <xf numFmtId="192" fontId="34" fillId="0" borderId="12" xfId="0" applyNumberFormat="1" applyFont="1" applyBorder="1" applyAlignment="1">
      <alignment horizontal="right" vertical="center"/>
    </xf>
    <xf numFmtId="200" fontId="34" fillId="0" borderId="12" xfId="0" applyNumberFormat="1" applyFont="1" applyBorder="1" applyAlignment="1">
      <alignment horizontal="right" vertical="center"/>
    </xf>
    <xf numFmtId="193" fontId="34" fillId="0" borderId="12" xfId="0" applyNumberFormat="1" applyFont="1" applyBorder="1" applyAlignment="1">
      <alignment horizontal="right" vertical="center"/>
    </xf>
    <xf numFmtId="200" fontId="23" fillId="0" borderId="12" xfId="0" applyNumberFormat="1" applyFont="1" applyFill="1" applyBorder="1" applyAlignment="1" applyProtection="1">
      <alignment horizontal="right" vertical="center"/>
      <protection locked="0"/>
    </xf>
    <xf numFmtId="193" fontId="26" fillId="0" borderId="12" xfId="0" applyNumberFormat="1" applyFont="1" applyFill="1" applyBorder="1" applyAlignment="1" applyProtection="1">
      <alignment horizontal="right" vertical="center"/>
      <protection locked="0"/>
    </xf>
    <xf numFmtId="200" fontId="34" fillId="0" borderId="12" xfId="0" applyNumberFormat="1" applyFont="1" applyFill="1" applyBorder="1" applyAlignment="1" applyProtection="1">
      <alignment horizontal="right" vertical="center"/>
      <protection locked="0"/>
    </xf>
    <xf numFmtId="0" fontId="28" fillId="0" borderId="12" xfId="0" applyFont="1" applyFill="1" applyBorder="1" applyAlignment="1" applyProtection="1">
      <alignment vertical="center"/>
      <protection locked="0"/>
    </xf>
    <xf numFmtId="184" fontId="5" fillId="0"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protection locked="0"/>
    </xf>
    <xf numFmtId="1" fontId="19" fillId="0" borderId="21" xfId="0" applyNumberFormat="1" applyFont="1" applyFill="1" applyBorder="1" applyAlignment="1" applyProtection="1">
      <alignment horizontal="right" vertical="center"/>
      <protection/>
    </xf>
    <xf numFmtId="171" fontId="28" fillId="0" borderId="22" xfId="43" applyFont="1" applyFill="1" applyBorder="1" applyAlignment="1" applyProtection="1">
      <alignment vertical="center"/>
      <protection/>
    </xf>
    <xf numFmtId="184" fontId="3" fillId="0" borderId="22" xfId="0" applyNumberFormat="1" applyFont="1" applyFill="1" applyBorder="1" applyAlignment="1" applyProtection="1">
      <alignment horizontal="center" vertical="center"/>
      <protection/>
    </xf>
    <xf numFmtId="0" fontId="3" fillId="0" borderId="22" xfId="0" applyFont="1" applyFill="1" applyBorder="1" applyAlignment="1" applyProtection="1">
      <alignment horizontal="left" vertical="center"/>
      <protection/>
    </xf>
    <xf numFmtId="0" fontId="21" fillId="0" borderId="22" xfId="0" applyNumberFormat="1" applyFont="1" applyFill="1" applyBorder="1" applyAlignment="1" applyProtection="1">
      <alignment horizontal="right" vertical="center"/>
      <protection/>
    </xf>
    <xf numFmtId="200" fontId="23" fillId="0" borderId="22" xfId="0" applyNumberFormat="1" applyFont="1" applyFill="1" applyBorder="1" applyAlignment="1" applyProtection="1">
      <alignment horizontal="right" vertical="center"/>
      <protection/>
    </xf>
    <xf numFmtId="193" fontId="26" fillId="0" borderId="22" xfId="0" applyNumberFormat="1" applyFont="1" applyFill="1" applyBorder="1" applyAlignment="1" applyProtection="1">
      <alignment horizontal="right" vertical="center"/>
      <protection/>
    </xf>
    <xf numFmtId="193" fontId="33" fillId="0" borderId="22" xfId="0" applyNumberFormat="1" applyFont="1" applyFill="1" applyBorder="1" applyAlignment="1" applyProtection="1">
      <alignment horizontal="right" vertical="center"/>
      <protection/>
    </xf>
    <xf numFmtId="192" fontId="34" fillId="0" borderId="22" xfId="0" applyNumberFormat="1" applyFont="1" applyFill="1" applyBorder="1" applyAlignment="1" applyProtection="1">
      <alignment horizontal="right" vertical="center"/>
      <protection/>
    </xf>
    <xf numFmtId="200" fontId="34" fillId="0" borderId="22" xfId="0" applyNumberFormat="1" applyFont="1" applyFill="1" applyBorder="1" applyAlignment="1" applyProtection="1">
      <alignment horizontal="right" vertical="center"/>
      <protection/>
    </xf>
    <xf numFmtId="193" fontId="34" fillId="0" borderId="22" xfId="0" applyNumberFormat="1" applyFont="1" applyFill="1" applyBorder="1" applyAlignment="1" applyProtection="1">
      <alignment horizontal="right" vertical="center"/>
      <protection/>
    </xf>
    <xf numFmtId="0" fontId="19" fillId="0" borderId="23" xfId="0" applyFont="1" applyFill="1" applyBorder="1" applyAlignment="1" applyProtection="1">
      <alignment vertical="center"/>
      <protection locked="0"/>
    </xf>
    <xf numFmtId="0" fontId="19" fillId="0" borderId="15" xfId="0" applyFont="1" applyBorder="1" applyAlignment="1" applyProtection="1">
      <alignment vertical="center"/>
      <protection locked="0"/>
    </xf>
    <xf numFmtId="0" fontId="17" fillId="0" borderId="12" xfId="0" applyFont="1" applyFill="1" applyBorder="1" applyAlignment="1">
      <alignment horizontal="left" vertical="center"/>
    </xf>
    <xf numFmtId="184" fontId="17" fillId="0" borderId="17" xfId="0" applyNumberFormat="1" applyFont="1" applyFill="1" applyBorder="1" applyAlignment="1">
      <alignment horizontal="center" vertical="center"/>
    </xf>
    <xf numFmtId="192" fontId="34" fillId="0" borderId="24" xfId="0" applyNumberFormat="1" applyFont="1" applyFill="1" applyBorder="1" applyAlignment="1" applyProtection="1">
      <alignment horizontal="right" vertical="center"/>
      <protection/>
    </xf>
    <xf numFmtId="192" fontId="36" fillId="33" borderId="25" xfId="0" applyNumberFormat="1" applyFont="1" applyFill="1" applyBorder="1" applyAlignment="1">
      <alignment horizontal="right" vertical="center"/>
    </xf>
    <xf numFmtId="192" fontId="34" fillId="0" borderId="26" xfId="0" applyNumberFormat="1" applyFont="1" applyFill="1" applyBorder="1" applyAlignment="1" applyProtection="1">
      <alignment horizontal="right" vertical="center"/>
      <protection locked="0"/>
    </xf>
    <xf numFmtId="192" fontId="34" fillId="0" borderId="26" xfId="0" applyNumberFormat="1" applyFont="1" applyBorder="1" applyAlignment="1">
      <alignment horizontal="right" vertical="center"/>
    </xf>
    <xf numFmtId="0" fontId="36" fillId="0" borderId="27" xfId="0" applyFont="1" applyFill="1" applyBorder="1" applyAlignment="1" applyProtection="1">
      <alignment horizontal="right" vertical="center"/>
      <protection locked="0"/>
    </xf>
    <xf numFmtId="0" fontId="36" fillId="0" borderId="27" xfId="0" applyFont="1" applyFill="1" applyBorder="1" applyAlignment="1">
      <alignment horizontal="right" vertical="center"/>
    </xf>
    <xf numFmtId="0" fontId="36" fillId="0" borderId="27" xfId="0" applyFont="1" applyFill="1" applyBorder="1" applyAlignment="1" applyProtection="1">
      <alignment vertical="center"/>
      <protection locked="0"/>
    </xf>
    <xf numFmtId="0" fontId="31" fillId="0" borderId="27" xfId="0" applyFont="1" applyFill="1" applyBorder="1" applyAlignment="1">
      <alignment vertical="center"/>
    </xf>
    <xf numFmtId="0" fontId="55" fillId="0" borderId="27" xfId="0" applyFont="1" applyFill="1" applyBorder="1" applyAlignment="1" applyProtection="1">
      <alignment vertical="center"/>
      <protection locked="0"/>
    </xf>
    <xf numFmtId="0" fontId="31" fillId="0" borderId="27" xfId="0" applyFont="1" applyFill="1" applyBorder="1" applyAlignment="1">
      <alignment horizontal="right" vertical="center"/>
    </xf>
    <xf numFmtId="0" fontId="31" fillId="0" borderId="27" xfId="0" applyFont="1" applyFill="1" applyBorder="1" applyAlignment="1" applyProtection="1">
      <alignment vertical="center"/>
      <protection locked="0"/>
    </xf>
    <xf numFmtId="0" fontId="59" fillId="35" borderId="27" xfId="0" applyFont="1" applyFill="1" applyBorder="1" applyAlignment="1" applyProtection="1">
      <alignment horizontal="center" vertical="center"/>
      <protection locked="0"/>
    </xf>
    <xf numFmtId="0" fontId="52" fillId="0" borderId="27" xfId="0" applyFont="1" applyFill="1" applyBorder="1" applyAlignment="1" applyProtection="1">
      <alignment vertical="center"/>
      <protection locked="0"/>
    </xf>
    <xf numFmtId="0" fontId="9" fillId="0" borderId="27" xfId="0" applyNumberFormat="1" applyFont="1" applyFill="1" applyBorder="1" applyAlignment="1" applyProtection="1">
      <alignment horizontal="center" vertical="center"/>
      <protection locked="0"/>
    </xf>
    <xf numFmtId="0" fontId="57" fillId="35" borderId="27" xfId="0" applyFont="1" applyFill="1" applyBorder="1" applyAlignment="1" applyProtection="1">
      <alignment vertical="center"/>
      <protection locked="0"/>
    </xf>
    <xf numFmtId="0" fontId="57" fillId="35" borderId="27" xfId="0" applyFont="1" applyFill="1" applyBorder="1" applyAlignment="1" applyProtection="1">
      <alignment vertical="center"/>
      <protection locked="0"/>
    </xf>
    <xf numFmtId="0" fontId="57" fillId="35" borderId="27" xfId="0" applyFont="1" applyFill="1" applyBorder="1" applyAlignment="1">
      <alignment/>
    </xf>
    <xf numFmtId="0" fontId="54" fillId="0" borderId="27" xfId="0" applyFont="1" applyFill="1" applyBorder="1" applyAlignment="1">
      <alignment/>
    </xf>
    <xf numFmtId="0" fontId="55" fillId="35" borderId="27" xfId="0" applyFont="1" applyFill="1" applyBorder="1" applyAlignment="1" applyProtection="1">
      <alignment vertical="center"/>
      <protection locked="0"/>
    </xf>
    <xf numFmtId="0" fontId="53" fillId="0" borderId="27" xfId="0" applyFont="1" applyFill="1" applyBorder="1" applyAlignment="1">
      <alignment/>
    </xf>
    <xf numFmtId="0" fontId="56" fillId="0" borderId="27" xfId="0" applyFont="1" applyFill="1" applyBorder="1" applyAlignment="1" applyProtection="1">
      <alignment vertical="center"/>
      <protection locked="0"/>
    </xf>
    <xf numFmtId="3" fontId="36" fillId="0" borderId="27" xfId="0" applyNumberFormat="1" applyFont="1" applyFill="1" applyBorder="1" applyAlignment="1">
      <alignment horizontal="right" vertical="center"/>
    </xf>
    <xf numFmtId="0" fontId="58" fillId="35" borderId="27" xfId="0" applyFont="1" applyFill="1" applyBorder="1" applyAlignment="1">
      <alignment vertical="center"/>
    </xf>
    <xf numFmtId="0" fontId="53" fillId="0" borderId="27" xfId="0" applyFont="1" applyFill="1" applyBorder="1" applyAlignment="1">
      <alignment/>
    </xf>
    <xf numFmtId="0" fontId="29" fillId="0" borderId="28" xfId="0" applyFont="1" applyFill="1" applyBorder="1" applyAlignment="1" applyProtection="1">
      <alignment horizontal="left" vertical="center"/>
      <protection locked="0"/>
    </xf>
    <xf numFmtId="2" fontId="34" fillId="0" borderId="29" xfId="40" applyNumberFormat="1" applyFont="1" applyFill="1" applyBorder="1" applyAlignment="1" applyProtection="1">
      <alignment vertical="center"/>
      <protection/>
    </xf>
    <xf numFmtId="2" fontId="34" fillId="0" borderId="29" xfId="0" applyNumberFormat="1" applyFont="1" applyFill="1" applyBorder="1" applyAlignment="1">
      <alignment vertical="center"/>
    </xf>
    <xf numFmtId="0" fontId="29" fillId="0" borderId="28" xfId="0" applyFont="1" applyFill="1" applyBorder="1" applyAlignment="1">
      <alignment horizontal="left" vertical="center"/>
    </xf>
    <xf numFmtId="0" fontId="29" fillId="34" borderId="28" xfId="0" applyFont="1" applyFill="1" applyBorder="1" applyAlignment="1">
      <alignment horizontal="left" vertical="center"/>
    </xf>
    <xf numFmtId="2" fontId="34" fillId="0" borderId="29" xfId="61" applyNumberFormat="1" applyFont="1" applyFill="1" applyBorder="1" applyAlignment="1" applyProtection="1">
      <alignment vertical="center"/>
      <protection/>
    </xf>
    <xf numFmtId="0" fontId="29" fillId="0" borderId="28" xfId="0" applyNumberFormat="1" applyFont="1" applyFill="1" applyBorder="1" applyAlignment="1" applyProtection="1">
      <alignment horizontal="left" vertical="center"/>
      <protection locked="0"/>
    </xf>
    <xf numFmtId="2" fontId="34" fillId="0" borderId="29" xfId="45" applyNumberFormat="1" applyFont="1" applyFill="1" applyBorder="1" applyAlignment="1" applyProtection="1">
      <alignment vertical="center"/>
      <protection/>
    </xf>
    <xf numFmtId="0" fontId="29" fillId="0" borderId="28" xfId="0" applyFont="1" applyFill="1" applyBorder="1" applyAlignment="1" applyProtection="1">
      <alignment vertical="center"/>
      <protection locked="0"/>
    </xf>
    <xf numFmtId="0" fontId="29" fillId="35" borderId="28" xfId="0" applyFont="1" applyFill="1" applyBorder="1" applyAlignment="1">
      <alignment horizontal="left" vertical="center"/>
    </xf>
    <xf numFmtId="2" fontId="34" fillId="35" borderId="29" xfId="0" applyNumberFormat="1" applyFont="1" applyFill="1" applyBorder="1" applyAlignment="1">
      <alignment vertical="center"/>
    </xf>
    <xf numFmtId="0" fontId="49" fillId="0" borderId="28" xfId="0" applyFont="1" applyBorder="1" applyAlignment="1">
      <alignment horizontal="left" vertical="center"/>
    </xf>
    <xf numFmtId="49" fontId="29" fillId="0" borderId="28" xfId="0" applyNumberFormat="1" applyFont="1" applyFill="1" applyBorder="1" applyAlignment="1" applyProtection="1">
      <alignment horizontal="left" vertical="center"/>
      <protection locked="0"/>
    </xf>
    <xf numFmtId="2" fontId="34" fillId="0" borderId="29" xfId="43" applyNumberFormat="1" applyFont="1" applyFill="1" applyBorder="1" applyAlignment="1" applyProtection="1">
      <alignment vertical="center"/>
      <protection/>
    </xf>
    <xf numFmtId="0" fontId="29" fillId="0" borderId="30" xfId="0" applyFont="1" applyFill="1" applyBorder="1" applyAlignment="1" applyProtection="1">
      <alignment horizontal="left" vertical="center"/>
      <protection locked="0"/>
    </xf>
    <xf numFmtId="184" fontId="17" fillId="0" borderId="31"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right" vertical="center"/>
      <protection locked="0"/>
    </xf>
    <xf numFmtId="0" fontId="29" fillId="0" borderId="20" xfId="0" applyFont="1" applyFill="1" applyBorder="1" applyAlignment="1" applyProtection="1">
      <alignment horizontal="left" vertical="center"/>
      <protection locked="0"/>
    </xf>
    <xf numFmtId="0" fontId="29" fillId="0" borderId="32" xfId="0" applyFont="1" applyFill="1" applyBorder="1" applyAlignment="1" applyProtection="1">
      <alignment horizontal="left" vertical="center"/>
      <protection locked="0"/>
    </xf>
    <xf numFmtId="184" fontId="17" fillId="0" borderId="33" xfId="0" applyNumberFormat="1" applyFont="1" applyFill="1" applyBorder="1" applyAlignment="1" applyProtection="1">
      <alignment horizontal="center" vertical="center"/>
      <protection locked="0"/>
    </xf>
    <xf numFmtId="184" fontId="17" fillId="0" borderId="33" xfId="0" applyNumberFormat="1" applyFont="1" applyFill="1" applyBorder="1" applyAlignment="1" applyProtection="1">
      <alignment vertical="center"/>
      <protection locked="0"/>
    </xf>
    <xf numFmtId="0" fontId="21" fillId="0" borderId="33" xfId="0" applyFont="1" applyFill="1" applyBorder="1" applyAlignment="1" applyProtection="1">
      <alignment horizontal="right" vertical="center"/>
      <protection locked="0"/>
    </xf>
    <xf numFmtId="4" fontId="19" fillId="0" borderId="33" xfId="40" applyNumberFormat="1" applyFont="1" applyFill="1" applyBorder="1" applyAlignment="1" applyProtection="1">
      <alignment horizontal="right" vertical="center"/>
      <protection locked="0"/>
    </xf>
    <xf numFmtId="3" fontId="19" fillId="0" borderId="33" xfId="40" applyNumberFormat="1" applyFont="1" applyFill="1" applyBorder="1" applyAlignment="1" applyProtection="1">
      <alignment horizontal="right" vertical="center"/>
      <protection locked="0"/>
    </xf>
    <xf numFmtId="3" fontId="34" fillId="0" borderId="33" xfId="40" applyNumberFormat="1" applyFont="1" applyFill="1" applyBorder="1" applyAlignment="1" applyProtection="1">
      <alignment horizontal="right" vertical="center"/>
      <protection/>
    </xf>
    <xf numFmtId="2" fontId="34" fillId="0" borderId="33" xfId="40" applyNumberFormat="1" applyFont="1" applyFill="1" applyBorder="1" applyAlignment="1" applyProtection="1">
      <alignment vertical="center"/>
      <protection/>
    </xf>
    <xf numFmtId="4" fontId="34" fillId="0" borderId="33" xfId="40" applyNumberFormat="1" applyFont="1" applyFill="1" applyBorder="1" applyAlignment="1" applyProtection="1">
      <alignment horizontal="right" vertical="center"/>
      <protection locked="0"/>
    </xf>
    <xf numFmtId="3" fontId="34" fillId="0" borderId="33" xfId="40" applyNumberFormat="1" applyFont="1" applyFill="1" applyBorder="1" applyAlignment="1" applyProtection="1">
      <alignment horizontal="right" vertical="center"/>
      <protection locked="0"/>
    </xf>
    <xf numFmtId="2" fontId="34" fillId="0" borderId="34" xfId="40" applyNumberFormat="1" applyFont="1" applyFill="1" applyBorder="1" applyAlignment="1" applyProtection="1">
      <alignment vertical="center"/>
      <protection/>
    </xf>
    <xf numFmtId="2" fontId="16" fillId="0" borderId="35" xfId="0" applyNumberFormat="1" applyFont="1" applyFill="1" applyBorder="1" applyAlignment="1" applyProtection="1">
      <alignment wrapText="1"/>
      <protection/>
    </xf>
    <xf numFmtId="2" fontId="34" fillId="0" borderId="0" xfId="0" applyNumberFormat="1" applyFont="1" applyAlignment="1">
      <alignment/>
    </xf>
    <xf numFmtId="1" fontId="16" fillId="0" borderId="36" xfId="0" applyNumberFormat="1" applyFont="1" applyFill="1" applyBorder="1" applyAlignment="1" applyProtection="1">
      <alignment horizontal="center" wrapText="1"/>
      <protection/>
    </xf>
    <xf numFmtId="0" fontId="32" fillId="0" borderId="0"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1" fontId="32" fillId="0" borderId="16" xfId="0" applyNumberFormat="1" applyFont="1" applyFill="1" applyBorder="1" applyAlignment="1" applyProtection="1">
      <alignment horizontal="center" wrapText="1"/>
      <protection/>
    </xf>
    <xf numFmtId="0" fontId="21" fillId="0" borderId="22" xfId="0" applyFont="1" applyBorder="1" applyAlignment="1">
      <alignment horizontal="right" vertical="center"/>
    </xf>
    <xf numFmtId="184" fontId="17" fillId="0" borderId="12" xfId="0" applyNumberFormat="1" applyFont="1" applyFill="1" applyBorder="1" applyAlignment="1" applyProtection="1">
      <alignment horizontal="left" vertical="center"/>
      <protection locked="0"/>
    </xf>
    <xf numFmtId="0" fontId="17" fillId="0" borderId="31" xfId="0" applyFont="1" applyFill="1" applyBorder="1" applyAlignment="1" applyProtection="1">
      <alignment horizontal="left" vertical="center"/>
      <protection locked="0"/>
    </xf>
    <xf numFmtId="4" fontId="19" fillId="0" borderId="31" xfId="40" applyNumberFormat="1" applyFont="1" applyFill="1" applyBorder="1" applyAlignment="1" applyProtection="1">
      <alignment horizontal="right" vertical="center"/>
      <protection locked="0"/>
    </xf>
    <xf numFmtId="3" fontId="19" fillId="0" borderId="31" xfId="40" applyNumberFormat="1" applyFont="1" applyFill="1" applyBorder="1" applyAlignment="1" applyProtection="1">
      <alignment horizontal="right" vertical="center"/>
      <protection locked="0"/>
    </xf>
    <xf numFmtId="3" fontId="34" fillId="0" borderId="31" xfId="40" applyNumberFormat="1" applyFont="1" applyFill="1" applyBorder="1" applyAlignment="1" applyProtection="1">
      <alignment horizontal="right" vertical="center"/>
      <protection/>
    </xf>
    <xf numFmtId="2" fontId="34" fillId="0" borderId="31" xfId="40" applyNumberFormat="1" applyFont="1" applyFill="1" applyBorder="1" applyAlignment="1" applyProtection="1">
      <alignment horizontal="right" vertical="center"/>
      <protection/>
    </xf>
    <xf numFmtId="4" fontId="34" fillId="0" borderId="31" xfId="40" applyNumberFormat="1" applyFont="1" applyFill="1" applyBorder="1" applyAlignment="1" applyProtection="1">
      <alignment horizontal="right" vertical="center"/>
      <protection locked="0"/>
    </xf>
    <xf numFmtId="3" fontId="34" fillId="0" borderId="31" xfId="40" applyNumberFormat="1" applyFont="1" applyFill="1" applyBorder="1" applyAlignment="1" applyProtection="1">
      <alignment horizontal="right" vertical="center"/>
      <protection locked="0"/>
    </xf>
    <xf numFmtId="0" fontId="29" fillId="0" borderId="37" xfId="0" applyFont="1" applyFill="1" applyBorder="1" applyAlignment="1" applyProtection="1">
      <alignment horizontal="left" vertical="center"/>
      <protection locked="0"/>
    </xf>
    <xf numFmtId="184" fontId="17" fillId="0" borderId="22" xfId="0" applyNumberFormat="1" applyFont="1" applyFill="1" applyBorder="1" applyAlignment="1">
      <alignment horizontal="center" vertical="center"/>
    </xf>
    <xf numFmtId="0" fontId="29" fillId="0" borderId="38" xfId="0" applyFont="1" applyFill="1" applyBorder="1" applyAlignment="1" applyProtection="1">
      <alignment horizontal="left" vertical="center"/>
      <protection locked="0"/>
    </xf>
    <xf numFmtId="0" fontId="60"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0" fontId="20" fillId="0" borderId="12" xfId="0" applyFont="1" applyBorder="1" applyAlignment="1">
      <alignment/>
    </xf>
    <xf numFmtId="0" fontId="20" fillId="0" borderId="12" xfId="0" applyFont="1" applyFill="1" applyBorder="1" applyAlignment="1">
      <alignment vertical="center"/>
    </xf>
    <xf numFmtId="0" fontId="20" fillId="0" borderId="18" xfId="0" applyFont="1" applyFill="1" applyBorder="1" applyAlignment="1" applyProtection="1">
      <alignment vertical="center"/>
      <protection locked="0"/>
    </xf>
    <xf numFmtId="0" fontId="20" fillId="0" borderId="18" xfId="0" applyFont="1" applyFill="1" applyBorder="1" applyAlignment="1">
      <alignment vertical="center"/>
    </xf>
    <xf numFmtId="0" fontId="20" fillId="0" borderId="18" xfId="0" applyFont="1" applyBorder="1" applyAlignment="1">
      <alignment/>
    </xf>
    <xf numFmtId="0" fontId="57" fillId="0" borderId="27" xfId="0" applyFont="1" applyFill="1" applyBorder="1" applyAlignment="1" applyProtection="1">
      <alignment vertical="center"/>
      <protection locked="0"/>
    </xf>
    <xf numFmtId="0" fontId="57" fillId="0" borderId="27" xfId="0" applyFont="1" applyFill="1" applyBorder="1" applyAlignment="1">
      <alignment vertical="center"/>
    </xf>
    <xf numFmtId="0" fontId="57" fillId="0" borderId="27" xfId="0" applyFont="1" applyBorder="1" applyAlignment="1">
      <alignment/>
    </xf>
    <xf numFmtId="2" fontId="34" fillId="0" borderId="29" xfId="0" applyNumberFormat="1" applyFont="1" applyFill="1" applyBorder="1" applyAlignment="1">
      <alignment horizontal="right" vertical="center"/>
    </xf>
    <xf numFmtId="2" fontId="34" fillId="0" borderId="39" xfId="0" applyNumberFormat="1" applyFont="1" applyBorder="1" applyAlignment="1">
      <alignment/>
    </xf>
    <xf numFmtId="0" fontId="0" fillId="0" borderId="12" xfId="0" applyBorder="1" applyAlignment="1">
      <alignment/>
    </xf>
    <xf numFmtId="184" fontId="17" fillId="0" borderId="10" xfId="0" applyNumberFormat="1" applyFont="1" applyFill="1" applyBorder="1" applyAlignment="1">
      <alignment horizontal="center" vertical="center"/>
    </xf>
    <xf numFmtId="0" fontId="29" fillId="0" borderId="21" xfId="0" applyFont="1" applyFill="1" applyBorder="1" applyAlignment="1" applyProtection="1">
      <alignment horizontal="left" vertical="center"/>
      <protection locked="0"/>
    </xf>
    <xf numFmtId="0" fontId="55" fillId="0" borderId="18" xfId="0" applyFont="1" applyFill="1" applyBorder="1" applyAlignment="1" applyProtection="1">
      <alignment vertical="center"/>
      <protection locked="0"/>
    </xf>
    <xf numFmtId="0" fontId="57" fillId="0" borderId="18" xfId="0" applyFont="1" applyFill="1" applyBorder="1" applyAlignment="1" applyProtection="1">
      <alignment vertical="center"/>
      <protection locked="0"/>
    </xf>
    <xf numFmtId="0" fontId="18" fillId="0" borderId="12" xfId="0" applyFont="1" applyBorder="1" applyAlignment="1">
      <alignment vertical="center"/>
    </xf>
    <xf numFmtId="4" fontId="43" fillId="0" borderId="12" xfId="0" applyNumberFormat="1" applyFont="1" applyFill="1" applyBorder="1" applyAlignment="1">
      <alignment horizontal="right" vertical="center"/>
    </xf>
    <xf numFmtId="3" fontId="44" fillId="0" borderId="12" xfId="0" applyNumberFormat="1" applyFont="1" applyFill="1" applyBorder="1" applyAlignment="1">
      <alignment vertical="center"/>
    </xf>
    <xf numFmtId="4" fontId="44" fillId="0" borderId="12" xfId="0" applyNumberFormat="1" applyFont="1" applyFill="1" applyBorder="1" applyAlignment="1">
      <alignment vertical="center"/>
    </xf>
    <xf numFmtId="0" fontId="44" fillId="0" borderId="12" xfId="0" applyFont="1" applyBorder="1" applyAlignment="1">
      <alignment vertical="center"/>
    </xf>
    <xf numFmtId="3" fontId="18" fillId="0" borderId="12" xfId="0" applyNumberFormat="1" applyFont="1" applyBorder="1" applyAlignment="1">
      <alignment vertical="center"/>
    </xf>
    <xf numFmtId="4" fontId="18" fillId="0" borderId="12" xfId="0" applyNumberFormat="1" applyFont="1" applyBorder="1" applyAlignment="1">
      <alignment vertical="center"/>
    </xf>
    <xf numFmtId="0" fontId="18" fillId="0" borderId="12" xfId="0" applyFont="1" applyBorder="1" applyAlignment="1">
      <alignment/>
    </xf>
    <xf numFmtId="3" fontId="16" fillId="0" borderId="12" xfId="0" applyNumberFormat="1" applyFont="1" applyFill="1" applyBorder="1" applyAlignment="1">
      <alignment horizontal="center" vertical="center"/>
    </xf>
    <xf numFmtId="4" fontId="16" fillId="0" borderId="12" xfId="0" applyNumberFormat="1" applyFont="1" applyFill="1" applyBorder="1" applyAlignment="1">
      <alignment horizontal="center" vertical="center"/>
    </xf>
    <xf numFmtId="0" fontId="16" fillId="0" borderId="12" xfId="0" applyFont="1" applyFill="1" applyBorder="1" applyAlignment="1">
      <alignment horizontal="center" vertical="center"/>
    </xf>
    <xf numFmtId="3" fontId="0" fillId="0" borderId="12" xfId="0" applyNumberFormat="1" applyFill="1" applyBorder="1" applyAlignment="1">
      <alignment vertical="center"/>
    </xf>
    <xf numFmtId="4" fontId="0" fillId="0" borderId="12" xfId="0" applyNumberFormat="1" applyBorder="1" applyAlignment="1">
      <alignment vertical="center"/>
    </xf>
    <xf numFmtId="3" fontId="0" fillId="0" borderId="12" xfId="0" applyNumberFormat="1" applyBorder="1" applyAlignment="1">
      <alignment vertical="center"/>
    </xf>
    <xf numFmtId="0" fontId="0" fillId="0" borderId="12" xfId="0" applyBorder="1" applyAlignment="1">
      <alignment vertical="center"/>
    </xf>
    <xf numFmtId="0" fontId="12" fillId="0" borderId="12" xfId="0" applyFont="1" applyBorder="1" applyAlignment="1">
      <alignment horizontal="center" vertical="center"/>
    </xf>
    <xf numFmtId="0" fontId="21" fillId="0" borderId="12" xfId="0" applyFont="1" applyBorder="1" applyAlignment="1">
      <alignment vertical="center"/>
    </xf>
    <xf numFmtId="193" fontId="19" fillId="0" borderId="12" xfId="0" applyNumberFormat="1" applyFont="1" applyBorder="1" applyAlignment="1">
      <alignment horizontal="right" vertical="center" indent="1"/>
    </xf>
    <xf numFmtId="192" fontId="20" fillId="0" borderId="12" xfId="0" applyNumberFormat="1" applyFont="1" applyBorder="1" applyAlignment="1">
      <alignment horizontal="right" vertical="center" indent="1"/>
    </xf>
    <xf numFmtId="4" fontId="10" fillId="0" borderId="12" xfId="0" applyNumberFormat="1" applyFont="1" applyFill="1" applyBorder="1" applyAlignment="1">
      <alignment horizontal="right" vertical="center"/>
    </xf>
    <xf numFmtId="0" fontId="0" fillId="0" borderId="10" xfId="0" applyBorder="1" applyAlignment="1">
      <alignment vertical="center"/>
    </xf>
    <xf numFmtId="0" fontId="12" fillId="0" borderId="10" xfId="0" applyFont="1" applyBorder="1" applyAlignment="1">
      <alignment horizontal="center" vertical="center"/>
    </xf>
    <xf numFmtId="0" fontId="21" fillId="0" borderId="10" xfId="0" applyFont="1" applyBorder="1" applyAlignment="1">
      <alignment vertical="center"/>
    </xf>
    <xf numFmtId="200" fontId="19" fillId="0" borderId="10" xfId="0" applyNumberFormat="1" applyFont="1" applyBorder="1" applyAlignment="1">
      <alignment horizontal="right" vertical="center"/>
    </xf>
    <xf numFmtId="193" fontId="19" fillId="0" borderId="10" xfId="0" applyNumberFormat="1" applyFont="1" applyBorder="1" applyAlignment="1">
      <alignment horizontal="right" vertical="center" indent="1"/>
    </xf>
    <xf numFmtId="192" fontId="20" fillId="0" borderId="10" xfId="0" applyNumberFormat="1" applyFont="1" applyBorder="1" applyAlignment="1">
      <alignment horizontal="right" vertical="center" indent="1"/>
    </xf>
    <xf numFmtId="0" fontId="46" fillId="0" borderId="40" xfId="0" applyFont="1" applyBorder="1" applyAlignment="1">
      <alignment horizontal="right" vertical="center"/>
    </xf>
    <xf numFmtId="0" fontId="45" fillId="0" borderId="16" xfId="0" applyFont="1" applyFill="1" applyBorder="1" applyAlignment="1">
      <alignment horizontal="center" vertical="center"/>
    </xf>
    <xf numFmtId="0" fontId="46" fillId="0" borderId="25" xfId="0" applyFont="1" applyFill="1" applyBorder="1" applyAlignment="1">
      <alignment horizontal="right" vertical="center"/>
    </xf>
    <xf numFmtId="0" fontId="46" fillId="0" borderId="12" xfId="0" applyFont="1" applyBorder="1" applyAlignment="1">
      <alignment horizontal="right" vertical="center"/>
    </xf>
    <xf numFmtId="4" fontId="27" fillId="0" borderId="18" xfId="0" applyNumberFormat="1" applyFont="1" applyFill="1" applyBorder="1" applyAlignment="1">
      <alignment horizontal="right" vertical="center"/>
    </xf>
    <xf numFmtId="4" fontId="32" fillId="0" borderId="18" xfId="0" applyNumberFormat="1" applyFont="1" applyFill="1" applyBorder="1" applyAlignment="1">
      <alignment horizontal="right" vertical="center"/>
    </xf>
    <xf numFmtId="0" fontId="57" fillId="0" borderId="18" xfId="0" applyFont="1" applyFill="1" applyBorder="1" applyAlignment="1" applyProtection="1">
      <alignment horizontal="center" vertical="center"/>
      <protection locked="0"/>
    </xf>
    <xf numFmtId="0" fontId="57" fillId="0" borderId="18" xfId="0" applyFont="1" applyFill="1" applyBorder="1" applyAlignment="1">
      <alignment/>
    </xf>
    <xf numFmtId="0" fontId="57" fillId="0" borderId="18" xfId="0" applyFont="1" applyFill="1" applyBorder="1" applyAlignment="1" applyProtection="1">
      <alignment vertical="center"/>
      <protection locked="0"/>
    </xf>
    <xf numFmtId="0" fontId="10" fillId="0" borderId="18" xfId="0" applyFont="1" applyFill="1" applyBorder="1" applyAlignment="1">
      <alignment vertical="center"/>
    </xf>
    <xf numFmtId="0" fontId="55" fillId="0" borderId="12" xfId="0" applyFont="1" applyFill="1" applyBorder="1" applyAlignment="1" applyProtection="1">
      <alignment vertical="center"/>
      <protection locked="0"/>
    </xf>
    <xf numFmtId="0" fontId="36" fillId="0" borderId="27" xfId="0" applyFont="1" applyFill="1" applyBorder="1" applyAlignment="1">
      <alignment horizontal="right"/>
    </xf>
    <xf numFmtId="0" fontId="46" fillId="0" borderId="15" xfId="0" applyFont="1" applyFill="1" applyBorder="1" applyAlignment="1">
      <alignment horizontal="right" vertical="center"/>
    </xf>
    <xf numFmtId="184" fontId="17" fillId="0" borderId="22" xfId="0" applyNumberFormat="1" applyFont="1" applyFill="1" applyBorder="1" applyAlignment="1" applyProtection="1">
      <alignment horizontal="left" vertical="center"/>
      <protection locked="0"/>
    </xf>
    <xf numFmtId="4" fontId="19" fillId="0" borderId="12" xfId="0" applyNumberFormat="1" applyFont="1" applyBorder="1" applyAlignment="1">
      <alignment horizontal="right" vertical="center"/>
    </xf>
    <xf numFmtId="184" fontId="17" fillId="0" borderId="10" xfId="0" applyNumberFormat="1" applyFont="1" applyFill="1" applyBorder="1" applyAlignment="1" applyProtection="1">
      <alignment horizontal="left" vertical="center"/>
      <protection locked="0"/>
    </xf>
    <xf numFmtId="4" fontId="19" fillId="0" borderId="10" xfId="0" applyNumberFormat="1" applyFont="1" applyBorder="1" applyAlignment="1">
      <alignment horizontal="right" vertical="center"/>
    </xf>
    <xf numFmtId="200" fontId="16" fillId="0" borderId="31" xfId="0" applyNumberFormat="1" applyFont="1" applyFill="1" applyBorder="1" applyAlignment="1" applyProtection="1">
      <alignment horizontal="center" wrapText="1"/>
      <protection/>
    </xf>
    <xf numFmtId="193" fontId="16" fillId="0" borderId="31" xfId="0" applyNumberFormat="1" applyFont="1" applyFill="1" applyBorder="1" applyAlignment="1" applyProtection="1">
      <alignment horizontal="center" wrapText="1"/>
      <protection/>
    </xf>
    <xf numFmtId="192" fontId="16" fillId="0" borderId="31" xfId="0" applyNumberFormat="1" applyFont="1" applyFill="1" applyBorder="1" applyAlignment="1" applyProtection="1">
      <alignment horizontal="center" wrapText="1"/>
      <protection/>
    </xf>
    <xf numFmtId="192" fontId="16" fillId="0" borderId="39" xfId="0" applyNumberFormat="1" applyFont="1" applyFill="1" applyBorder="1" applyAlignment="1" applyProtection="1">
      <alignment horizontal="center" wrapText="1"/>
      <protection/>
    </xf>
    <xf numFmtId="4" fontId="19" fillId="0" borderId="22" xfId="0" applyNumberFormat="1" applyFont="1" applyBorder="1" applyAlignment="1">
      <alignment horizontal="right" vertical="center"/>
    </xf>
    <xf numFmtId="0" fontId="17" fillId="0" borderId="17" xfId="0" applyFont="1" applyBorder="1" applyAlignment="1">
      <alignment horizontal="left" vertical="center"/>
    </xf>
    <xf numFmtId="4" fontId="19" fillId="0" borderId="17" xfId="0" applyNumberFormat="1" applyFont="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0" fontId="29" fillId="35" borderId="41" xfId="0" applyFont="1" applyFill="1" applyBorder="1" applyAlignment="1">
      <alignment horizontal="left" vertical="center"/>
    </xf>
    <xf numFmtId="184" fontId="17" fillId="35" borderId="19" xfId="0" applyNumberFormat="1" applyFont="1" applyFill="1" applyBorder="1" applyAlignment="1">
      <alignment horizontal="center" vertical="center"/>
    </xf>
    <xf numFmtId="14" fontId="17" fillId="35" borderId="19" xfId="0" applyNumberFormat="1" applyFont="1" applyFill="1" applyBorder="1" applyAlignment="1">
      <alignment vertical="center"/>
    </xf>
    <xf numFmtId="0" fontId="21" fillId="35" borderId="19" xfId="0" applyFont="1" applyFill="1" applyBorder="1" applyAlignment="1">
      <alignment horizontal="right" vertical="center"/>
    </xf>
    <xf numFmtId="4" fontId="19" fillId="35" borderId="19" xfId="0" applyNumberFormat="1" applyFont="1" applyFill="1" applyBorder="1" applyAlignment="1">
      <alignment horizontal="right" vertical="center"/>
    </xf>
    <xf numFmtId="3" fontId="19" fillId="35" borderId="19" xfId="0" applyNumberFormat="1" applyFont="1" applyFill="1" applyBorder="1" applyAlignment="1">
      <alignment horizontal="right" vertical="center"/>
    </xf>
    <xf numFmtId="3" fontId="34" fillId="35" borderId="19" xfId="0" applyNumberFormat="1" applyFont="1" applyFill="1" applyBorder="1" applyAlignment="1">
      <alignment horizontal="right" vertical="center"/>
    </xf>
    <xf numFmtId="2" fontId="34" fillId="35" borderId="19" xfId="0" applyNumberFormat="1" applyFont="1" applyFill="1" applyBorder="1" applyAlignment="1">
      <alignment vertical="center"/>
    </xf>
    <xf numFmtId="4" fontId="34" fillId="35" borderId="19" xfId="0" applyNumberFormat="1" applyFont="1" applyFill="1" applyBorder="1" applyAlignment="1">
      <alignment horizontal="right" vertical="center"/>
    </xf>
    <xf numFmtId="2" fontId="34" fillId="0" borderId="35" xfId="0" applyNumberFormat="1" applyFont="1" applyFill="1" applyBorder="1" applyAlignment="1">
      <alignment vertical="center"/>
    </xf>
    <xf numFmtId="0" fontId="36" fillId="0" borderId="42" xfId="0" applyFont="1" applyFill="1" applyBorder="1" applyAlignment="1" applyProtection="1">
      <alignment horizontal="right" vertical="center"/>
      <protection locked="0"/>
    </xf>
    <xf numFmtId="0" fontId="57" fillId="0" borderId="27" xfId="0" applyFont="1" applyFill="1" applyBorder="1" applyAlignment="1" applyProtection="1">
      <alignment vertical="center"/>
      <protection locked="0"/>
    </xf>
    <xf numFmtId="0" fontId="57" fillId="0" borderId="27" xfId="0" applyFont="1" applyFill="1" applyBorder="1" applyAlignment="1">
      <alignment vertical="center"/>
    </xf>
    <xf numFmtId="0" fontId="57" fillId="0" borderId="27" xfId="0" applyFont="1" applyFill="1" applyBorder="1" applyAlignment="1">
      <alignment/>
    </xf>
    <xf numFmtId="0" fontId="57" fillId="0" borderId="27" xfId="0" applyFont="1" applyBorder="1" applyAlignment="1">
      <alignment/>
    </xf>
    <xf numFmtId="0" fontId="53" fillId="0" borderId="27" xfId="0" applyFont="1" applyFill="1" applyBorder="1" applyAlignment="1">
      <alignment/>
    </xf>
    <xf numFmtId="0" fontId="63" fillId="0" borderId="18" xfId="0" applyFont="1" applyFill="1" applyBorder="1" applyAlignment="1" applyProtection="1">
      <alignment vertical="center"/>
      <protection locked="0"/>
    </xf>
    <xf numFmtId="0" fontId="18" fillId="0" borderId="43" xfId="0" applyFont="1" applyFill="1" applyBorder="1" applyAlignment="1">
      <alignment vertical="center"/>
    </xf>
    <xf numFmtId="0" fontId="18" fillId="0" borderId="43" xfId="0" applyFont="1" applyFill="1" applyBorder="1" applyAlignment="1">
      <alignment horizontal="center" vertical="center"/>
    </xf>
    <xf numFmtId="200" fontId="16" fillId="0" borderId="43" xfId="0" applyNumberFormat="1" applyFont="1" applyFill="1" applyBorder="1" applyAlignment="1">
      <alignment horizontal="right" vertical="center"/>
    </xf>
    <xf numFmtId="193" fontId="16" fillId="0" borderId="43" xfId="0" applyNumberFormat="1" applyFont="1" applyFill="1" applyBorder="1" applyAlignment="1">
      <alignment horizontal="right" vertical="center" indent="1"/>
    </xf>
    <xf numFmtId="192" fontId="18" fillId="0" borderId="44" xfId="0" applyNumberFormat="1" applyFont="1" applyFill="1" applyBorder="1" applyAlignment="1">
      <alignment horizontal="right" vertical="center" indent="1"/>
    </xf>
    <xf numFmtId="184" fontId="17"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21" fillId="0" borderId="0" xfId="0" applyFont="1" applyFill="1" applyBorder="1" applyAlignment="1">
      <alignment horizontal="right" vertical="center"/>
    </xf>
    <xf numFmtId="4" fontId="33"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0" fontId="17" fillId="0" borderId="0" xfId="0" applyFont="1" applyFill="1" applyBorder="1" applyAlignment="1" applyProtection="1">
      <alignment horizontal="left" vertical="center"/>
      <protection locked="0"/>
    </xf>
    <xf numFmtId="184" fontId="17" fillId="0"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3" fontId="33" fillId="0" borderId="0" xfId="0" applyNumberFormat="1" applyFont="1" applyFill="1" applyBorder="1" applyAlignment="1">
      <alignment horizontal="right" vertical="center"/>
    </xf>
    <xf numFmtId="0" fontId="21" fillId="0" borderId="0" xfId="0" applyFont="1" applyFill="1" applyBorder="1" applyAlignment="1">
      <alignment vertical="center"/>
    </xf>
    <xf numFmtId="4" fontId="33" fillId="0" borderId="0" xfId="0" applyNumberFormat="1" applyFont="1" applyFill="1" applyBorder="1" applyAlignment="1">
      <alignment vertical="center"/>
    </xf>
    <xf numFmtId="3" fontId="33" fillId="0" borderId="0" xfId="0" applyNumberFormat="1" applyFont="1" applyFill="1" applyBorder="1" applyAlignment="1">
      <alignment vertical="center"/>
    </xf>
    <xf numFmtId="0" fontId="29" fillId="0" borderId="14" xfId="0" applyFont="1" applyFill="1" applyBorder="1" applyAlignment="1" applyProtection="1">
      <alignment horizontal="left" vertical="center"/>
      <protection locked="0"/>
    </xf>
    <xf numFmtId="2" fontId="34" fillId="0" borderId="45" xfId="0" applyNumberFormat="1" applyFont="1" applyFill="1" applyBorder="1" applyAlignment="1">
      <alignment horizontal="right" vertical="center"/>
    </xf>
    <xf numFmtId="0" fontId="29" fillId="0" borderId="14" xfId="0" applyFont="1" applyFill="1" applyBorder="1" applyAlignment="1" applyProtection="1">
      <alignment vertical="center"/>
      <protection locked="0"/>
    </xf>
    <xf numFmtId="0" fontId="29" fillId="0" borderId="14" xfId="0" applyFont="1" applyFill="1" applyBorder="1" applyAlignment="1">
      <alignment horizontal="left" vertical="center"/>
    </xf>
    <xf numFmtId="0" fontId="29" fillId="0" borderId="46" xfId="0" applyFont="1" applyFill="1" applyBorder="1" applyAlignment="1" applyProtection="1">
      <alignment horizontal="left" vertical="center"/>
      <protection locked="0"/>
    </xf>
    <xf numFmtId="184" fontId="17" fillId="0" borderId="47" xfId="0" applyNumberFormat="1" applyFont="1" applyFill="1" applyBorder="1" applyAlignment="1">
      <alignment horizontal="center" vertical="center"/>
    </xf>
    <xf numFmtId="0" fontId="17" fillId="0" borderId="47" xfId="0" applyFont="1" applyFill="1" applyBorder="1" applyAlignment="1" applyProtection="1">
      <alignment horizontal="left" vertical="center"/>
      <protection locked="0"/>
    </xf>
    <xf numFmtId="0" fontId="21" fillId="0" borderId="47" xfId="0" applyFont="1" applyFill="1" applyBorder="1" applyAlignment="1">
      <alignment horizontal="right" vertical="center"/>
    </xf>
    <xf numFmtId="4" fontId="33" fillId="0" borderId="47" xfId="0" applyNumberFormat="1" applyFont="1" applyFill="1" applyBorder="1" applyAlignment="1">
      <alignment horizontal="right" vertical="center"/>
    </xf>
    <xf numFmtId="3" fontId="33" fillId="0" borderId="47" xfId="0" applyNumberFormat="1" applyFont="1" applyFill="1" applyBorder="1" applyAlignment="1">
      <alignment horizontal="right" vertical="center"/>
    </xf>
    <xf numFmtId="2" fontId="34" fillId="0" borderId="48" xfId="0" applyNumberFormat="1" applyFont="1" applyFill="1" applyBorder="1" applyAlignment="1">
      <alignment horizontal="right" vertical="center"/>
    </xf>
    <xf numFmtId="0" fontId="46" fillId="0" borderId="36" xfId="0" applyFont="1" applyFill="1" applyBorder="1" applyAlignment="1">
      <alignment horizontal="center" vertical="center"/>
    </xf>
    <xf numFmtId="0" fontId="46" fillId="0" borderId="46" xfId="0" applyFont="1" applyFill="1" applyBorder="1" applyAlignment="1">
      <alignment horizontal="right" vertical="center"/>
    </xf>
    <xf numFmtId="0" fontId="29" fillId="0" borderId="46" xfId="0" applyFont="1" applyFill="1" applyBorder="1" applyAlignment="1" applyProtection="1">
      <alignment vertical="center"/>
      <protection locked="0"/>
    </xf>
    <xf numFmtId="200" fontId="16" fillId="0" borderId="47" xfId="0" applyNumberFormat="1" applyFont="1" applyFill="1" applyBorder="1" applyAlignment="1" applyProtection="1">
      <alignment horizontal="center" vertical="center" wrapText="1"/>
      <protection/>
    </xf>
    <xf numFmtId="193" fontId="16" fillId="0" borderId="47" xfId="0" applyNumberFormat="1" applyFont="1" applyFill="1" applyBorder="1" applyAlignment="1" applyProtection="1">
      <alignment horizontal="center" vertical="center" wrapText="1"/>
      <protection/>
    </xf>
    <xf numFmtId="3" fontId="19" fillId="0" borderId="22" xfId="0" applyNumberFormat="1" applyFont="1" applyBorder="1" applyAlignment="1">
      <alignment vertical="center"/>
    </xf>
    <xf numFmtId="3" fontId="34" fillId="0" borderId="22" xfId="0" applyNumberFormat="1" applyFont="1" applyFill="1" applyBorder="1" applyAlignment="1">
      <alignment vertical="center"/>
    </xf>
    <xf numFmtId="2" fontId="34" fillId="0" borderId="22" xfId="0" applyNumberFormat="1" applyFont="1" applyFill="1" applyBorder="1" applyAlignment="1">
      <alignment vertical="center"/>
    </xf>
    <xf numFmtId="4" fontId="34" fillId="0" borderId="22" xfId="0" applyNumberFormat="1" applyFont="1" applyFill="1" applyBorder="1" applyAlignment="1">
      <alignment vertical="center"/>
    </xf>
    <xf numFmtId="2" fontId="34" fillId="0" borderId="49" xfId="0" applyNumberFormat="1" applyFont="1" applyFill="1" applyBorder="1" applyAlignment="1">
      <alignment vertical="center"/>
    </xf>
    <xf numFmtId="3" fontId="19" fillId="0" borderId="12" xfId="0" applyNumberFormat="1" applyFont="1" applyBorder="1" applyAlignment="1">
      <alignment vertical="center"/>
    </xf>
    <xf numFmtId="3" fontId="34" fillId="0" borderId="12" xfId="0" applyNumberFormat="1" applyFont="1" applyFill="1" applyBorder="1" applyAlignment="1">
      <alignment vertical="center"/>
    </xf>
    <xf numFmtId="2" fontId="34" fillId="0" borderId="12" xfId="0" applyNumberFormat="1" applyFont="1" applyFill="1" applyBorder="1" applyAlignment="1">
      <alignment vertical="center"/>
    </xf>
    <xf numFmtId="4" fontId="34" fillId="0" borderId="12" xfId="0" applyNumberFormat="1" applyFont="1" applyFill="1" applyBorder="1" applyAlignment="1">
      <alignment vertical="center"/>
    </xf>
    <xf numFmtId="2" fontId="34" fillId="0" borderId="50" xfId="0" applyNumberFormat="1" applyFont="1" applyFill="1" applyBorder="1" applyAlignment="1">
      <alignment vertical="center"/>
    </xf>
    <xf numFmtId="3" fontId="19" fillId="0" borderId="17" xfId="0" applyNumberFormat="1" applyFont="1" applyBorder="1" applyAlignment="1">
      <alignment vertical="center"/>
    </xf>
    <xf numFmtId="3" fontId="34" fillId="0" borderId="17" xfId="0" applyNumberFormat="1" applyFont="1" applyFill="1" applyBorder="1" applyAlignment="1">
      <alignment vertical="center"/>
    </xf>
    <xf numFmtId="2" fontId="34" fillId="0" borderId="17" xfId="0" applyNumberFormat="1" applyFont="1" applyFill="1" applyBorder="1" applyAlignment="1">
      <alignment vertical="center"/>
    </xf>
    <xf numFmtId="4" fontId="34" fillId="0" borderId="17" xfId="0" applyNumberFormat="1" applyFont="1" applyFill="1" applyBorder="1" applyAlignment="1">
      <alignment vertical="center"/>
    </xf>
    <xf numFmtId="2" fontId="34" fillId="0" borderId="51" xfId="0" applyNumberFormat="1" applyFont="1" applyFill="1" applyBorder="1" applyAlignment="1">
      <alignment vertical="center"/>
    </xf>
    <xf numFmtId="3" fontId="19" fillId="0" borderId="10" xfId="0" applyNumberFormat="1" applyFont="1" applyBorder="1" applyAlignment="1">
      <alignment vertical="center"/>
    </xf>
    <xf numFmtId="3" fontId="34" fillId="0" borderId="10" xfId="0" applyNumberFormat="1" applyFont="1" applyFill="1" applyBorder="1" applyAlignment="1">
      <alignment vertical="center"/>
    </xf>
    <xf numFmtId="2" fontId="34" fillId="0" borderId="10" xfId="0" applyNumberFormat="1" applyFont="1" applyFill="1" applyBorder="1" applyAlignment="1">
      <alignment vertical="center"/>
    </xf>
    <xf numFmtId="4" fontId="34" fillId="0" borderId="10" xfId="0" applyNumberFormat="1" applyFont="1" applyFill="1" applyBorder="1" applyAlignment="1">
      <alignment vertical="center"/>
    </xf>
    <xf numFmtId="2" fontId="34" fillId="0" borderId="52" xfId="0" applyNumberFormat="1" applyFont="1" applyFill="1" applyBorder="1" applyAlignment="1">
      <alignment vertical="center"/>
    </xf>
    <xf numFmtId="0" fontId="6" fillId="0" borderId="12" xfId="0" applyNumberFormat="1" applyFont="1" applyFill="1" applyBorder="1" applyAlignment="1" applyProtection="1">
      <alignment horizontal="right" vertical="center" wrapText="1"/>
      <protection locked="0"/>
    </xf>
    <xf numFmtId="0" fontId="0" fillId="0" borderId="12" xfId="0" applyBorder="1" applyAlignment="1">
      <alignment/>
    </xf>
    <xf numFmtId="0" fontId="6" fillId="0" borderId="12" xfId="0" applyFont="1" applyBorder="1" applyAlignment="1">
      <alignment horizontal="right" vertical="center" wrapText="1"/>
    </xf>
    <xf numFmtId="0" fontId="27" fillId="33" borderId="10" xfId="0" applyFont="1" applyFill="1" applyBorder="1" applyAlignment="1">
      <alignment horizontal="center" vertical="center"/>
    </xf>
    <xf numFmtId="0" fontId="18" fillId="0" borderId="10" xfId="0" applyFont="1" applyBorder="1" applyAlignment="1">
      <alignment horizontal="center"/>
    </xf>
    <xf numFmtId="0" fontId="37" fillId="0" borderId="12" xfId="0" applyFont="1" applyBorder="1" applyAlignment="1" applyProtection="1">
      <alignment horizontal="right" vertical="center" wrapText="1"/>
      <protection locked="0"/>
    </xf>
    <xf numFmtId="0" fontId="15" fillId="0" borderId="12" xfId="0" applyFont="1" applyBorder="1" applyAlignment="1">
      <alignment/>
    </xf>
    <xf numFmtId="0" fontId="38" fillId="0" borderId="12" xfId="0" applyFont="1" applyBorder="1" applyAlignment="1" applyProtection="1">
      <alignment horizontal="right" vertical="center" wrapText="1"/>
      <protection locked="0"/>
    </xf>
    <xf numFmtId="0" fontId="13" fillId="33" borderId="53" xfId="0" applyFont="1" applyFill="1" applyBorder="1" applyAlignment="1" applyProtection="1">
      <alignment horizontal="center" vertical="center"/>
      <protection/>
    </xf>
    <xf numFmtId="0" fontId="14" fillId="0" borderId="54" xfId="0" applyFont="1" applyBorder="1" applyAlignment="1">
      <alignment/>
    </xf>
    <xf numFmtId="0" fontId="14" fillId="0" borderId="55" xfId="0" applyFont="1" applyBorder="1" applyAlignment="1">
      <alignment/>
    </xf>
    <xf numFmtId="181" fontId="16" fillId="0" borderId="33" xfId="0" applyNumberFormat="1" applyFont="1" applyFill="1" applyBorder="1" applyAlignment="1" applyProtection="1">
      <alignment horizontal="center" wrapText="1"/>
      <protection/>
    </xf>
    <xf numFmtId="0" fontId="18" fillId="0" borderId="33" xfId="0" applyFont="1" applyBorder="1" applyAlignment="1">
      <alignment horizontal="center"/>
    </xf>
    <xf numFmtId="0" fontId="18" fillId="0" borderId="34" xfId="0" applyFont="1" applyBorder="1" applyAlignment="1">
      <alignment horizontal="center"/>
    </xf>
    <xf numFmtId="0" fontId="16" fillId="0" borderId="33" xfId="0" applyNumberFormat="1" applyFont="1" applyFill="1" applyBorder="1" applyAlignment="1" applyProtection="1">
      <alignment horizontal="center" wrapText="1"/>
      <protection/>
    </xf>
    <xf numFmtId="0" fontId="18" fillId="0" borderId="31" xfId="0" applyFont="1" applyBorder="1" applyAlignment="1">
      <alignment horizontal="center"/>
    </xf>
    <xf numFmtId="171" fontId="16" fillId="0" borderId="32" xfId="43" applyFont="1" applyFill="1" applyBorder="1" applyAlignment="1" applyProtection="1">
      <alignment horizontal="center" wrapText="1"/>
      <protection/>
    </xf>
    <xf numFmtId="0" fontId="18" fillId="0" borderId="30" xfId="0" applyFont="1" applyBorder="1" applyAlignment="1">
      <alignment horizontal="center"/>
    </xf>
    <xf numFmtId="0" fontId="16" fillId="0" borderId="33" xfId="0" applyFont="1" applyFill="1" applyBorder="1" applyAlignment="1" applyProtection="1">
      <alignment horizontal="center" wrapText="1"/>
      <protection/>
    </xf>
    <xf numFmtId="4" fontId="16" fillId="0" borderId="33" xfId="0" applyNumberFormat="1" applyFont="1" applyFill="1" applyBorder="1" applyAlignment="1" applyProtection="1">
      <alignment horizontal="center" wrapText="1"/>
      <protection/>
    </xf>
    <xf numFmtId="184" fontId="16" fillId="0" borderId="33" xfId="0" applyNumberFormat="1" applyFont="1" applyFill="1" applyBorder="1" applyAlignment="1" applyProtection="1">
      <alignment horizontal="center" wrapText="1"/>
      <protection/>
    </xf>
    <xf numFmtId="0" fontId="47" fillId="36" borderId="54" xfId="0" applyFont="1" applyFill="1" applyBorder="1" applyAlignment="1">
      <alignment horizontal="center" vertical="center" wrapText="1"/>
    </xf>
    <xf numFmtId="0" fontId="42" fillId="36" borderId="54" xfId="0"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46" xfId="0" applyNumberFormat="1" applyFont="1" applyFill="1" applyBorder="1" applyAlignment="1">
      <alignment horizontal="center" vertical="center" wrapText="1"/>
    </xf>
    <xf numFmtId="0" fontId="16" fillId="0" borderId="56" xfId="0" applyNumberFormat="1" applyFont="1" applyFill="1" applyBorder="1" applyAlignment="1">
      <alignment horizontal="center" vertical="center" wrapText="1"/>
    </xf>
    <xf numFmtId="0" fontId="16" fillId="0" borderId="47" xfId="0" applyNumberFormat="1" applyFont="1" applyFill="1" applyBorder="1" applyAlignment="1">
      <alignment horizontal="center" vertical="center" wrapText="1"/>
    </xf>
    <xf numFmtId="0" fontId="16" fillId="0" borderId="56" xfId="0" applyNumberFormat="1" applyFont="1" applyFill="1" applyBorder="1" applyAlignment="1" applyProtection="1">
      <alignment vertical="center" wrapText="1"/>
      <protection/>
    </xf>
    <xf numFmtId="0" fontId="16" fillId="0" borderId="47" xfId="0" applyNumberFormat="1" applyFont="1" applyFill="1" applyBorder="1" applyAlignment="1" applyProtection="1">
      <alignment vertical="center" wrapText="1"/>
      <protection/>
    </xf>
    <xf numFmtId="0" fontId="16" fillId="0" borderId="56" xfId="0" applyNumberFormat="1" applyFont="1" applyFill="1" applyBorder="1" applyAlignment="1" applyProtection="1">
      <alignment horizontal="center" vertical="center" wrapText="1"/>
      <protection/>
    </xf>
    <xf numFmtId="192" fontId="16" fillId="0" borderId="57" xfId="0" applyNumberFormat="1" applyFont="1" applyFill="1" applyBorder="1" applyAlignment="1" applyProtection="1">
      <alignment horizontal="center" vertical="center" wrapText="1"/>
      <protection/>
    </xf>
    <xf numFmtId="192" fontId="16" fillId="0" borderId="48" xfId="0" applyNumberFormat="1" applyFont="1" applyFill="1" applyBorder="1" applyAlignment="1" applyProtection="1">
      <alignment horizontal="center" vertical="center" wrapText="1"/>
      <protection/>
    </xf>
    <xf numFmtId="0" fontId="16" fillId="0" borderId="33" xfId="0" applyNumberFormat="1" applyFont="1" applyFill="1" applyBorder="1" applyAlignment="1" applyProtection="1">
      <alignment horizontal="center" vertical="center" wrapText="1"/>
      <protection/>
    </xf>
    <xf numFmtId="0" fontId="16" fillId="0" borderId="19" xfId="0" applyFont="1" applyBorder="1" applyAlignment="1">
      <alignment horizontal="center" vertical="center"/>
    </xf>
    <xf numFmtId="2" fontId="39" fillId="36" borderId="47" xfId="0" applyNumberFormat="1" applyFont="1" applyFill="1" applyBorder="1" applyAlignment="1">
      <alignment horizontal="center" vertical="center" wrapText="1"/>
    </xf>
    <xf numFmtId="2" fontId="42" fillId="36" borderId="0" xfId="0" applyNumberFormat="1" applyFont="1" applyFill="1" applyBorder="1" applyAlignment="1">
      <alignment vertical="center" wrapText="1"/>
    </xf>
    <xf numFmtId="2" fontId="16" fillId="36" borderId="0" xfId="0" applyNumberFormat="1" applyFont="1" applyFill="1" applyBorder="1" applyAlignment="1">
      <alignment wrapText="1"/>
    </xf>
    <xf numFmtId="171" fontId="18" fillId="0" borderId="32" xfId="43" applyFont="1" applyFill="1" applyBorder="1" applyAlignment="1" applyProtection="1">
      <alignment horizontal="center" vertical="center" wrapText="1"/>
      <protection/>
    </xf>
    <xf numFmtId="0" fontId="18" fillId="0" borderId="41" xfId="0" applyFont="1" applyBorder="1" applyAlignment="1">
      <alignment horizontal="center" vertical="center"/>
    </xf>
    <xf numFmtId="184" fontId="16" fillId="0" borderId="33" xfId="0" applyNumberFormat="1" applyFont="1" applyFill="1" applyBorder="1" applyAlignment="1" applyProtection="1">
      <alignment horizontal="center" vertical="center" wrapText="1"/>
      <protection/>
    </xf>
    <xf numFmtId="184" fontId="16" fillId="0" borderId="19" xfId="0" applyNumberFormat="1" applyFont="1" applyBorder="1" applyAlignment="1">
      <alignment horizontal="center" vertical="center"/>
    </xf>
    <xf numFmtId="0" fontId="16" fillId="0" borderId="33" xfId="0" applyFont="1" applyFill="1" applyBorder="1" applyAlignment="1" applyProtection="1">
      <alignment horizontal="center" vertical="center" wrapText="1"/>
      <protection/>
    </xf>
    <xf numFmtId="0" fontId="16" fillId="0" borderId="19" xfId="0" applyFont="1" applyBorder="1" applyAlignment="1">
      <alignment horizontal="center" vertical="center" wrapText="1"/>
    </xf>
    <xf numFmtId="2" fontId="16" fillId="0" borderId="33" xfId="0" applyNumberFormat="1" applyFont="1" applyFill="1" applyBorder="1" applyAlignment="1" applyProtection="1">
      <alignment horizontal="center" vertical="center" wrapText="1"/>
      <protection/>
    </xf>
    <xf numFmtId="2" fontId="16" fillId="0" borderId="34"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1171575</xdr:rowOff>
    </xdr:to>
    <xdr:sp>
      <xdr:nvSpPr>
        <xdr:cNvPr id="1" name="Text Box 1"/>
        <xdr:cNvSpPr txBox="1">
          <a:spLocks noChangeArrowheads="1"/>
        </xdr:cNvSpPr>
      </xdr:nvSpPr>
      <xdr:spPr>
        <a:xfrm>
          <a:off x="0" y="19050"/>
          <a:ext cx="12306300" cy="115252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9525</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9648825" y="600075"/>
          <a:ext cx="2562225" cy="46672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Bookman Old Style"/>
              <a:ea typeface="Bookman Old Style"/>
              <a:cs typeface="Bookman Old Style"/>
            </a:rPr>
            <a:t>WEEK: 18
</a:t>
          </a:r>
          <a:r>
            <a:rPr lang="en-US" cap="none" sz="1200" b="0" i="0" u="none" baseline="0">
              <a:solidFill>
                <a:srgbClr val="000000"/>
              </a:solidFill>
              <a:latin typeface="Bookman Old Style"/>
              <a:ea typeface="Bookman Old Style"/>
              <a:cs typeface="Bookman Old Style"/>
            </a:rPr>
            <a:t>  30 APRIL - 06 MAY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43"/>
  <sheetViews>
    <sheetView showGridLines="0" tabSelected="1" zoomScale="92" zoomScaleNormal="92" zoomScalePageLayoutView="0" workbookViewId="0" topLeftCell="A1">
      <selection activeCell="B3" sqref="B3:B4"/>
    </sheetView>
  </sheetViews>
  <sheetFormatPr defaultColWidth="9.140625" defaultRowHeight="12.75"/>
  <cols>
    <col min="1" max="1" width="5.140625" style="148" bestFit="1" customWidth="1"/>
    <col min="2" max="2" width="65.8515625" style="177" bestFit="1" customWidth="1"/>
    <col min="3" max="3" width="7.28125" style="178" bestFit="1" customWidth="1"/>
    <col min="4" max="4" width="12.421875" style="179" bestFit="1" customWidth="1"/>
    <col min="5" max="5" width="6.00390625" style="152" bestFit="1" customWidth="1"/>
    <col min="6" max="6" width="6.421875" style="152" bestFit="1" customWidth="1"/>
    <col min="7" max="7" width="6.8515625" style="152" customWidth="1"/>
    <col min="8" max="8" width="16.140625" style="174" bestFit="1" customWidth="1"/>
    <col min="9" max="9" width="10.57421875" style="175" bestFit="1" customWidth="1"/>
    <col min="10" max="10" width="7.8515625" style="155" customWidth="1"/>
    <col min="11" max="11" width="6.57421875" style="156" bestFit="1" customWidth="1"/>
    <col min="12" max="12" width="15.140625" style="176" bestFit="1" customWidth="1"/>
    <col min="13" max="13" width="10.8515625" style="158" bestFit="1" customWidth="1"/>
    <col min="14" max="14" width="7.421875" style="197" bestFit="1" customWidth="1"/>
    <col min="15" max="15" width="2.421875" style="270" bestFit="1" customWidth="1"/>
    <col min="16" max="16384" width="9.140625" style="3" customWidth="1"/>
  </cols>
  <sheetData>
    <row r="1" spans="1:15" s="1" customFormat="1" ht="99" customHeight="1">
      <c r="A1" s="180"/>
      <c r="B1" s="181"/>
      <c r="C1" s="182"/>
      <c r="D1" s="183"/>
      <c r="E1" s="184"/>
      <c r="F1" s="184"/>
      <c r="G1" s="184"/>
      <c r="H1" s="185"/>
      <c r="I1" s="186"/>
      <c r="J1" s="187"/>
      <c r="K1" s="188"/>
      <c r="L1" s="189"/>
      <c r="M1" s="190"/>
      <c r="N1" s="195"/>
      <c r="O1" s="266"/>
    </row>
    <row r="2" spans="1:15" s="5" customFormat="1" ht="27.75" thickBot="1">
      <c r="A2" s="417" t="s">
        <v>159</v>
      </c>
      <c r="B2" s="418"/>
      <c r="C2" s="418"/>
      <c r="D2" s="418"/>
      <c r="E2" s="418"/>
      <c r="F2" s="418"/>
      <c r="G2" s="418"/>
      <c r="H2" s="418"/>
      <c r="I2" s="418"/>
      <c r="J2" s="418"/>
      <c r="K2" s="418"/>
      <c r="L2" s="418"/>
      <c r="M2" s="418"/>
      <c r="N2" s="419"/>
      <c r="O2" s="267"/>
    </row>
    <row r="3" spans="1:15" s="252" customFormat="1" ht="12.75">
      <c r="A3" s="250"/>
      <c r="B3" s="425" t="s">
        <v>111</v>
      </c>
      <c r="C3" s="429" t="s">
        <v>149</v>
      </c>
      <c r="D3" s="427" t="s">
        <v>160</v>
      </c>
      <c r="E3" s="423" t="s">
        <v>150</v>
      </c>
      <c r="F3" s="423" t="s">
        <v>157</v>
      </c>
      <c r="G3" s="423" t="s">
        <v>158</v>
      </c>
      <c r="H3" s="428" t="s">
        <v>151</v>
      </c>
      <c r="I3" s="428"/>
      <c r="J3" s="428"/>
      <c r="K3" s="428"/>
      <c r="L3" s="420" t="s">
        <v>152</v>
      </c>
      <c r="M3" s="421"/>
      <c r="N3" s="422"/>
      <c r="O3" s="251"/>
    </row>
    <row r="4" spans="1:15" s="252" customFormat="1" ht="48" customHeight="1" thickBot="1">
      <c r="A4" s="253"/>
      <c r="B4" s="426"/>
      <c r="C4" s="424"/>
      <c r="D4" s="424"/>
      <c r="E4" s="424"/>
      <c r="F4" s="424"/>
      <c r="G4" s="424"/>
      <c r="H4" s="330" t="s">
        <v>153</v>
      </c>
      <c r="I4" s="331" t="s">
        <v>154</v>
      </c>
      <c r="J4" s="331" t="s">
        <v>143</v>
      </c>
      <c r="K4" s="332" t="s">
        <v>155</v>
      </c>
      <c r="L4" s="330" t="s">
        <v>153</v>
      </c>
      <c r="M4" s="331" t="s">
        <v>154</v>
      </c>
      <c r="N4" s="333" t="s">
        <v>156</v>
      </c>
      <c r="O4" s="251"/>
    </row>
    <row r="5" spans="1:15" s="2" customFormat="1" ht="15">
      <c r="A5" s="124">
        <v>1</v>
      </c>
      <c r="B5" s="284" t="s">
        <v>269</v>
      </c>
      <c r="C5" s="264">
        <v>40291</v>
      </c>
      <c r="D5" s="326" t="s">
        <v>162</v>
      </c>
      <c r="E5" s="254">
        <v>134</v>
      </c>
      <c r="F5" s="254">
        <v>144</v>
      </c>
      <c r="G5" s="254">
        <v>2</v>
      </c>
      <c r="H5" s="334">
        <v>513406</v>
      </c>
      <c r="I5" s="389">
        <v>44354</v>
      </c>
      <c r="J5" s="390">
        <f>I5/F5</f>
        <v>308.0138888888889</v>
      </c>
      <c r="K5" s="391">
        <f>+H5/I5</f>
        <v>11.57519051269333</v>
      </c>
      <c r="L5" s="392">
        <v>1463499</v>
      </c>
      <c r="M5" s="390">
        <v>125014</v>
      </c>
      <c r="N5" s="393">
        <f>+L5/M5</f>
        <v>11.706680851744604</v>
      </c>
      <c r="O5" s="323"/>
    </row>
    <row r="6" spans="1:15" s="2" customFormat="1" ht="15">
      <c r="A6" s="124">
        <v>2</v>
      </c>
      <c r="B6" s="263" t="s">
        <v>270</v>
      </c>
      <c r="C6" s="146">
        <v>40298</v>
      </c>
      <c r="D6" s="100" t="s">
        <v>161</v>
      </c>
      <c r="E6" s="114">
        <v>73</v>
      </c>
      <c r="F6" s="114">
        <v>73</v>
      </c>
      <c r="G6" s="114">
        <v>1</v>
      </c>
      <c r="H6" s="327">
        <v>311102</v>
      </c>
      <c r="I6" s="394">
        <v>31869</v>
      </c>
      <c r="J6" s="395">
        <f>I6/F6</f>
        <v>436.56164383561645</v>
      </c>
      <c r="K6" s="396">
        <f>H6/I6</f>
        <v>9.761900279268254</v>
      </c>
      <c r="L6" s="397">
        <v>311102</v>
      </c>
      <c r="M6" s="395">
        <v>31869</v>
      </c>
      <c r="N6" s="398">
        <f>+L6/M6</f>
        <v>9.761900279268254</v>
      </c>
      <c r="O6" s="323"/>
    </row>
    <row r="7" spans="1:15" s="2" customFormat="1" ht="15.75" thickBot="1">
      <c r="A7" s="191">
        <v>3</v>
      </c>
      <c r="B7" s="265" t="s">
        <v>235</v>
      </c>
      <c r="C7" s="194">
        <v>40263</v>
      </c>
      <c r="D7" s="335" t="s">
        <v>165</v>
      </c>
      <c r="E7" s="126">
        <v>286</v>
      </c>
      <c r="F7" s="126">
        <v>254</v>
      </c>
      <c r="G7" s="126">
        <v>6</v>
      </c>
      <c r="H7" s="336">
        <v>309649</v>
      </c>
      <c r="I7" s="399">
        <v>39817</v>
      </c>
      <c r="J7" s="400">
        <f>IF(H7&lt;&gt;0,I7/F7,"")</f>
        <v>156.75984251968504</v>
      </c>
      <c r="K7" s="401">
        <f>IF(H7&lt;&gt;0,H7/I7,"")</f>
        <v>7.776803877740663</v>
      </c>
      <c r="L7" s="402">
        <v>9265398</v>
      </c>
      <c r="M7" s="400">
        <v>1104066</v>
      </c>
      <c r="N7" s="403">
        <f>IF(L7&lt;&gt;0,L7/M7,"")</f>
        <v>8.392068952399585</v>
      </c>
      <c r="O7" s="323">
        <v>1</v>
      </c>
    </row>
    <row r="8" spans="1:15" s="2" customFormat="1" ht="15">
      <c r="A8" s="192">
        <v>4</v>
      </c>
      <c r="B8" s="263" t="s">
        <v>79</v>
      </c>
      <c r="C8" s="283">
        <v>40235</v>
      </c>
      <c r="D8" s="328" t="s">
        <v>162</v>
      </c>
      <c r="E8" s="125">
        <v>256</v>
      </c>
      <c r="F8" s="125">
        <v>136</v>
      </c>
      <c r="G8" s="125">
        <v>10</v>
      </c>
      <c r="H8" s="329">
        <v>277593</v>
      </c>
      <c r="I8" s="404">
        <v>31447</v>
      </c>
      <c r="J8" s="405">
        <f>I8/F8</f>
        <v>231.22794117647058</v>
      </c>
      <c r="K8" s="406">
        <f>+H8/I8</f>
        <v>8.827328521003594</v>
      </c>
      <c r="L8" s="407">
        <v>21025509</v>
      </c>
      <c r="M8" s="405">
        <v>2339856</v>
      </c>
      <c r="N8" s="408">
        <f>+L8/M8</f>
        <v>8.985813229532074</v>
      </c>
      <c r="O8" s="323">
        <v>1</v>
      </c>
    </row>
    <row r="9" spans="1:15" s="4" customFormat="1" ht="15">
      <c r="A9" s="124">
        <v>5</v>
      </c>
      <c r="B9" s="236" t="s">
        <v>271</v>
      </c>
      <c r="C9" s="146">
        <v>40298</v>
      </c>
      <c r="D9" s="100" t="s">
        <v>163</v>
      </c>
      <c r="E9" s="114">
        <v>50</v>
      </c>
      <c r="F9" s="114">
        <v>50</v>
      </c>
      <c r="G9" s="114">
        <v>1</v>
      </c>
      <c r="H9" s="327">
        <v>256621.5</v>
      </c>
      <c r="I9" s="394">
        <v>24531</v>
      </c>
      <c r="J9" s="395">
        <f>(I9/F9)</f>
        <v>490.62</v>
      </c>
      <c r="K9" s="396">
        <f>H9/I9</f>
        <v>10.461110431698668</v>
      </c>
      <c r="L9" s="397">
        <f>256621.5</f>
        <v>256621.5</v>
      </c>
      <c r="M9" s="395">
        <f>24531</f>
        <v>24531</v>
      </c>
      <c r="N9" s="398">
        <f>L9/M9</f>
        <v>10.461110431698668</v>
      </c>
      <c r="O9" s="323"/>
    </row>
    <row r="10" spans="1:15" s="4" customFormat="1" ht="15">
      <c r="A10" s="124">
        <v>6</v>
      </c>
      <c r="B10" s="236" t="s">
        <v>272</v>
      </c>
      <c r="C10" s="146">
        <v>40298</v>
      </c>
      <c r="D10" s="255" t="s">
        <v>162</v>
      </c>
      <c r="E10" s="114">
        <v>55</v>
      </c>
      <c r="F10" s="114">
        <v>56</v>
      </c>
      <c r="G10" s="114">
        <v>1</v>
      </c>
      <c r="H10" s="327">
        <v>251677</v>
      </c>
      <c r="I10" s="394">
        <v>23881</v>
      </c>
      <c r="J10" s="395">
        <f>I10/F10</f>
        <v>426.44642857142856</v>
      </c>
      <c r="K10" s="396">
        <f>+H10/I10</f>
        <v>10.538796532808508</v>
      </c>
      <c r="L10" s="397">
        <v>251677</v>
      </c>
      <c r="M10" s="395">
        <v>23881</v>
      </c>
      <c r="N10" s="398">
        <f>+L10/M10</f>
        <v>10.538796532808508</v>
      </c>
      <c r="O10" s="323"/>
    </row>
    <row r="11" spans="1:15" s="4" customFormat="1" ht="15">
      <c r="A11" s="124">
        <v>7</v>
      </c>
      <c r="B11" s="236" t="s">
        <v>273</v>
      </c>
      <c r="C11" s="146">
        <v>40291</v>
      </c>
      <c r="D11" s="100" t="s">
        <v>161</v>
      </c>
      <c r="E11" s="114">
        <v>71</v>
      </c>
      <c r="F11" s="114">
        <v>72</v>
      </c>
      <c r="G11" s="114">
        <v>2</v>
      </c>
      <c r="H11" s="327">
        <f>217117-6</f>
        <v>217111</v>
      </c>
      <c r="I11" s="394">
        <f>20820-1</f>
        <v>20819</v>
      </c>
      <c r="J11" s="395">
        <f>I11/F11</f>
        <v>289.15277777777777</v>
      </c>
      <c r="K11" s="396">
        <f>H11/I11</f>
        <v>10.428502809933233</v>
      </c>
      <c r="L11" s="397">
        <f>443757+217117-6</f>
        <v>660868</v>
      </c>
      <c r="M11" s="395">
        <f>41628+20820-1</f>
        <v>62447</v>
      </c>
      <c r="N11" s="398">
        <f>+L11/M11</f>
        <v>10.582862267202588</v>
      </c>
      <c r="O11" s="323"/>
    </row>
    <row r="12" spans="1:15" s="4" customFormat="1" ht="15">
      <c r="A12" s="192">
        <v>8</v>
      </c>
      <c r="B12" s="236" t="s">
        <v>274</v>
      </c>
      <c r="C12" s="146">
        <v>40298</v>
      </c>
      <c r="D12" s="255" t="s">
        <v>162</v>
      </c>
      <c r="E12" s="114">
        <v>35</v>
      </c>
      <c r="F12" s="114">
        <v>35</v>
      </c>
      <c r="G12" s="114">
        <v>1</v>
      </c>
      <c r="H12" s="327">
        <v>150405</v>
      </c>
      <c r="I12" s="394">
        <v>13220</v>
      </c>
      <c r="J12" s="395">
        <f>I12/F12</f>
        <v>377.7142857142857</v>
      </c>
      <c r="K12" s="396">
        <f>+H12/I12</f>
        <v>11.377080181543116</v>
      </c>
      <c r="L12" s="397">
        <v>150405</v>
      </c>
      <c r="M12" s="395">
        <v>13220</v>
      </c>
      <c r="N12" s="398">
        <f>+L12/M12</f>
        <v>11.377080181543116</v>
      </c>
      <c r="O12" s="323"/>
    </row>
    <row r="13" spans="1:15" s="4" customFormat="1" ht="15">
      <c r="A13" s="124">
        <v>9</v>
      </c>
      <c r="B13" s="236" t="s">
        <v>242</v>
      </c>
      <c r="C13" s="146">
        <v>40270</v>
      </c>
      <c r="D13" s="100" t="s">
        <v>161</v>
      </c>
      <c r="E13" s="114">
        <v>199</v>
      </c>
      <c r="F13" s="114">
        <v>90</v>
      </c>
      <c r="G13" s="114">
        <v>5</v>
      </c>
      <c r="H13" s="327">
        <v>146464</v>
      </c>
      <c r="I13" s="394">
        <v>16277</v>
      </c>
      <c r="J13" s="395">
        <f>I13/F13</f>
        <v>180.85555555555555</v>
      </c>
      <c r="K13" s="396">
        <f aca="true" t="shared" si="0" ref="K13:K18">H13/I13</f>
        <v>8.998218344903853</v>
      </c>
      <c r="L13" s="397">
        <f>2194390+1289237-254+748077+113+329652-3097+146464</f>
        <v>4704582</v>
      </c>
      <c r="M13" s="395">
        <f>207629+125547+73554+11+36038+16277</f>
        <v>459056</v>
      </c>
      <c r="N13" s="398">
        <f>+L13/M13</f>
        <v>10.248383639468823</v>
      </c>
      <c r="O13" s="323"/>
    </row>
    <row r="14" spans="1:15" s="4" customFormat="1" ht="15">
      <c r="A14" s="124">
        <v>10</v>
      </c>
      <c r="B14" s="236" t="s">
        <v>202</v>
      </c>
      <c r="C14" s="146">
        <v>40291</v>
      </c>
      <c r="D14" s="100" t="s">
        <v>163</v>
      </c>
      <c r="E14" s="114">
        <v>54</v>
      </c>
      <c r="F14" s="114">
        <v>54</v>
      </c>
      <c r="G14" s="114">
        <v>2</v>
      </c>
      <c r="H14" s="327">
        <v>95672</v>
      </c>
      <c r="I14" s="394">
        <v>9908</v>
      </c>
      <c r="J14" s="395">
        <f>(I14/F14)</f>
        <v>183.4814814814815</v>
      </c>
      <c r="K14" s="396">
        <f t="shared" si="0"/>
        <v>9.656035526846992</v>
      </c>
      <c r="L14" s="397">
        <f>176958+95672</f>
        <v>272630</v>
      </c>
      <c r="M14" s="395">
        <f>18263+9908</f>
        <v>28171</v>
      </c>
      <c r="N14" s="398">
        <f>L14/M14</f>
        <v>9.677682723368003</v>
      </c>
      <c r="O14" s="323">
        <v>1</v>
      </c>
    </row>
    <row r="15" spans="1:15" s="4" customFormat="1" ht="15">
      <c r="A15" s="124">
        <v>11</v>
      </c>
      <c r="B15" s="236" t="s">
        <v>230</v>
      </c>
      <c r="C15" s="146">
        <v>40256</v>
      </c>
      <c r="D15" s="100" t="s">
        <v>114</v>
      </c>
      <c r="E15" s="114">
        <v>260</v>
      </c>
      <c r="F15" s="114">
        <v>87</v>
      </c>
      <c r="G15" s="114">
        <v>7</v>
      </c>
      <c r="H15" s="327">
        <v>69417</v>
      </c>
      <c r="I15" s="394">
        <v>14634</v>
      </c>
      <c r="J15" s="395">
        <f>I15/F15</f>
        <v>168.20689655172413</v>
      </c>
      <c r="K15" s="396">
        <f t="shared" si="0"/>
        <v>4.743542435424354</v>
      </c>
      <c r="L15" s="397">
        <v>5176200.21</v>
      </c>
      <c r="M15" s="395">
        <v>829469</v>
      </c>
      <c r="N15" s="398">
        <f>+L15/M15</f>
        <v>6.240378133480576</v>
      </c>
      <c r="O15" s="323">
        <v>1</v>
      </c>
    </row>
    <row r="16" spans="1:15" s="4" customFormat="1" ht="15">
      <c r="A16" s="192">
        <v>12</v>
      </c>
      <c r="B16" s="236" t="s">
        <v>194</v>
      </c>
      <c r="C16" s="146">
        <v>40291</v>
      </c>
      <c r="D16" s="100" t="s">
        <v>163</v>
      </c>
      <c r="E16" s="114">
        <v>40</v>
      </c>
      <c r="F16" s="114">
        <v>40</v>
      </c>
      <c r="G16" s="114">
        <v>2</v>
      </c>
      <c r="H16" s="327">
        <v>46122.5</v>
      </c>
      <c r="I16" s="394">
        <v>5152</v>
      </c>
      <c r="J16" s="395">
        <f>(I16/F16)</f>
        <v>128.8</v>
      </c>
      <c r="K16" s="396">
        <f t="shared" si="0"/>
        <v>8.952348602484472</v>
      </c>
      <c r="L16" s="397">
        <f>101934.5+46122.5</f>
        <v>148057</v>
      </c>
      <c r="M16" s="395">
        <f>10090+5152</f>
        <v>15242</v>
      </c>
      <c r="N16" s="398">
        <f>L16/M16</f>
        <v>9.713751476184228</v>
      </c>
      <c r="O16" s="323"/>
    </row>
    <row r="17" spans="1:15" s="4" customFormat="1" ht="15">
      <c r="A17" s="124">
        <v>13</v>
      </c>
      <c r="B17" s="236" t="s">
        <v>263</v>
      </c>
      <c r="C17" s="146">
        <v>40284</v>
      </c>
      <c r="D17" s="100" t="s">
        <v>161</v>
      </c>
      <c r="E17" s="114">
        <v>50</v>
      </c>
      <c r="F17" s="114">
        <v>44</v>
      </c>
      <c r="G17" s="114">
        <v>3</v>
      </c>
      <c r="H17" s="327">
        <v>39396</v>
      </c>
      <c r="I17" s="394">
        <v>6160</v>
      </c>
      <c r="J17" s="395">
        <f>I17/F17</f>
        <v>140</v>
      </c>
      <c r="K17" s="396">
        <f t="shared" si="0"/>
        <v>6.3954545454545455</v>
      </c>
      <c r="L17" s="397">
        <f>149582+95446+39396</f>
        <v>284424</v>
      </c>
      <c r="M17" s="395">
        <f>16257+12832+6160</f>
        <v>35249</v>
      </c>
      <c r="N17" s="398">
        <f>+L17/M17</f>
        <v>8.068994865102557</v>
      </c>
      <c r="O17" s="323"/>
    </row>
    <row r="18" spans="1:15" s="4" customFormat="1" ht="15">
      <c r="A18" s="124">
        <v>14</v>
      </c>
      <c r="B18" s="236" t="s">
        <v>247</v>
      </c>
      <c r="C18" s="146">
        <v>40277</v>
      </c>
      <c r="D18" s="100" t="s">
        <v>163</v>
      </c>
      <c r="E18" s="114">
        <v>32</v>
      </c>
      <c r="F18" s="114">
        <v>32</v>
      </c>
      <c r="G18" s="114">
        <v>4</v>
      </c>
      <c r="H18" s="327">
        <v>36022.5</v>
      </c>
      <c r="I18" s="394">
        <v>5431</v>
      </c>
      <c r="J18" s="395">
        <f>(I18/F18)</f>
        <v>169.71875</v>
      </c>
      <c r="K18" s="396">
        <f t="shared" si="0"/>
        <v>6.632756398453323</v>
      </c>
      <c r="L18" s="397">
        <f>123623+70914+52321.5+36022.5</f>
        <v>282881</v>
      </c>
      <c r="M18" s="395">
        <f>12717+7769+7500+5431</f>
        <v>33417</v>
      </c>
      <c r="N18" s="398">
        <f>L18/M18</f>
        <v>8.465182392195588</v>
      </c>
      <c r="O18" s="323"/>
    </row>
    <row r="19" spans="1:15" s="4" customFormat="1" ht="15">
      <c r="A19" s="124">
        <v>15</v>
      </c>
      <c r="B19" s="236" t="s">
        <v>243</v>
      </c>
      <c r="C19" s="146">
        <v>40277</v>
      </c>
      <c r="D19" s="100" t="s">
        <v>112</v>
      </c>
      <c r="E19" s="114">
        <v>23</v>
      </c>
      <c r="F19" s="114">
        <v>24</v>
      </c>
      <c r="G19" s="114">
        <v>4</v>
      </c>
      <c r="H19" s="327">
        <v>33984</v>
      </c>
      <c r="I19" s="394">
        <v>4300</v>
      </c>
      <c r="J19" s="395">
        <f>+I19/F19</f>
        <v>179.16666666666666</v>
      </c>
      <c r="K19" s="396">
        <f>+H19/I19</f>
        <v>7.903255813953488</v>
      </c>
      <c r="L19" s="397">
        <v>425665</v>
      </c>
      <c r="M19" s="395">
        <v>36900</v>
      </c>
      <c r="N19" s="398">
        <f>+L19/M19</f>
        <v>11.535636856368564</v>
      </c>
      <c r="O19" s="323"/>
    </row>
    <row r="20" spans="1:15" s="4" customFormat="1" ht="15">
      <c r="A20" s="192">
        <v>16</v>
      </c>
      <c r="B20" s="236" t="s">
        <v>249</v>
      </c>
      <c r="C20" s="146">
        <v>40284</v>
      </c>
      <c r="D20" s="255" t="s">
        <v>162</v>
      </c>
      <c r="E20" s="114">
        <v>136</v>
      </c>
      <c r="F20" s="114">
        <v>93</v>
      </c>
      <c r="G20" s="114">
        <v>3</v>
      </c>
      <c r="H20" s="327">
        <v>33934</v>
      </c>
      <c r="I20" s="394">
        <v>4731</v>
      </c>
      <c r="J20" s="395">
        <f>I20/F20</f>
        <v>50.87096774193548</v>
      </c>
      <c r="K20" s="396">
        <f>+H20/I20</f>
        <v>7.172690763052209</v>
      </c>
      <c r="L20" s="397">
        <v>1025617</v>
      </c>
      <c r="M20" s="395">
        <v>119275</v>
      </c>
      <c r="N20" s="398">
        <f>+L20/M20</f>
        <v>8.598759169985328</v>
      </c>
      <c r="O20" s="323"/>
    </row>
    <row r="21" spans="1:15" s="4" customFormat="1" ht="15">
      <c r="A21" s="124">
        <v>17</v>
      </c>
      <c r="B21" s="236" t="s">
        <v>195</v>
      </c>
      <c r="C21" s="146">
        <v>40291</v>
      </c>
      <c r="D21" s="100" t="s">
        <v>163</v>
      </c>
      <c r="E21" s="114">
        <v>12</v>
      </c>
      <c r="F21" s="114">
        <v>12</v>
      </c>
      <c r="G21" s="114">
        <v>2</v>
      </c>
      <c r="H21" s="327">
        <v>32626</v>
      </c>
      <c r="I21" s="394">
        <v>2267</v>
      </c>
      <c r="J21" s="395">
        <f>(I21/F21)</f>
        <v>188.91666666666666</v>
      </c>
      <c r="K21" s="396">
        <f>H21/I21</f>
        <v>14.39170710189678</v>
      </c>
      <c r="L21" s="397">
        <f>71234.5+32626</f>
        <v>103860.5</v>
      </c>
      <c r="M21" s="395">
        <f>5684+2667</f>
        <v>8351</v>
      </c>
      <c r="N21" s="398">
        <f>L21/M21</f>
        <v>12.436893785175428</v>
      </c>
      <c r="O21" s="323"/>
    </row>
    <row r="22" spans="1:15" s="4" customFormat="1" ht="15">
      <c r="A22" s="124">
        <v>18</v>
      </c>
      <c r="B22" s="236" t="s">
        <v>264</v>
      </c>
      <c r="C22" s="146">
        <v>40284</v>
      </c>
      <c r="D22" s="100" t="s">
        <v>112</v>
      </c>
      <c r="E22" s="114">
        <v>30</v>
      </c>
      <c r="F22" s="114">
        <v>30</v>
      </c>
      <c r="G22" s="114">
        <v>3</v>
      </c>
      <c r="H22" s="327">
        <v>29497</v>
      </c>
      <c r="I22" s="394">
        <v>3998</v>
      </c>
      <c r="J22" s="395">
        <f>+I22/F22</f>
        <v>133.26666666666668</v>
      </c>
      <c r="K22" s="396">
        <f>+H22/I22</f>
        <v>7.377938969484743</v>
      </c>
      <c r="L22" s="397">
        <v>196465</v>
      </c>
      <c r="M22" s="395">
        <v>19827</v>
      </c>
      <c r="N22" s="398">
        <f>+L22/M22</f>
        <v>9.90896252584859</v>
      </c>
      <c r="O22" s="323"/>
    </row>
    <row r="23" spans="1:15" s="4" customFormat="1" ht="15">
      <c r="A23" s="124">
        <v>19</v>
      </c>
      <c r="B23" s="236" t="s">
        <v>275</v>
      </c>
      <c r="C23" s="146">
        <v>40277</v>
      </c>
      <c r="D23" s="255" t="s">
        <v>239</v>
      </c>
      <c r="E23" s="114">
        <v>9</v>
      </c>
      <c r="F23" s="114">
        <v>7</v>
      </c>
      <c r="G23" s="114">
        <v>5</v>
      </c>
      <c r="H23" s="327">
        <v>25688</v>
      </c>
      <c r="I23" s="394">
        <v>3355</v>
      </c>
      <c r="J23" s="395">
        <f>I23/F23</f>
        <v>479.2857142857143</v>
      </c>
      <c r="K23" s="396">
        <f>H23/I23</f>
        <v>7.656631892697466</v>
      </c>
      <c r="L23" s="397">
        <v>114172</v>
      </c>
      <c r="M23" s="395">
        <v>16783</v>
      </c>
      <c r="N23" s="398">
        <f>+L23/M23</f>
        <v>6.802836203300959</v>
      </c>
      <c r="O23" s="323"/>
    </row>
    <row r="24" spans="1:15" s="4" customFormat="1" ht="15">
      <c r="A24" s="192">
        <v>20</v>
      </c>
      <c r="B24" s="236" t="s">
        <v>251</v>
      </c>
      <c r="C24" s="146">
        <v>40277</v>
      </c>
      <c r="D24" s="100" t="s">
        <v>114</v>
      </c>
      <c r="E24" s="114">
        <v>32</v>
      </c>
      <c r="F24" s="114">
        <v>20</v>
      </c>
      <c r="G24" s="114">
        <v>4</v>
      </c>
      <c r="H24" s="327">
        <v>20698.5</v>
      </c>
      <c r="I24" s="394">
        <v>2597</v>
      </c>
      <c r="J24" s="395">
        <f>I24/F24</f>
        <v>129.85</v>
      </c>
      <c r="K24" s="396">
        <f>H24/I24</f>
        <v>7.970157874470543</v>
      </c>
      <c r="L24" s="397">
        <v>258064.25</v>
      </c>
      <c r="M24" s="395">
        <v>25702</v>
      </c>
      <c r="N24" s="398">
        <f>+L24/M24</f>
        <v>10.04062913391954</v>
      </c>
      <c r="O24" s="323">
        <v>1</v>
      </c>
    </row>
    <row r="25" spans="1:15" s="4" customFormat="1" ht="15">
      <c r="A25" s="124">
        <v>21</v>
      </c>
      <c r="B25" s="236" t="s">
        <v>276</v>
      </c>
      <c r="C25" s="146">
        <v>40298</v>
      </c>
      <c r="D25" s="100" t="s">
        <v>163</v>
      </c>
      <c r="E25" s="114">
        <v>10</v>
      </c>
      <c r="F25" s="114">
        <v>10</v>
      </c>
      <c r="G25" s="114">
        <v>1</v>
      </c>
      <c r="H25" s="327">
        <v>20398</v>
      </c>
      <c r="I25" s="394">
        <v>1558</v>
      </c>
      <c r="J25" s="395">
        <f>(I25/F25)</f>
        <v>155.8</v>
      </c>
      <c r="K25" s="396">
        <f>H25/I25</f>
        <v>13.092426187419768</v>
      </c>
      <c r="L25" s="397">
        <f>21680+20398</f>
        <v>42078</v>
      </c>
      <c r="M25" s="395">
        <f>2917+1558</f>
        <v>4475</v>
      </c>
      <c r="N25" s="398">
        <f>L25/M25</f>
        <v>9.402905027932961</v>
      </c>
      <c r="O25" s="323"/>
    </row>
    <row r="26" spans="1:15" s="4" customFormat="1" ht="15">
      <c r="A26" s="124">
        <v>22</v>
      </c>
      <c r="B26" s="236" t="s">
        <v>277</v>
      </c>
      <c r="C26" s="146">
        <v>40298</v>
      </c>
      <c r="D26" s="255" t="s">
        <v>278</v>
      </c>
      <c r="E26" s="114">
        <v>6</v>
      </c>
      <c r="F26" s="114">
        <v>6</v>
      </c>
      <c r="G26" s="114">
        <v>1</v>
      </c>
      <c r="H26" s="327">
        <v>20270.5</v>
      </c>
      <c r="I26" s="394">
        <v>1626</v>
      </c>
      <c r="J26" s="395">
        <f>I26/F26</f>
        <v>271</v>
      </c>
      <c r="K26" s="396">
        <f>+H26/I26</f>
        <v>12.466482164821649</v>
      </c>
      <c r="L26" s="397">
        <v>20270.5</v>
      </c>
      <c r="M26" s="395">
        <v>1626</v>
      </c>
      <c r="N26" s="398">
        <f>+L26/M26</f>
        <v>12.466482164821649</v>
      </c>
      <c r="O26" s="323"/>
    </row>
    <row r="27" spans="1:15" s="4" customFormat="1" ht="15">
      <c r="A27" s="124">
        <v>23</v>
      </c>
      <c r="B27" s="236" t="s">
        <v>266</v>
      </c>
      <c r="C27" s="146">
        <v>40284</v>
      </c>
      <c r="D27" s="100" t="s">
        <v>163</v>
      </c>
      <c r="E27" s="114">
        <v>14</v>
      </c>
      <c r="F27" s="114">
        <v>14</v>
      </c>
      <c r="G27" s="114">
        <v>3</v>
      </c>
      <c r="H27" s="327">
        <v>19522</v>
      </c>
      <c r="I27" s="394">
        <v>2599</v>
      </c>
      <c r="J27" s="395">
        <f>(I27/F27)</f>
        <v>185.64285714285714</v>
      </c>
      <c r="K27" s="396">
        <f>H27/I27</f>
        <v>7.51135051943055</v>
      </c>
      <c r="L27" s="397">
        <f>45403.5+26416+19522</f>
        <v>91341.5</v>
      </c>
      <c r="M27" s="395">
        <f>4053+2594+2599</f>
        <v>9246</v>
      </c>
      <c r="N27" s="398">
        <f>L27/M27</f>
        <v>9.879028769197491</v>
      </c>
      <c r="O27" s="323">
        <v>1</v>
      </c>
    </row>
    <row r="28" spans="1:15" s="4" customFormat="1" ht="15">
      <c r="A28" s="192">
        <v>24</v>
      </c>
      <c r="B28" s="236" t="s">
        <v>221</v>
      </c>
      <c r="C28" s="146">
        <v>40249</v>
      </c>
      <c r="D28" s="193" t="s">
        <v>49</v>
      </c>
      <c r="E28" s="114">
        <v>71</v>
      </c>
      <c r="F28" s="114">
        <v>17</v>
      </c>
      <c r="G28" s="114">
        <v>8</v>
      </c>
      <c r="H28" s="327">
        <v>18589.5</v>
      </c>
      <c r="I28" s="394">
        <v>2896</v>
      </c>
      <c r="J28" s="395">
        <f>I28/F28</f>
        <v>170.35294117647058</v>
      </c>
      <c r="K28" s="396">
        <f>H28/I28</f>
        <v>6.4190262430939224</v>
      </c>
      <c r="L28" s="397">
        <f>432486.25+301574+151308+7+112893+51222.5+22996.5+15680+18589.5</f>
        <v>1106756.75</v>
      </c>
      <c r="M28" s="395">
        <f>50407+35095+18523+1+15427+7108+3545+2281+2896</f>
        <v>135283</v>
      </c>
      <c r="N28" s="398">
        <f>+L28/M28</f>
        <v>8.181048247008123</v>
      </c>
      <c r="O28" s="323">
        <v>1</v>
      </c>
    </row>
    <row r="29" spans="1:15" s="4" customFormat="1" ht="15">
      <c r="A29" s="124">
        <v>25</v>
      </c>
      <c r="B29" s="236" t="s">
        <v>192</v>
      </c>
      <c r="C29" s="146">
        <v>40291</v>
      </c>
      <c r="D29" s="100" t="s">
        <v>112</v>
      </c>
      <c r="E29" s="114">
        <v>30</v>
      </c>
      <c r="F29" s="114">
        <v>30</v>
      </c>
      <c r="G29" s="114">
        <v>2</v>
      </c>
      <c r="H29" s="327">
        <v>17873</v>
      </c>
      <c r="I29" s="394">
        <v>1881</v>
      </c>
      <c r="J29" s="395">
        <f>+I29/F29</f>
        <v>62.7</v>
      </c>
      <c r="K29" s="396">
        <f>+H29/I29</f>
        <v>9.501860712387028</v>
      </c>
      <c r="L29" s="397">
        <v>75519</v>
      </c>
      <c r="M29" s="395">
        <v>6943</v>
      </c>
      <c r="N29" s="398">
        <f>+L29/M29</f>
        <v>10.87699841567046</v>
      </c>
      <c r="O29" s="323"/>
    </row>
    <row r="30" spans="1:15" s="4" customFormat="1" ht="15">
      <c r="A30" s="124">
        <v>26</v>
      </c>
      <c r="B30" s="236" t="s">
        <v>80</v>
      </c>
      <c r="C30" s="146">
        <v>40235</v>
      </c>
      <c r="D30" s="100" t="s">
        <v>163</v>
      </c>
      <c r="E30" s="114">
        <v>227</v>
      </c>
      <c r="F30" s="114">
        <v>25</v>
      </c>
      <c r="G30" s="114">
        <v>10</v>
      </c>
      <c r="H30" s="327">
        <v>17849</v>
      </c>
      <c r="I30" s="394">
        <v>3496</v>
      </c>
      <c r="J30" s="395">
        <f>(I30/F30)</f>
        <v>139.84</v>
      </c>
      <c r="K30" s="396">
        <f>H30/I30</f>
        <v>5.105549199084668</v>
      </c>
      <c r="L30" s="397">
        <f>3023418.25+2075206.75+1597108.5+721641.75+353477.25+181803+99682+48621.5+31567+17849</f>
        <v>8150375</v>
      </c>
      <c r="M30" s="395">
        <f>341528+246334+201790+95967+51147+28925+18262+9293+6613+3496</f>
        <v>1003355</v>
      </c>
      <c r="N30" s="398">
        <f>L30/M30</f>
        <v>8.123121925938477</v>
      </c>
      <c r="O30" s="323">
        <v>1</v>
      </c>
    </row>
    <row r="31" spans="1:15" s="4" customFormat="1" ht="15">
      <c r="A31" s="124">
        <v>27</v>
      </c>
      <c r="B31" s="236" t="s">
        <v>73</v>
      </c>
      <c r="C31" s="146">
        <v>40228</v>
      </c>
      <c r="D31" s="100" t="s">
        <v>163</v>
      </c>
      <c r="E31" s="114">
        <v>17</v>
      </c>
      <c r="F31" s="114">
        <v>17</v>
      </c>
      <c r="G31" s="114">
        <v>10</v>
      </c>
      <c r="H31" s="327">
        <v>16482.5</v>
      </c>
      <c r="I31" s="394">
        <v>2565</v>
      </c>
      <c r="J31" s="395">
        <f>(I31/F31)</f>
        <v>150.88235294117646</v>
      </c>
      <c r="K31" s="396">
        <f>H31/I31</f>
        <v>6.425925925925926</v>
      </c>
      <c r="L31" s="397">
        <f>123803.5+36356.5+10616.5+7126+4849+112+539+13732+17634+16482.5</f>
        <v>231251</v>
      </c>
      <c r="M31" s="395">
        <f>9724+2877+987+846+675+13+63+1937+2404+2565</f>
        <v>22091</v>
      </c>
      <c r="N31" s="398">
        <f>L31/M31</f>
        <v>10.468109184735866</v>
      </c>
      <c r="O31" s="323"/>
    </row>
    <row r="32" spans="1:15" s="4" customFormat="1" ht="15">
      <c r="A32" s="192">
        <v>28</v>
      </c>
      <c r="B32" s="236" t="s">
        <v>248</v>
      </c>
      <c r="C32" s="146">
        <v>40277</v>
      </c>
      <c r="D32" s="255" t="s">
        <v>162</v>
      </c>
      <c r="E32" s="114">
        <v>46</v>
      </c>
      <c r="F32" s="114">
        <v>25</v>
      </c>
      <c r="G32" s="114">
        <v>4</v>
      </c>
      <c r="H32" s="327">
        <v>16354</v>
      </c>
      <c r="I32" s="394">
        <v>2374</v>
      </c>
      <c r="J32" s="395">
        <f>I32/F32</f>
        <v>94.96</v>
      </c>
      <c r="K32" s="396">
        <f>+H32/I32</f>
        <v>6.888795282224095</v>
      </c>
      <c r="L32" s="397">
        <v>430807</v>
      </c>
      <c r="M32" s="395">
        <v>40617</v>
      </c>
      <c r="N32" s="398">
        <f>+L32/M32</f>
        <v>10.606568678139695</v>
      </c>
      <c r="O32" s="323"/>
    </row>
    <row r="33" spans="1:15" s="4" customFormat="1" ht="15">
      <c r="A33" s="124">
        <v>29</v>
      </c>
      <c r="B33" s="236" t="s">
        <v>265</v>
      </c>
      <c r="C33" s="146">
        <v>40284</v>
      </c>
      <c r="D33" s="100" t="s">
        <v>163</v>
      </c>
      <c r="E33" s="114">
        <v>14</v>
      </c>
      <c r="F33" s="114">
        <v>14</v>
      </c>
      <c r="G33" s="114">
        <v>3</v>
      </c>
      <c r="H33" s="327">
        <v>16263</v>
      </c>
      <c r="I33" s="394">
        <v>1364</v>
      </c>
      <c r="J33" s="395">
        <f>(I33/F33)</f>
        <v>97.42857142857143</v>
      </c>
      <c r="K33" s="396">
        <f>H33/I33</f>
        <v>11.923020527859238</v>
      </c>
      <c r="L33" s="397">
        <f>76493+31029+16263</f>
        <v>123785</v>
      </c>
      <c r="M33" s="395">
        <f>5580+2331+1364</f>
        <v>9275</v>
      </c>
      <c r="N33" s="398">
        <f>L33/M33</f>
        <v>13.346091644204852</v>
      </c>
      <c r="O33" s="323"/>
    </row>
    <row r="34" spans="1:15" s="4" customFormat="1" ht="15">
      <c r="A34" s="124">
        <v>30</v>
      </c>
      <c r="B34" s="236" t="s">
        <v>234</v>
      </c>
      <c r="C34" s="146">
        <v>40263</v>
      </c>
      <c r="D34" s="255" t="s">
        <v>162</v>
      </c>
      <c r="E34" s="114">
        <v>28</v>
      </c>
      <c r="F34" s="114">
        <v>18</v>
      </c>
      <c r="G34" s="114">
        <v>6</v>
      </c>
      <c r="H34" s="327">
        <v>16221</v>
      </c>
      <c r="I34" s="394">
        <v>2350</v>
      </c>
      <c r="J34" s="395">
        <f>I34/F34</f>
        <v>130.55555555555554</v>
      </c>
      <c r="K34" s="396">
        <f>+H34/I34</f>
        <v>6.902553191489361</v>
      </c>
      <c r="L34" s="397">
        <v>326225</v>
      </c>
      <c r="M34" s="395">
        <v>31122</v>
      </c>
      <c r="N34" s="398">
        <f>+L34/M34</f>
        <v>10.482134824240088</v>
      </c>
      <c r="O34" s="323"/>
    </row>
    <row r="35" spans="1:15" s="4" customFormat="1" ht="15">
      <c r="A35" s="124">
        <v>31</v>
      </c>
      <c r="B35" s="236" t="s">
        <v>268</v>
      </c>
      <c r="C35" s="146">
        <v>40284</v>
      </c>
      <c r="D35" s="100" t="s">
        <v>112</v>
      </c>
      <c r="E35" s="114">
        <v>1</v>
      </c>
      <c r="F35" s="114">
        <v>1</v>
      </c>
      <c r="G35" s="114">
        <v>3</v>
      </c>
      <c r="H35" s="327">
        <v>15786</v>
      </c>
      <c r="I35" s="394">
        <v>1231</v>
      </c>
      <c r="J35" s="395">
        <f>+I35/F35</f>
        <v>1231</v>
      </c>
      <c r="K35" s="396">
        <f>+H35/I35</f>
        <v>12.823720552396425</v>
      </c>
      <c r="L35" s="397">
        <v>35411</v>
      </c>
      <c r="M35" s="395">
        <v>2524</v>
      </c>
      <c r="N35" s="398">
        <f>+L35/M35</f>
        <v>14.0297147385103</v>
      </c>
      <c r="O35" s="323"/>
    </row>
    <row r="36" spans="1:15" s="4" customFormat="1" ht="15">
      <c r="A36" s="192">
        <v>32</v>
      </c>
      <c r="B36" s="236" t="s">
        <v>219</v>
      </c>
      <c r="C36" s="146">
        <v>40249</v>
      </c>
      <c r="D36" s="255" t="s">
        <v>162</v>
      </c>
      <c r="E36" s="114">
        <v>97</v>
      </c>
      <c r="F36" s="114">
        <v>8</v>
      </c>
      <c r="G36" s="114">
        <v>8</v>
      </c>
      <c r="H36" s="327">
        <v>13210</v>
      </c>
      <c r="I36" s="394">
        <v>2042</v>
      </c>
      <c r="J36" s="395">
        <f>I36/F36</f>
        <v>255.25</v>
      </c>
      <c r="K36" s="396">
        <f>+H36/I36</f>
        <v>6.469147894221352</v>
      </c>
      <c r="L36" s="397">
        <v>2244300</v>
      </c>
      <c r="M36" s="395">
        <v>223955</v>
      </c>
      <c r="N36" s="398">
        <f>+L36/M36</f>
        <v>10.021209618003617</v>
      </c>
      <c r="O36" s="323"/>
    </row>
    <row r="37" spans="1:15" s="4" customFormat="1" ht="15">
      <c r="A37" s="124">
        <v>33</v>
      </c>
      <c r="B37" s="236" t="s">
        <v>238</v>
      </c>
      <c r="C37" s="146">
        <v>40263</v>
      </c>
      <c r="D37" s="100" t="s">
        <v>163</v>
      </c>
      <c r="E37" s="114">
        <v>30</v>
      </c>
      <c r="F37" s="114">
        <v>20</v>
      </c>
      <c r="G37" s="114">
        <v>6</v>
      </c>
      <c r="H37" s="327">
        <v>12585</v>
      </c>
      <c r="I37" s="394">
        <v>1843</v>
      </c>
      <c r="J37" s="395">
        <f>(I37/F37)</f>
        <v>92.15</v>
      </c>
      <c r="K37" s="396">
        <f>H37/I37</f>
        <v>6.828540423223006</v>
      </c>
      <c r="L37" s="397">
        <f>78499.25+35719.25+12554+17184+19421+12585</f>
        <v>175962.5</v>
      </c>
      <c r="M37" s="395">
        <f>7310+3415+1595+2523+2737+1843</f>
        <v>19423</v>
      </c>
      <c r="N37" s="398">
        <f>L37/M37</f>
        <v>9.059491324718119</v>
      </c>
      <c r="O37" s="323"/>
    </row>
    <row r="38" spans="1:15" s="4" customFormat="1" ht="15">
      <c r="A38" s="124">
        <v>34</v>
      </c>
      <c r="B38" s="236" t="s">
        <v>267</v>
      </c>
      <c r="C38" s="146">
        <v>40284</v>
      </c>
      <c r="D38" s="193" t="s">
        <v>49</v>
      </c>
      <c r="E38" s="114">
        <v>32</v>
      </c>
      <c r="F38" s="114">
        <v>31</v>
      </c>
      <c r="G38" s="114">
        <v>3</v>
      </c>
      <c r="H38" s="327">
        <v>12428.5</v>
      </c>
      <c r="I38" s="394">
        <v>1892</v>
      </c>
      <c r="J38" s="395">
        <f>I38/F38</f>
        <v>61.03225806451613</v>
      </c>
      <c r="K38" s="396">
        <f>H38/I38</f>
        <v>6.568974630021142</v>
      </c>
      <c r="L38" s="397">
        <f>25031+15339.5+12428.5</f>
        <v>52799</v>
      </c>
      <c r="M38" s="395">
        <f>2922+2015+1892</f>
        <v>6829</v>
      </c>
      <c r="N38" s="398">
        <f>+L38/M38</f>
        <v>7.731585883731147</v>
      </c>
      <c r="O38" s="323">
        <v>1</v>
      </c>
    </row>
    <row r="39" spans="1:15" s="4" customFormat="1" ht="15">
      <c r="A39" s="124">
        <v>35</v>
      </c>
      <c r="B39" s="236" t="s">
        <v>233</v>
      </c>
      <c r="C39" s="146">
        <v>40263</v>
      </c>
      <c r="D39" s="193" t="s">
        <v>49</v>
      </c>
      <c r="E39" s="114">
        <v>26</v>
      </c>
      <c r="F39" s="114">
        <v>20</v>
      </c>
      <c r="G39" s="114">
        <v>6</v>
      </c>
      <c r="H39" s="327">
        <v>10706</v>
      </c>
      <c r="I39" s="394">
        <v>1258</v>
      </c>
      <c r="J39" s="395">
        <f>I39/F39</f>
        <v>62.9</v>
      </c>
      <c r="K39" s="396">
        <f>H39/I39</f>
        <v>8.51033386327504</v>
      </c>
      <c r="L39" s="397">
        <f>221307.25+165337+90601.5+71567+36580+10706</f>
        <v>596098.75</v>
      </c>
      <c r="M39" s="395">
        <f>17930+13640+7523+6342+3464+1258</f>
        <v>50157</v>
      </c>
      <c r="N39" s="398">
        <f>+L39/M39</f>
        <v>11.884657176465897</v>
      </c>
      <c r="O39" s="323"/>
    </row>
    <row r="40" spans="1:15" s="4" customFormat="1" ht="15">
      <c r="A40" s="192">
        <v>36</v>
      </c>
      <c r="B40" s="236" t="s">
        <v>253</v>
      </c>
      <c r="C40" s="146">
        <v>40270</v>
      </c>
      <c r="D40" s="255" t="s">
        <v>162</v>
      </c>
      <c r="E40" s="114">
        <v>77</v>
      </c>
      <c r="F40" s="114">
        <v>13</v>
      </c>
      <c r="G40" s="114">
        <v>5</v>
      </c>
      <c r="H40" s="327">
        <v>10541</v>
      </c>
      <c r="I40" s="394">
        <v>1842</v>
      </c>
      <c r="J40" s="395">
        <f>I40/F40</f>
        <v>141.69230769230768</v>
      </c>
      <c r="K40" s="396">
        <f>+H40/I40</f>
        <v>5.7225841476655805</v>
      </c>
      <c r="L40" s="397">
        <v>558420</v>
      </c>
      <c r="M40" s="395">
        <v>60389</v>
      </c>
      <c r="N40" s="398">
        <f>+L40/M40</f>
        <v>9.247048303498982</v>
      </c>
      <c r="O40" s="323">
        <v>1</v>
      </c>
    </row>
    <row r="41" spans="1:15" s="4" customFormat="1" ht="15">
      <c r="A41" s="124">
        <v>37</v>
      </c>
      <c r="B41" s="236" t="s">
        <v>218</v>
      </c>
      <c r="C41" s="146">
        <v>40242</v>
      </c>
      <c r="D41" s="255" t="s">
        <v>162</v>
      </c>
      <c r="E41" s="114">
        <v>75</v>
      </c>
      <c r="F41" s="114">
        <v>18</v>
      </c>
      <c r="G41" s="114">
        <v>9</v>
      </c>
      <c r="H41" s="327">
        <v>9759</v>
      </c>
      <c r="I41" s="394">
        <v>2002</v>
      </c>
      <c r="J41" s="395">
        <f>I41/F41</f>
        <v>111.22222222222223</v>
      </c>
      <c r="K41" s="396">
        <f>+H41/I41</f>
        <v>4.874625374625374</v>
      </c>
      <c r="L41" s="397">
        <v>3730239</v>
      </c>
      <c r="M41" s="395">
        <v>330130</v>
      </c>
      <c r="N41" s="398">
        <f>+L41/M41</f>
        <v>11.299303304758732</v>
      </c>
      <c r="O41" s="323"/>
    </row>
    <row r="42" spans="1:15" s="4" customFormat="1" ht="15">
      <c r="A42" s="124">
        <v>38</v>
      </c>
      <c r="B42" s="236" t="s">
        <v>71</v>
      </c>
      <c r="C42" s="146">
        <v>40228</v>
      </c>
      <c r="D42" s="100" t="s">
        <v>163</v>
      </c>
      <c r="E42" s="114">
        <v>88</v>
      </c>
      <c r="F42" s="114">
        <v>12</v>
      </c>
      <c r="G42" s="114">
        <v>11</v>
      </c>
      <c r="H42" s="327">
        <v>9687</v>
      </c>
      <c r="I42" s="394">
        <v>1794</v>
      </c>
      <c r="J42" s="395">
        <f>(I42/F42)</f>
        <v>149.5</v>
      </c>
      <c r="K42" s="396">
        <f>H42/I42</f>
        <v>5.3996655518394645</v>
      </c>
      <c r="L42" s="397">
        <f>398810.5+242913.25+86259.3+24407+5934+18401.5+6196+5733+5724+18578.5+9687</f>
        <v>822644.05</v>
      </c>
      <c r="M42" s="395">
        <f>40763+25741+10324+3582+1012+3180+1003+1145+1163+4588+1794</f>
        <v>94295</v>
      </c>
      <c r="N42" s="398">
        <f>L42/M42</f>
        <v>8.72415345458402</v>
      </c>
      <c r="O42" s="323"/>
    </row>
    <row r="43" spans="1:15" s="4" customFormat="1" ht="15">
      <c r="A43" s="124">
        <v>39</v>
      </c>
      <c r="B43" s="236" t="s">
        <v>228</v>
      </c>
      <c r="C43" s="146">
        <v>40256</v>
      </c>
      <c r="D43" s="100" t="s">
        <v>112</v>
      </c>
      <c r="E43" s="114">
        <v>25</v>
      </c>
      <c r="F43" s="114">
        <v>14</v>
      </c>
      <c r="G43" s="114">
        <v>7</v>
      </c>
      <c r="H43" s="327">
        <v>9264</v>
      </c>
      <c r="I43" s="394">
        <v>1462</v>
      </c>
      <c r="J43" s="395">
        <f>+I43/F43</f>
        <v>104.42857142857143</v>
      </c>
      <c r="K43" s="396">
        <f>+H43/I43</f>
        <v>6.336525307797538</v>
      </c>
      <c r="L43" s="397">
        <v>294886</v>
      </c>
      <c r="M43" s="395">
        <v>29408</v>
      </c>
      <c r="N43" s="398">
        <f>+L43/M43</f>
        <v>10.027407508161044</v>
      </c>
      <c r="O43" s="323"/>
    </row>
    <row r="44" spans="1:15" s="4" customFormat="1" ht="15">
      <c r="A44" s="192">
        <v>40</v>
      </c>
      <c r="B44" s="236" t="s">
        <v>220</v>
      </c>
      <c r="C44" s="146">
        <v>40249</v>
      </c>
      <c r="D44" s="113" t="s">
        <v>165</v>
      </c>
      <c r="E44" s="114">
        <v>116</v>
      </c>
      <c r="F44" s="114">
        <v>19</v>
      </c>
      <c r="G44" s="114">
        <v>8</v>
      </c>
      <c r="H44" s="327">
        <v>9046.5</v>
      </c>
      <c r="I44" s="394">
        <v>1711</v>
      </c>
      <c r="J44" s="395">
        <f>IF(H44&lt;&gt;0,I44/F44,"")</f>
        <v>90.05263157894737</v>
      </c>
      <c r="K44" s="396">
        <f>IF(H44&lt;&gt;0,H44/I44,"")</f>
        <v>5.287258912916423</v>
      </c>
      <c r="L44" s="397">
        <v>1494556.75</v>
      </c>
      <c r="M44" s="395">
        <v>199798</v>
      </c>
      <c r="N44" s="398">
        <f>IF(L44&lt;&gt;0,L44/M44,"")</f>
        <v>7.480338892281204</v>
      </c>
      <c r="O44" s="323">
        <v>1</v>
      </c>
    </row>
    <row r="45" spans="1:15" s="4" customFormat="1" ht="15">
      <c r="A45" s="124">
        <v>41</v>
      </c>
      <c r="B45" s="236" t="s">
        <v>250</v>
      </c>
      <c r="C45" s="146">
        <v>40277</v>
      </c>
      <c r="D45" s="100" t="s">
        <v>161</v>
      </c>
      <c r="E45" s="114">
        <v>65</v>
      </c>
      <c r="F45" s="114">
        <v>14</v>
      </c>
      <c r="G45" s="114">
        <v>5</v>
      </c>
      <c r="H45" s="327">
        <v>9027</v>
      </c>
      <c r="I45" s="394">
        <v>1329</v>
      </c>
      <c r="J45" s="395">
        <f>I45/F45</f>
        <v>94.92857142857143</v>
      </c>
      <c r="K45" s="396">
        <f>H45/I45</f>
        <v>6.792325056433409</v>
      </c>
      <c r="L45" s="397">
        <f>159552+95156+25171+9027</f>
        <v>288906</v>
      </c>
      <c r="M45" s="395">
        <f>17762+10795+3803+1329</f>
        <v>33689</v>
      </c>
      <c r="N45" s="398">
        <f>+L45/M45</f>
        <v>8.575677520852503</v>
      </c>
      <c r="O45" s="323">
        <v>1</v>
      </c>
    </row>
    <row r="46" spans="1:15" s="4" customFormat="1" ht="15">
      <c r="A46" s="124">
        <v>42</v>
      </c>
      <c r="B46" s="236" t="s">
        <v>217</v>
      </c>
      <c r="C46" s="146">
        <v>40242</v>
      </c>
      <c r="D46" s="100" t="s">
        <v>163</v>
      </c>
      <c r="E46" s="114">
        <v>74</v>
      </c>
      <c r="F46" s="114">
        <v>8</v>
      </c>
      <c r="G46" s="114">
        <v>9</v>
      </c>
      <c r="H46" s="327">
        <v>8736.5</v>
      </c>
      <c r="I46" s="394">
        <v>1898</v>
      </c>
      <c r="J46" s="395">
        <f>(I46/F46)</f>
        <v>237.25</v>
      </c>
      <c r="K46" s="396">
        <f>H46/I46</f>
        <v>4.60300316122234</v>
      </c>
      <c r="L46" s="397">
        <f>226964.75+90920.5+18852+13987.5+9784+11625+6397+6194.5+8736.5</f>
        <v>393461.75</v>
      </c>
      <c r="M46" s="395">
        <f>25792+11183+2849+3024+1580+2030+1000+913+1898</f>
        <v>50269</v>
      </c>
      <c r="N46" s="398">
        <f>L46/M46</f>
        <v>7.827125067138793</v>
      </c>
      <c r="O46" s="323">
        <v>1</v>
      </c>
    </row>
    <row r="47" spans="1:15" s="4" customFormat="1" ht="15">
      <c r="A47" s="124">
        <v>43</v>
      </c>
      <c r="B47" s="236" t="s">
        <v>252</v>
      </c>
      <c r="C47" s="146">
        <v>40277</v>
      </c>
      <c r="D47" s="193" t="s">
        <v>49</v>
      </c>
      <c r="E47" s="114">
        <v>101</v>
      </c>
      <c r="F47" s="114">
        <v>22</v>
      </c>
      <c r="G47" s="114">
        <v>4</v>
      </c>
      <c r="H47" s="327">
        <v>8586.5</v>
      </c>
      <c r="I47" s="394">
        <v>1282</v>
      </c>
      <c r="J47" s="395">
        <f>I47/F47</f>
        <v>58.27272727272727</v>
      </c>
      <c r="K47" s="396">
        <f>H47/I47</f>
        <v>6.6977379095163805</v>
      </c>
      <c r="L47" s="397">
        <f>139056.25+65096+32553+8586+0.5</f>
        <v>245291.75</v>
      </c>
      <c r="M47" s="395">
        <f>17232+8920+4923+1282</f>
        <v>32357</v>
      </c>
      <c r="N47" s="398">
        <f>+L47/M47</f>
        <v>7.580793954940199</v>
      </c>
      <c r="O47" s="323">
        <v>1</v>
      </c>
    </row>
    <row r="48" spans="1:15" s="4" customFormat="1" ht="15">
      <c r="A48" s="192">
        <v>44</v>
      </c>
      <c r="B48" s="236" t="s">
        <v>254</v>
      </c>
      <c r="C48" s="146">
        <v>40277</v>
      </c>
      <c r="D48" s="100" t="s">
        <v>112</v>
      </c>
      <c r="E48" s="114">
        <v>107</v>
      </c>
      <c r="F48" s="114">
        <v>20</v>
      </c>
      <c r="G48" s="114">
        <v>4</v>
      </c>
      <c r="H48" s="327">
        <v>7642</v>
      </c>
      <c r="I48" s="394">
        <v>1238</v>
      </c>
      <c r="J48" s="395">
        <f>+I48/F48</f>
        <v>61.9</v>
      </c>
      <c r="K48" s="396">
        <f>+H48/I48</f>
        <v>6.172859450726979</v>
      </c>
      <c r="L48" s="397">
        <v>205179</v>
      </c>
      <c r="M48" s="395">
        <v>26007</v>
      </c>
      <c r="N48" s="398">
        <f>+L48/M48</f>
        <v>7.889375937247664</v>
      </c>
      <c r="O48" s="323">
        <v>1</v>
      </c>
    </row>
    <row r="49" spans="1:15" s="4" customFormat="1" ht="15">
      <c r="A49" s="124">
        <v>45</v>
      </c>
      <c r="B49" s="236" t="s">
        <v>22</v>
      </c>
      <c r="C49" s="146">
        <v>39926</v>
      </c>
      <c r="D49" s="100" t="s">
        <v>163</v>
      </c>
      <c r="E49" s="114">
        <v>40</v>
      </c>
      <c r="F49" s="114">
        <v>5</v>
      </c>
      <c r="G49" s="114">
        <v>37</v>
      </c>
      <c r="H49" s="327">
        <v>6592.5</v>
      </c>
      <c r="I49" s="394">
        <v>1697</v>
      </c>
      <c r="J49" s="395">
        <f>(I49/F49)</f>
        <v>339.4</v>
      </c>
      <c r="K49" s="396">
        <f>H49/I49</f>
        <v>3.8847967000589274</v>
      </c>
      <c r="L49" s="397">
        <f>35864.5+53058.5+35303.5+15734.5+12778.5+9687.5+8045+13953.5+10307+6140.75+1296+667+231+755+1970+2246+752.5+591.5+130+445+2051+750+1477+2060+1816+47+72+84+378+2301+1280+700+256+1780+92+200+187+6592.5</f>
        <v>232080.75</v>
      </c>
      <c r="M49" s="395">
        <f>3971+5771+3969+2398+2257+2131+1634+2509+1783+912+230+126+48+181+472+311+114+91+20+78+493+183+365+462+452+9+24+28+94+494+182+115+64+445+35+80+73+1697</f>
        <v>34301</v>
      </c>
      <c r="N49" s="398">
        <f>L49/M49</f>
        <v>6.766005364275094</v>
      </c>
      <c r="O49" s="323"/>
    </row>
    <row r="50" spans="1:15" s="4" customFormat="1" ht="15">
      <c r="A50" s="124">
        <v>46</v>
      </c>
      <c r="B50" s="236" t="s">
        <v>72</v>
      </c>
      <c r="C50" s="146">
        <v>40228</v>
      </c>
      <c r="D50" s="255" t="s">
        <v>162</v>
      </c>
      <c r="E50" s="114">
        <v>70</v>
      </c>
      <c r="F50" s="114">
        <v>3</v>
      </c>
      <c r="G50" s="114">
        <v>11</v>
      </c>
      <c r="H50" s="327">
        <v>6391</v>
      </c>
      <c r="I50" s="394">
        <v>1546</v>
      </c>
      <c r="J50" s="395">
        <f>I50/F50</f>
        <v>515.3333333333334</v>
      </c>
      <c r="K50" s="396">
        <f>+H50/I50</f>
        <v>4.133893919793014</v>
      </c>
      <c r="L50" s="397">
        <v>265248</v>
      </c>
      <c r="M50" s="395">
        <v>29172</v>
      </c>
      <c r="N50" s="398">
        <f>+L50/M50</f>
        <v>9.09255450431921</v>
      </c>
      <c r="O50" s="323"/>
    </row>
    <row r="51" spans="1:15" s="4" customFormat="1" ht="15">
      <c r="A51" s="124">
        <v>47</v>
      </c>
      <c r="B51" s="236" t="s">
        <v>216</v>
      </c>
      <c r="C51" s="146">
        <v>40242</v>
      </c>
      <c r="D51" s="100" t="s">
        <v>161</v>
      </c>
      <c r="E51" s="114">
        <v>53</v>
      </c>
      <c r="F51" s="114">
        <v>7</v>
      </c>
      <c r="G51" s="114">
        <v>9</v>
      </c>
      <c r="H51" s="327">
        <v>5966</v>
      </c>
      <c r="I51" s="394">
        <v>982</v>
      </c>
      <c r="J51" s="395">
        <f>I51/F51</f>
        <v>140.28571428571428</v>
      </c>
      <c r="K51" s="396">
        <f>H51/I51</f>
        <v>6.075356415478615</v>
      </c>
      <c r="L51" s="397">
        <f>494037+5150+6482+8488+6356+5966</f>
        <v>526479</v>
      </c>
      <c r="M51" s="395">
        <f>48332+844+1000+1260+931+982</f>
        <v>53349</v>
      </c>
      <c r="N51" s="398">
        <f>+L51/M51</f>
        <v>9.868582353933531</v>
      </c>
      <c r="O51" s="323"/>
    </row>
    <row r="52" spans="1:15" s="4" customFormat="1" ht="15">
      <c r="A52" s="192">
        <v>48</v>
      </c>
      <c r="B52" s="236" t="s">
        <v>215</v>
      </c>
      <c r="C52" s="146">
        <v>40242</v>
      </c>
      <c r="D52" s="113" t="s">
        <v>165</v>
      </c>
      <c r="E52" s="114">
        <v>125</v>
      </c>
      <c r="F52" s="114">
        <v>7</v>
      </c>
      <c r="G52" s="114">
        <v>9</v>
      </c>
      <c r="H52" s="327">
        <v>5428</v>
      </c>
      <c r="I52" s="394">
        <v>1345</v>
      </c>
      <c r="J52" s="395">
        <f>IF(H52&lt;&gt;0,I52/F52,"")</f>
        <v>192.14285714285714</v>
      </c>
      <c r="K52" s="396">
        <f>IF(H52&lt;&gt;0,H52/I52,"")</f>
        <v>4.035687732342008</v>
      </c>
      <c r="L52" s="397">
        <v>2884855.5</v>
      </c>
      <c r="M52" s="395">
        <v>455984</v>
      </c>
      <c r="N52" s="398">
        <f>IF(L52&lt;&gt;0,L52/M52,"")</f>
        <v>6.326659488052212</v>
      </c>
      <c r="O52" s="323">
        <v>1</v>
      </c>
    </row>
    <row r="53" spans="1:15" s="4" customFormat="1" ht="15">
      <c r="A53" s="124">
        <v>49</v>
      </c>
      <c r="B53" s="236" t="s">
        <v>81</v>
      </c>
      <c r="C53" s="146">
        <v>40235</v>
      </c>
      <c r="D53" s="113" t="s">
        <v>165</v>
      </c>
      <c r="E53" s="114">
        <v>29</v>
      </c>
      <c r="F53" s="114">
        <v>3</v>
      </c>
      <c r="G53" s="114">
        <v>10</v>
      </c>
      <c r="H53" s="327">
        <v>5237</v>
      </c>
      <c r="I53" s="394">
        <v>570</v>
      </c>
      <c r="J53" s="395">
        <f>IF(H53&lt;&gt;0,I53/F53,"")</f>
        <v>190</v>
      </c>
      <c r="K53" s="396">
        <f>IF(H53&lt;&gt;0,H53/I53,"")</f>
        <v>9.187719298245614</v>
      </c>
      <c r="L53" s="397">
        <v>656889</v>
      </c>
      <c r="M53" s="395">
        <v>53385</v>
      </c>
      <c r="N53" s="398">
        <f>IF(L53&lt;&gt;0,L53/M53,"")</f>
        <v>12.304748524866536</v>
      </c>
      <c r="O53" s="323"/>
    </row>
    <row r="54" spans="1:15" s="4" customFormat="1" ht="15">
      <c r="A54" s="124">
        <v>50</v>
      </c>
      <c r="B54" s="236" t="s">
        <v>246</v>
      </c>
      <c r="C54" s="146">
        <v>40277</v>
      </c>
      <c r="D54" s="100" t="s">
        <v>59</v>
      </c>
      <c r="E54" s="114">
        <v>10</v>
      </c>
      <c r="F54" s="114">
        <v>8</v>
      </c>
      <c r="G54" s="114">
        <v>4</v>
      </c>
      <c r="H54" s="327">
        <v>4546</v>
      </c>
      <c r="I54" s="394">
        <v>848</v>
      </c>
      <c r="J54" s="395">
        <f>I54/F54</f>
        <v>106</v>
      </c>
      <c r="K54" s="396">
        <f>H54/I54</f>
        <v>5.360849056603773</v>
      </c>
      <c r="L54" s="397">
        <v>26203</v>
      </c>
      <c r="M54" s="395">
        <v>3442</v>
      </c>
      <c r="N54" s="398">
        <f>+L54/M54</f>
        <v>7.612725159790819</v>
      </c>
      <c r="O54" s="323">
        <v>1</v>
      </c>
    </row>
    <row r="55" spans="1:15" s="4" customFormat="1" ht="15">
      <c r="A55" s="124">
        <v>51</v>
      </c>
      <c r="B55" s="236" t="s">
        <v>74</v>
      </c>
      <c r="C55" s="146">
        <v>40214</v>
      </c>
      <c r="D55" s="100" t="s">
        <v>161</v>
      </c>
      <c r="E55" s="114">
        <v>72</v>
      </c>
      <c r="F55" s="114">
        <v>5</v>
      </c>
      <c r="G55" s="114">
        <v>13</v>
      </c>
      <c r="H55" s="327">
        <v>4355</v>
      </c>
      <c r="I55" s="394">
        <v>1179</v>
      </c>
      <c r="J55" s="395">
        <f>I55/F55</f>
        <v>235.8</v>
      </c>
      <c r="K55" s="396">
        <f>H55/I55</f>
        <v>3.693808312128923</v>
      </c>
      <c r="L55" s="397">
        <f>1183138+6392+8065+765+4979+5626+7106+6136+4954+4355</f>
        <v>1231516</v>
      </c>
      <c r="M55" s="395">
        <f>117197+1409+1475+112+787+984+913+692+638+1179</f>
        <v>125386</v>
      </c>
      <c r="N55" s="398">
        <f>+L55/M55</f>
        <v>9.821798286890083</v>
      </c>
      <c r="O55" s="323"/>
    </row>
    <row r="56" spans="1:15" s="4" customFormat="1" ht="15">
      <c r="A56" s="192">
        <v>52</v>
      </c>
      <c r="B56" s="236" t="s">
        <v>189</v>
      </c>
      <c r="C56" s="146">
        <v>40214</v>
      </c>
      <c r="D56" s="100" t="s">
        <v>112</v>
      </c>
      <c r="E56" s="114">
        <v>144</v>
      </c>
      <c r="F56" s="114">
        <v>8</v>
      </c>
      <c r="G56" s="114">
        <v>13</v>
      </c>
      <c r="H56" s="327">
        <v>4190</v>
      </c>
      <c r="I56" s="394">
        <v>729</v>
      </c>
      <c r="J56" s="395">
        <f>+I56/F56</f>
        <v>91.125</v>
      </c>
      <c r="K56" s="396">
        <f>+H56/I56</f>
        <v>5.747599451303155</v>
      </c>
      <c r="L56" s="397">
        <v>6042060</v>
      </c>
      <c r="M56" s="395">
        <v>655868</v>
      </c>
      <c r="N56" s="398">
        <f>+L56/M56</f>
        <v>9.212311013801557</v>
      </c>
      <c r="O56" s="323">
        <v>1</v>
      </c>
    </row>
    <row r="57" spans="1:15" s="4" customFormat="1" ht="15">
      <c r="A57" s="124">
        <v>53</v>
      </c>
      <c r="B57" s="236" t="s">
        <v>231</v>
      </c>
      <c r="C57" s="146">
        <v>40256</v>
      </c>
      <c r="D57" s="100" t="s">
        <v>163</v>
      </c>
      <c r="E57" s="114">
        <v>64</v>
      </c>
      <c r="F57" s="114">
        <v>6</v>
      </c>
      <c r="G57" s="114">
        <v>7</v>
      </c>
      <c r="H57" s="327">
        <v>3806.5</v>
      </c>
      <c r="I57" s="394">
        <v>609</v>
      </c>
      <c r="J57" s="395">
        <f>(I57/F57)</f>
        <v>101.5</v>
      </c>
      <c r="K57" s="396">
        <f>H57/I57</f>
        <v>6.250410509031199</v>
      </c>
      <c r="L57" s="397">
        <f>200154.75+75068.75+5354.5+7056.5+4518+1434+3806.5</f>
        <v>297393</v>
      </c>
      <c r="M57" s="395">
        <f>18560+6806+580+1084+703+200+609</f>
        <v>28542</v>
      </c>
      <c r="N57" s="398">
        <f>L57/M57</f>
        <v>10.419487071683834</v>
      </c>
      <c r="O57" s="323"/>
    </row>
    <row r="58" spans="1:15" s="4" customFormat="1" ht="15">
      <c r="A58" s="124">
        <v>54</v>
      </c>
      <c r="B58" s="236" t="s">
        <v>241</v>
      </c>
      <c r="C58" s="146">
        <v>40270</v>
      </c>
      <c r="D58" s="255" t="s">
        <v>162</v>
      </c>
      <c r="E58" s="114">
        <v>51</v>
      </c>
      <c r="F58" s="114">
        <v>5</v>
      </c>
      <c r="G58" s="114">
        <v>5</v>
      </c>
      <c r="H58" s="327">
        <v>3743</v>
      </c>
      <c r="I58" s="394">
        <v>516</v>
      </c>
      <c r="J58" s="395">
        <f>I58/F58</f>
        <v>103.2</v>
      </c>
      <c r="K58" s="396">
        <f>+H58/I58</f>
        <v>7.253875968992248</v>
      </c>
      <c r="L58" s="397">
        <v>354655</v>
      </c>
      <c r="M58" s="395">
        <v>33191</v>
      </c>
      <c r="N58" s="398">
        <f>+L58/M58</f>
        <v>10.685276129071134</v>
      </c>
      <c r="O58" s="323"/>
    </row>
    <row r="59" spans="1:15" s="4" customFormat="1" ht="15">
      <c r="A59" s="192">
        <v>55</v>
      </c>
      <c r="B59" s="236" t="s">
        <v>245</v>
      </c>
      <c r="C59" s="146">
        <v>40277</v>
      </c>
      <c r="D59" s="100" t="s">
        <v>163</v>
      </c>
      <c r="E59" s="114">
        <v>9</v>
      </c>
      <c r="F59" s="114">
        <v>6</v>
      </c>
      <c r="G59" s="114">
        <v>4</v>
      </c>
      <c r="H59" s="327">
        <v>3651</v>
      </c>
      <c r="I59" s="394">
        <v>764</v>
      </c>
      <c r="J59" s="395">
        <f>(I59/F59)</f>
        <v>127.33333333333333</v>
      </c>
      <c r="K59" s="396">
        <f>H59/I59</f>
        <v>4.778795811518324</v>
      </c>
      <c r="L59" s="397">
        <f>6266+1436.5+3621+3651</f>
        <v>14974.5</v>
      </c>
      <c r="M59" s="395">
        <f>501+153+379+764</f>
        <v>1797</v>
      </c>
      <c r="N59" s="398">
        <f>L59/M59</f>
        <v>8.3330550918197</v>
      </c>
      <c r="O59" s="323"/>
    </row>
    <row r="60" spans="1:15" s="4" customFormat="1" ht="15">
      <c r="A60" s="124">
        <v>56</v>
      </c>
      <c r="B60" s="236" t="s">
        <v>232</v>
      </c>
      <c r="C60" s="146">
        <v>40263</v>
      </c>
      <c r="D60" s="100" t="s">
        <v>163</v>
      </c>
      <c r="E60" s="114">
        <v>8</v>
      </c>
      <c r="F60" s="114">
        <v>7</v>
      </c>
      <c r="G60" s="114">
        <v>6</v>
      </c>
      <c r="H60" s="327">
        <v>3593.5</v>
      </c>
      <c r="I60" s="394">
        <v>789</v>
      </c>
      <c r="J60" s="395">
        <f>(I60/F60)</f>
        <v>112.71428571428571</v>
      </c>
      <c r="K60" s="396">
        <f>H60/I60</f>
        <v>4.554499366286438</v>
      </c>
      <c r="L60" s="397">
        <f>18741.5+4264.5+736+360+159+3593.5</f>
        <v>27854.5</v>
      </c>
      <c r="M60" s="395">
        <f>1439+373+103+44+20+789</f>
        <v>2768</v>
      </c>
      <c r="N60" s="398">
        <f>L60/M60</f>
        <v>10.063041907514451</v>
      </c>
      <c r="O60" s="323"/>
    </row>
    <row r="61" spans="1:15" s="4" customFormat="1" ht="15">
      <c r="A61" s="124">
        <v>57</v>
      </c>
      <c r="B61" s="236" t="s">
        <v>237</v>
      </c>
      <c r="C61" s="146">
        <v>40249</v>
      </c>
      <c r="D61" s="100" t="s">
        <v>161</v>
      </c>
      <c r="E61" s="114">
        <v>26</v>
      </c>
      <c r="F61" s="114">
        <v>3</v>
      </c>
      <c r="G61" s="114">
        <v>8</v>
      </c>
      <c r="H61" s="327">
        <v>3329</v>
      </c>
      <c r="I61" s="394">
        <v>592</v>
      </c>
      <c r="J61" s="395">
        <f>I61/F61</f>
        <v>197.33333333333334</v>
      </c>
      <c r="K61" s="396">
        <f>H61/I61</f>
        <v>5.6233108108108105</v>
      </c>
      <c r="L61" s="397">
        <f>58852+16921+1261+2302+1402+215+1190+3329</f>
        <v>85472</v>
      </c>
      <c r="M61" s="395">
        <f>6058+1565+355+388+207+29+238+592</f>
        <v>9432</v>
      </c>
      <c r="N61" s="398">
        <f>+L61/M61</f>
        <v>9.061916878710772</v>
      </c>
      <c r="O61" s="323">
        <v>1</v>
      </c>
    </row>
    <row r="62" spans="1:15" s="4" customFormat="1" ht="15">
      <c r="A62" s="192">
        <v>58</v>
      </c>
      <c r="B62" s="236" t="s">
        <v>126</v>
      </c>
      <c r="C62" s="146">
        <v>40207</v>
      </c>
      <c r="D62" s="113" t="s">
        <v>165</v>
      </c>
      <c r="E62" s="114">
        <v>47</v>
      </c>
      <c r="F62" s="114">
        <v>2</v>
      </c>
      <c r="G62" s="114">
        <v>14</v>
      </c>
      <c r="H62" s="327">
        <v>3046</v>
      </c>
      <c r="I62" s="394">
        <v>538</v>
      </c>
      <c r="J62" s="395">
        <f>IF(H62&lt;&gt;0,I62/F62,"")</f>
        <v>269</v>
      </c>
      <c r="K62" s="396">
        <f>IF(H62&lt;&gt;0,H62/I62,"")</f>
        <v>5.661710037174721</v>
      </c>
      <c r="L62" s="397">
        <v>1861421.5</v>
      </c>
      <c r="M62" s="395">
        <v>158844</v>
      </c>
      <c r="N62" s="398">
        <f>IF(L62&lt;&gt;0,L62/M62,"")</f>
        <v>11.718550905290725</v>
      </c>
      <c r="O62" s="323"/>
    </row>
    <row r="63" spans="1:15" s="4" customFormat="1" ht="15">
      <c r="A63" s="124">
        <v>59</v>
      </c>
      <c r="B63" s="236" t="s">
        <v>279</v>
      </c>
      <c r="C63" s="146">
        <v>40060</v>
      </c>
      <c r="D63" s="100" t="s">
        <v>163</v>
      </c>
      <c r="E63" s="114">
        <v>3</v>
      </c>
      <c r="F63" s="114">
        <v>1</v>
      </c>
      <c r="G63" s="114">
        <v>9</v>
      </c>
      <c r="H63" s="327">
        <v>2830.46</v>
      </c>
      <c r="I63" s="394">
        <v>698</v>
      </c>
      <c r="J63" s="395">
        <f>(I63/F63)</f>
        <v>698</v>
      </c>
      <c r="K63" s="396">
        <f>H63/I63</f>
        <v>4.0551002865329515</v>
      </c>
      <c r="L63" s="397">
        <f>7317+3809.25+1860+639+729+966+238+668+2830.46</f>
        <v>19056.71</v>
      </c>
      <c r="M63" s="395">
        <f>792+424+238+115+144+202+40+134+698</f>
        <v>2787</v>
      </c>
      <c r="N63" s="398">
        <f>L63/M63</f>
        <v>6.837714388231072</v>
      </c>
      <c r="O63" s="323">
        <v>1</v>
      </c>
    </row>
    <row r="64" spans="1:15" s="4" customFormat="1" ht="15">
      <c r="A64" s="124">
        <v>60</v>
      </c>
      <c r="B64" s="236" t="s">
        <v>60</v>
      </c>
      <c r="C64" s="146">
        <v>40165</v>
      </c>
      <c r="D64" s="100" t="s">
        <v>163</v>
      </c>
      <c r="E64" s="114">
        <v>125</v>
      </c>
      <c r="F64" s="114">
        <v>2</v>
      </c>
      <c r="G64" s="114">
        <v>20</v>
      </c>
      <c r="H64" s="327">
        <v>2808.5</v>
      </c>
      <c r="I64" s="394">
        <v>237</v>
      </c>
      <c r="J64" s="395">
        <f>(I64/F64)</f>
        <v>118.5</v>
      </c>
      <c r="K64" s="396">
        <f>H64/I64</f>
        <v>11.850210970464135</v>
      </c>
      <c r="L64" s="397">
        <f>4033069.5+3582182.5+3469556.5+3099545+3107521.5+2751160+2297667.5+1520298+788693.5+562184.5+348660.5+276467.5+182912.5+83992.5+49671.5+36300+44685+34334+3879.5+2808.5</f>
        <v>26275590</v>
      </c>
      <c r="M64" s="395">
        <f>383242+338340+309119+280170+290777+261753+222617+140396+74659+50484+29496+23353+15006+11893+4985+3385+4321+2421+508+237</f>
        <v>2447162</v>
      </c>
      <c r="N64" s="398">
        <f>L64/M64</f>
        <v>10.73716819728322</v>
      </c>
      <c r="O64" s="323"/>
    </row>
    <row r="65" spans="1:15" s="4" customFormat="1" ht="15">
      <c r="A65" s="192">
        <v>61</v>
      </c>
      <c r="B65" s="236" t="s">
        <v>190</v>
      </c>
      <c r="C65" s="146">
        <v>40228</v>
      </c>
      <c r="D65" s="255" t="s">
        <v>162</v>
      </c>
      <c r="E65" s="114">
        <v>88</v>
      </c>
      <c r="F65" s="114">
        <v>3</v>
      </c>
      <c r="G65" s="114">
        <v>5</v>
      </c>
      <c r="H65" s="327">
        <v>2571</v>
      </c>
      <c r="I65" s="394">
        <v>454</v>
      </c>
      <c r="J65" s="395">
        <f>I65/F65</f>
        <v>151.33333333333334</v>
      </c>
      <c r="K65" s="396">
        <f>+H65/I65</f>
        <v>5.6629955947136565</v>
      </c>
      <c r="L65" s="397">
        <v>1166287</v>
      </c>
      <c r="M65" s="395">
        <v>115191</v>
      </c>
      <c r="N65" s="398">
        <f>+L65/M65</f>
        <v>10.12481009801113</v>
      </c>
      <c r="O65" s="323"/>
    </row>
    <row r="66" spans="1:15" s="4" customFormat="1" ht="15">
      <c r="A66" s="124">
        <v>62</v>
      </c>
      <c r="B66" s="236" t="s">
        <v>119</v>
      </c>
      <c r="C66" s="146">
        <v>40088</v>
      </c>
      <c r="D66" s="100" t="s">
        <v>59</v>
      </c>
      <c r="E66" s="114">
        <v>25</v>
      </c>
      <c r="F66" s="114">
        <v>2</v>
      </c>
      <c r="G66" s="114">
        <v>11</v>
      </c>
      <c r="H66" s="327">
        <v>2376</v>
      </c>
      <c r="I66" s="394">
        <v>475</v>
      </c>
      <c r="J66" s="395">
        <f>I66/F66</f>
        <v>237.5</v>
      </c>
      <c r="K66" s="396">
        <f aca="true" t="shared" si="1" ref="K66:K71">H66/I66</f>
        <v>5.002105263157895</v>
      </c>
      <c r="L66" s="397">
        <v>45554.25</v>
      </c>
      <c r="M66" s="395">
        <v>7695</v>
      </c>
      <c r="N66" s="398">
        <f>+L66/M66</f>
        <v>5.919980506822612</v>
      </c>
      <c r="O66" s="323">
        <v>1</v>
      </c>
    </row>
    <row r="67" spans="1:15" s="4" customFormat="1" ht="15">
      <c r="A67" s="124">
        <v>63</v>
      </c>
      <c r="B67" s="236">
        <v>9</v>
      </c>
      <c r="C67" s="146">
        <v>40284</v>
      </c>
      <c r="D67" s="100" t="s">
        <v>163</v>
      </c>
      <c r="E67" s="114">
        <v>1</v>
      </c>
      <c r="F67" s="114">
        <v>1</v>
      </c>
      <c r="G67" s="114">
        <v>3</v>
      </c>
      <c r="H67" s="327">
        <v>2376</v>
      </c>
      <c r="I67" s="394">
        <v>594</v>
      </c>
      <c r="J67" s="395">
        <f>(I67/F67)</f>
        <v>594</v>
      </c>
      <c r="K67" s="396">
        <f t="shared" si="1"/>
        <v>4</v>
      </c>
      <c r="L67" s="397">
        <f>19938+4162+2098+2376</f>
        <v>28574</v>
      </c>
      <c r="M67" s="395">
        <f>2614+350+241+594</f>
        <v>3799</v>
      </c>
      <c r="N67" s="398">
        <f>L67/M67</f>
        <v>7.52145301395104</v>
      </c>
      <c r="O67" s="323"/>
    </row>
    <row r="68" spans="1:15" s="4" customFormat="1" ht="15">
      <c r="A68" s="192">
        <v>64</v>
      </c>
      <c r="B68" s="236" t="s">
        <v>68</v>
      </c>
      <c r="C68" s="146">
        <v>40165</v>
      </c>
      <c r="D68" s="100" t="s">
        <v>163</v>
      </c>
      <c r="E68" s="114">
        <v>74</v>
      </c>
      <c r="F68" s="114">
        <v>1</v>
      </c>
      <c r="G68" s="114">
        <v>13</v>
      </c>
      <c r="H68" s="327">
        <v>2376</v>
      </c>
      <c r="I68" s="394">
        <v>594</v>
      </c>
      <c r="J68" s="395">
        <f>(I68/F68)</f>
        <v>594</v>
      </c>
      <c r="K68" s="396">
        <f t="shared" si="1"/>
        <v>4</v>
      </c>
      <c r="L68" s="397">
        <f>507128.25+345268.5+124291.75+100787+70944+12241+11639+8352+766+3277+69+87+2376</f>
        <v>1187226.5</v>
      </c>
      <c r="M68" s="395">
        <f>53408+37346+14864+15043+11010+2268+2130+1478+133+598+23+29+594</f>
        <v>138924</v>
      </c>
      <c r="N68" s="398">
        <f>L68/M68</f>
        <v>8.545870403961878</v>
      </c>
      <c r="O68" s="323">
        <v>1</v>
      </c>
    </row>
    <row r="69" spans="1:15" s="4" customFormat="1" ht="15">
      <c r="A69" s="124">
        <v>65</v>
      </c>
      <c r="B69" s="236" t="s">
        <v>223</v>
      </c>
      <c r="C69" s="146">
        <v>40249</v>
      </c>
      <c r="D69" s="100" t="s">
        <v>163</v>
      </c>
      <c r="E69" s="114">
        <v>1</v>
      </c>
      <c r="F69" s="114">
        <v>1</v>
      </c>
      <c r="G69" s="114">
        <v>6</v>
      </c>
      <c r="H69" s="327">
        <v>2376</v>
      </c>
      <c r="I69" s="394">
        <v>594</v>
      </c>
      <c r="J69" s="395">
        <f>(I69/F69)</f>
        <v>594</v>
      </c>
      <c r="K69" s="396">
        <f t="shared" si="1"/>
        <v>4</v>
      </c>
      <c r="L69" s="397">
        <f>13599.5+20829+12139+2892+1300+2783.5+2376</f>
        <v>55919</v>
      </c>
      <c r="M69" s="395">
        <f>894+1348+783+335+154+243+594</f>
        <v>4351</v>
      </c>
      <c r="N69" s="398">
        <f>L69/M69</f>
        <v>12.851988048724431</v>
      </c>
      <c r="O69" s="323"/>
    </row>
    <row r="70" spans="1:15" s="4" customFormat="1" ht="15">
      <c r="A70" s="124">
        <v>66</v>
      </c>
      <c r="B70" s="236" t="s">
        <v>213</v>
      </c>
      <c r="C70" s="146">
        <v>40179</v>
      </c>
      <c r="D70" s="100" t="s">
        <v>163</v>
      </c>
      <c r="E70" s="114">
        <v>8</v>
      </c>
      <c r="F70" s="114">
        <v>1</v>
      </c>
      <c r="G70" s="114">
        <v>13</v>
      </c>
      <c r="H70" s="327">
        <v>2324</v>
      </c>
      <c r="I70" s="394">
        <v>369</v>
      </c>
      <c r="J70" s="395">
        <f>(I70/F70)</f>
        <v>369</v>
      </c>
      <c r="K70" s="396">
        <f t="shared" si="1"/>
        <v>6.29810298102981</v>
      </c>
      <c r="L70" s="397">
        <f>61026+19560+4475+1071+144+9277.5+1552+556+2995+1900+2085+1949.5+2324</f>
        <v>108915</v>
      </c>
      <c r="M70" s="395">
        <f>4540+1674+518+171+26+988+221+91+392+265+285+283+369</f>
        <v>9823</v>
      </c>
      <c r="N70" s="398">
        <f>L70/M70</f>
        <v>11.087753232210119</v>
      </c>
      <c r="O70" s="323"/>
    </row>
    <row r="71" spans="1:15" s="4" customFormat="1" ht="15">
      <c r="A71" s="192">
        <v>67</v>
      </c>
      <c r="B71" s="236" t="s">
        <v>121</v>
      </c>
      <c r="C71" s="146">
        <v>39920</v>
      </c>
      <c r="D71" s="100" t="s">
        <v>163</v>
      </c>
      <c r="E71" s="114">
        <v>133</v>
      </c>
      <c r="F71" s="114">
        <v>1</v>
      </c>
      <c r="G71" s="114">
        <v>22</v>
      </c>
      <c r="H71" s="327">
        <v>2020</v>
      </c>
      <c r="I71" s="394">
        <v>505</v>
      </c>
      <c r="J71" s="395">
        <f>(I71/F71)</f>
        <v>505</v>
      </c>
      <c r="K71" s="396">
        <f t="shared" si="1"/>
        <v>4</v>
      </c>
      <c r="L71" s="397">
        <f>814797.5+158602+44526+7105.5+1443+731+330+3273+1356+388+2317+2290.5+138+112.5+37+1136+51+98+1424+1780+1780+2020</f>
        <v>1045736</v>
      </c>
      <c r="M71" s="395">
        <f>100614+19257+6285+1176+234+205+67+783+301+48+521+500+23+18+9+170+23+30+356+445+445+505</f>
        <v>132015</v>
      </c>
      <c r="N71" s="398">
        <f>L71/M71</f>
        <v>7.921342271711548</v>
      </c>
      <c r="O71" s="323"/>
    </row>
    <row r="72" spans="1:15" s="4" customFormat="1" ht="15">
      <c r="A72" s="124">
        <v>68</v>
      </c>
      <c r="B72" s="236" t="s">
        <v>204</v>
      </c>
      <c r="C72" s="146">
        <v>40200</v>
      </c>
      <c r="D72" s="255" t="s">
        <v>162</v>
      </c>
      <c r="E72" s="114">
        <v>95</v>
      </c>
      <c r="F72" s="114">
        <v>6</v>
      </c>
      <c r="G72" s="114">
        <v>15</v>
      </c>
      <c r="H72" s="327">
        <v>2002</v>
      </c>
      <c r="I72" s="394">
        <v>552</v>
      </c>
      <c r="J72" s="395">
        <f>I72/F72</f>
        <v>92</v>
      </c>
      <c r="K72" s="396">
        <f>+H72/I72</f>
        <v>3.6268115942028984</v>
      </c>
      <c r="L72" s="397">
        <v>1940086</v>
      </c>
      <c r="M72" s="395">
        <v>216597</v>
      </c>
      <c r="N72" s="398">
        <f>+L72/M72</f>
        <v>8.957123136516202</v>
      </c>
      <c r="O72" s="323"/>
    </row>
    <row r="73" spans="1:15" s="4" customFormat="1" ht="15">
      <c r="A73" s="124">
        <v>69</v>
      </c>
      <c r="B73" s="236" t="s">
        <v>28</v>
      </c>
      <c r="C73" s="146">
        <v>40193</v>
      </c>
      <c r="D73" s="113" t="s">
        <v>165</v>
      </c>
      <c r="E73" s="114">
        <v>86</v>
      </c>
      <c r="F73" s="114">
        <v>2</v>
      </c>
      <c r="G73" s="114">
        <v>12</v>
      </c>
      <c r="H73" s="327">
        <v>1952</v>
      </c>
      <c r="I73" s="394">
        <v>325</v>
      </c>
      <c r="J73" s="395">
        <f>IF(H73&lt;&gt;0,I73/F73,"")</f>
        <v>162.5</v>
      </c>
      <c r="K73" s="396">
        <f>IF(H73&lt;&gt;0,H73/I73,"")</f>
        <v>6.006153846153846</v>
      </c>
      <c r="L73" s="397">
        <v>1671186.5</v>
      </c>
      <c r="M73" s="395">
        <v>183078</v>
      </c>
      <c r="N73" s="398">
        <f>IF(L73&lt;&gt;0,L73/M73,"")</f>
        <v>9.128275926107998</v>
      </c>
      <c r="O73" s="323"/>
    </row>
    <row r="74" spans="1:15" s="4" customFormat="1" ht="15">
      <c r="A74" s="192">
        <v>70</v>
      </c>
      <c r="B74" s="236" t="s">
        <v>183</v>
      </c>
      <c r="C74" s="146">
        <v>40221</v>
      </c>
      <c r="D74" s="193" t="s">
        <v>49</v>
      </c>
      <c r="E74" s="114">
        <v>378</v>
      </c>
      <c r="F74" s="114">
        <v>3</v>
      </c>
      <c r="G74" s="114">
        <v>12</v>
      </c>
      <c r="H74" s="327">
        <v>1889</v>
      </c>
      <c r="I74" s="394">
        <v>615</v>
      </c>
      <c r="J74" s="395">
        <f>I74/F74</f>
        <v>205</v>
      </c>
      <c r="K74" s="396">
        <f>H74/I74</f>
        <v>3.0715447154471547</v>
      </c>
      <c r="L74" s="397">
        <f>15262368+6874188.5+2847763.25-223+1769171+1008022.25+602324.75+244767.5+35902+50854+1772+740+466+1889</f>
        <v>28700005.25</v>
      </c>
      <c r="M74" s="395">
        <f>1752204+788243+333771+209388+119359+72788+39635-10+7563+234+104+69+615</f>
        <v>3323963</v>
      </c>
      <c r="N74" s="398">
        <f>+L74/M74</f>
        <v>8.634273380901051</v>
      </c>
      <c r="O74" s="323">
        <v>1</v>
      </c>
    </row>
    <row r="75" spans="1:15" s="4" customFormat="1" ht="15">
      <c r="A75" s="124">
        <v>71</v>
      </c>
      <c r="B75" s="236" t="s">
        <v>63</v>
      </c>
      <c r="C75" s="146">
        <v>40172</v>
      </c>
      <c r="D75" s="100" t="s">
        <v>163</v>
      </c>
      <c r="E75" s="114">
        <v>60</v>
      </c>
      <c r="F75" s="114">
        <v>8</v>
      </c>
      <c r="G75" s="114">
        <v>19</v>
      </c>
      <c r="H75" s="327">
        <v>1803</v>
      </c>
      <c r="I75" s="394">
        <v>429</v>
      </c>
      <c r="J75" s="395">
        <f>(I75/F75)</f>
        <v>53.625</v>
      </c>
      <c r="K75" s="396">
        <f>H75/I75</f>
        <v>4.2027972027972025</v>
      </c>
      <c r="L75" s="397">
        <f>421775.5+397095.5+287050+215248.5+189819.5+180729.5+86816.5+23840+19148+14942.5+8798.5+9599+13618.5+4298+4028+3310+8547+6712.5+1803</f>
        <v>1897180</v>
      </c>
      <c r="M75" s="395">
        <f>43739+40732+31780+27356+25902+24895+12153+4496+3179+3069+1650+2236+3335+954+829+540+1945+1297+429</f>
        <v>230516</v>
      </c>
      <c r="N75" s="398">
        <f>L75/M75</f>
        <v>8.230144545281021</v>
      </c>
      <c r="O75" s="323"/>
    </row>
    <row r="76" spans="1:15" s="4" customFormat="1" ht="15">
      <c r="A76" s="124">
        <v>72</v>
      </c>
      <c r="B76" s="236" t="s">
        <v>12</v>
      </c>
      <c r="C76" s="146">
        <v>39920</v>
      </c>
      <c r="D76" s="100" t="s">
        <v>163</v>
      </c>
      <c r="E76" s="114">
        <v>43</v>
      </c>
      <c r="F76" s="114">
        <v>1</v>
      </c>
      <c r="G76" s="114">
        <v>34</v>
      </c>
      <c r="H76" s="327">
        <v>1780</v>
      </c>
      <c r="I76" s="394">
        <v>445</v>
      </c>
      <c r="J76" s="395">
        <f>(I76/F76)</f>
        <v>445</v>
      </c>
      <c r="K76" s="396">
        <f>H76/I76</f>
        <v>4</v>
      </c>
      <c r="L76" s="397">
        <f>71921.5+55489+28896+23842.5+13474.5+19552.5+14027+10409+7091.5+1088.5+1046+1608+982+3368+433+2156+3870+2362+588+3564+2376+1424+1780+1424+1512+1188+952+952+952+6292+5340+1512+3532+1780</f>
        <v>296785</v>
      </c>
      <c r="M76" s="395">
        <f>9131+7791+4520+4728+2735+3857+3026+2110+1463+203+226+324+239+809+81+469+941+537+95+891+594+356+445+356+378+297+238+238+238+1573+1335+378+883+445</f>
        <v>51930</v>
      </c>
      <c r="N76" s="398">
        <f>L76/M76</f>
        <v>5.7150972462930865</v>
      </c>
      <c r="O76" s="323">
        <v>1</v>
      </c>
    </row>
    <row r="77" spans="1:15" s="4" customFormat="1" ht="15">
      <c r="A77" s="192">
        <v>73</v>
      </c>
      <c r="B77" s="236" t="s">
        <v>45</v>
      </c>
      <c r="C77" s="146">
        <v>40095</v>
      </c>
      <c r="D77" s="100" t="s">
        <v>163</v>
      </c>
      <c r="E77" s="114">
        <v>22</v>
      </c>
      <c r="F77" s="114">
        <v>1</v>
      </c>
      <c r="G77" s="114">
        <v>13</v>
      </c>
      <c r="H77" s="327">
        <v>1780</v>
      </c>
      <c r="I77" s="394">
        <v>445</v>
      </c>
      <c r="J77" s="395">
        <f>(I77/F77)</f>
        <v>445</v>
      </c>
      <c r="K77" s="396">
        <f>H77/I77</f>
        <v>4</v>
      </c>
      <c r="L77" s="397">
        <f>158809.5+140713.25+103696.25+38523+19360+17458+1188+196+2484+3158+1780+2933+1780</f>
        <v>492079</v>
      </c>
      <c r="M77" s="395">
        <f>14214+13110+10683+4685+3074+2645+297+16+571+596+445+584+445</f>
        <v>51365</v>
      </c>
      <c r="N77" s="398">
        <f>L77/M77</f>
        <v>9.580044777572278</v>
      </c>
      <c r="O77" s="323"/>
    </row>
    <row r="78" spans="1:15" s="4" customFormat="1" ht="15">
      <c r="A78" s="124">
        <v>74</v>
      </c>
      <c r="B78" s="236" t="s">
        <v>65</v>
      </c>
      <c r="C78" s="146">
        <v>40179</v>
      </c>
      <c r="D78" s="100" t="s">
        <v>163</v>
      </c>
      <c r="E78" s="114">
        <v>42</v>
      </c>
      <c r="F78" s="114">
        <v>2</v>
      </c>
      <c r="G78" s="114">
        <v>17</v>
      </c>
      <c r="H78" s="327">
        <v>1689</v>
      </c>
      <c r="I78" s="394">
        <v>203</v>
      </c>
      <c r="J78" s="395">
        <f>(I78/F78)</f>
        <v>101.5</v>
      </c>
      <c r="K78" s="396">
        <f>H78/I78</f>
        <v>8.320197044334975</v>
      </c>
      <c r="L78" s="397">
        <f>310442.5+275157.5+119153+26271.5+19971.5+13231+6468+3094+3122+818+3348+2300+3563+967.5+3712+860+1689</f>
        <v>794168.5</v>
      </c>
      <c r="M78" s="395">
        <f>26771+24068+11328+2954+1983+1309+737+492+663+147+552+369+891+351+402+113+203</f>
        <v>73333</v>
      </c>
      <c r="N78" s="398">
        <f>L78/M78</f>
        <v>10.829619680089454</v>
      </c>
      <c r="O78" s="323"/>
    </row>
    <row r="79" spans="1:15" s="4" customFormat="1" ht="15">
      <c r="A79" s="124">
        <v>75</v>
      </c>
      <c r="B79" s="236" t="s">
        <v>229</v>
      </c>
      <c r="C79" s="146">
        <v>40256</v>
      </c>
      <c r="D79" s="255" t="s">
        <v>162</v>
      </c>
      <c r="E79" s="114">
        <v>77</v>
      </c>
      <c r="F79" s="114">
        <v>3</v>
      </c>
      <c r="G79" s="114">
        <v>7</v>
      </c>
      <c r="H79" s="327">
        <v>1664</v>
      </c>
      <c r="I79" s="394">
        <v>318</v>
      </c>
      <c r="J79" s="395">
        <f>I79/F79</f>
        <v>106</v>
      </c>
      <c r="K79" s="396">
        <f>+H79/I79</f>
        <v>5.232704402515723</v>
      </c>
      <c r="L79" s="397">
        <v>249492</v>
      </c>
      <c r="M79" s="395">
        <v>28864</v>
      </c>
      <c r="N79" s="398">
        <f>+L79/M79</f>
        <v>8.643708425720622</v>
      </c>
      <c r="O79" s="323">
        <v>1</v>
      </c>
    </row>
    <row r="80" spans="1:15" s="4" customFormat="1" ht="15">
      <c r="A80" s="192">
        <v>76</v>
      </c>
      <c r="B80" s="236" t="s">
        <v>56</v>
      </c>
      <c r="C80" s="146">
        <v>40151</v>
      </c>
      <c r="D80" s="100" t="s">
        <v>163</v>
      </c>
      <c r="E80" s="114">
        <v>8</v>
      </c>
      <c r="F80" s="114">
        <v>2</v>
      </c>
      <c r="G80" s="114">
        <v>13</v>
      </c>
      <c r="H80" s="327">
        <v>1567.5</v>
      </c>
      <c r="I80" s="394">
        <v>190</v>
      </c>
      <c r="J80" s="395">
        <f>(I80/F80)</f>
        <v>95</v>
      </c>
      <c r="K80" s="396">
        <f>H80/I80</f>
        <v>8.25</v>
      </c>
      <c r="L80" s="397">
        <f>69195.5+29540+2797+8009+1473.5+4958.5+4691.5+45+762+3228+1780+1780+1567.5</f>
        <v>129827.5</v>
      </c>
      <c r="M80" s="395">
        <f>5170+2208+292+904+296+693+949+9+122+613+445+445+190</f>
        <v>12336</v>
      </c>
      <c r="N80" s="398">
        <f>L80/M80</f>
        <v>10.524278534370946</v>
      </c>
      <c r="O80" s="323"/>
    </row>
    <row r="81" spans="1:15" s="4" customFormat="1" ht="15">
      <c r="A81" s="124">
        <v>77</v>
      </c>
      <c r="B81" s="236" t="s">
        <v>236</v>
      </c>
      <c r="C81" s="146">
        <v>40263</v>
      </c>
      <c r="D81" s="100" t="s">
        <v>168</v>
      </c>
      <c r="E81" s="114">
        <v>10</v>
      </c>
      <c r="F81" s="114">
        <v>4</v>
      </c>
      <c r="G81" s="114">
        <v>5</v>
      </c>
      <c r="H81" s="327">
        <v>1525</v>
      </c>
      <c r="I81" s="394">
        <v>206</v>
      </c>
      <c r="J81" s="395">
        <f>I81/F81</f>
        <v>51.5</v>
      </c>
      <c r="K81" s="396">
        <f>H81/I81</f>
        <v>7.402912621359223</v>
      </c>
      <c r="L81" s="397">
        <v>53107</v>
      </c>
      <c r="M81" s="395">
        <v>4437</v>
      </c>
      <c r="N81" s="398">
        <f>+L81/M81</f>
        <v>11.969123281496506</v>
      </c>
      <c r="O81" s="323"/>
    </row>
    <row r="82" spans="1:15" s="4" customFormat="1" ht="15">
      <c r="A82" s="124">
        <v>78</v>
      </c>
      <c r="B82" s="236" t="s">
        <v>280</v>
      </c>
      <c r="C82" s="146">
        <v>40123</v>
      </c>
      <c r="D82" s="193" t="s">
        <v>49</v>
      </c>
      <c r="E82" s="114">
        <v>42</v>
      </c>
      <c r="F82" s="114">
        <v>1</v>
      </c>
      <c r="G82" s="114">
        <v>7</v>
      </c>
      <c r="H82" s="327">
        <v>1474</v>
      </c>
      <c r="I82" s="394">
        <v>205</v>
      </c>
      <c r="J82" s="395">
        <f>I82/F82</f>
        <v>205</v>
      </c>
      <c r="K82" s="396">
        <f>H82/I82</f>
        <v>7.190243902439025</v>
      </c>
      <c r="L82" s="397">
        <f>47428.75+11738.5+1089+270+547+3735+1243+1474</f>
        <v>67525.25</v>
      </c>
      <c r="M82" s="395">
        <f>4865+1345+40+185+107+665+226+205</f>
        <v>7638</v>
      </c>
      <c r="N82" s="398">
        <f>+L82/M82</f>
        <v>8.840697826656193</v>
      </c>
      <c r="O82" s="323">
        <v>1</v>
      </c>
    </row>
    <row r="83" spans="1:15" s="4" customFormat="1" ht="15">
      <c r="A83" s="192">
        <v>79</v>
      </c>
      <c r="B83" s="236" t="s">
        <v>67</v>
      </c>
      <c r="C83" s="146">
        <v>40165</v>
      </c>
      <c r="D83" s="113" t="s">
        <v>165</v>
      </c>
      <c r="E83" s="114">
        <v>38</v>
      </c>
      <c r="F83" s="114">
        <v>2</v>
      </c>
      <c r="G83" s="114">
        <v>18</v>
      </c>
      <c r="H83" s="327">
        <v>1330</v>
      </c>
      <c r="I83" s="394">
        <v>186</v>
      </c>
      <c r="J83" s="395">
        <f>IF(H83&lt;&gt;0,I83/F83,"")</f>
        <v>93</v>
      </c>
      <c r="K83" s="396">
        <f>IF(H83&lt;&gt;0,H83/I83,"")</f>
        <v>7.150537634408602</v>
      </c>
      <c r="L83" s="397">
        <v>1127286</v>
      </c>
      <c r="M83" s="395">
        <v>137459</v>
      </c>
      <c r="N83" s="398">
        <f>IF(L83&lt;&gt;0,L83/M83,"")</f>
        <v>8.200888992354084</v>
      </c>
      <c r="O83" s="323">
        <v>1</v>
      </c>
    </row>
    <row r="84" spans="1:15" s="4" customFormat="1" ht="15">
      <c r="A84" s="124">
        <v>80</v>
      </c>
      <c r="B84" s="236" t="s">
        <v>207</v>
      </c>
      <c r="C84" s="146">
        <v>40186</v>
      </c>
      <c r="D84" s="100" t="s">
        <v>163</v>
      </c>
      <c r="E84" s="114">
        <v>4</v>
      </c>
      <c r="F84" s="114">
        <v>3</v>
      </c>
      <c r="G84" s="114">
        <v>16</v>
      </c>
      <c r="H84" s="327">
        <v>1312</v>
      </c>
      <c r="I84" s="394">
        <v>203</v>
      </c>
      <c r="J84" s="395">
        <f>(I84/F84)</f>
        <v>67.66666666666667</v>
      </c>
      <c r="K84" s="396">
        <f>H84/I84</f>
        <v>6.463054187192118</v>
      </c>
      <c r="L84" s="397">
        <f>19677.25+6138.5+538+2308.5+3432+4106+4545+2392+1206+871+128+4196+2703+2446.5+1659+1312</f>
        <v>57658.75</v>
      </c>
      <c r="M84" s="395">
        <f>1627+845+84+359+556+884+725+553+247+208+25+390+412+288+355+203</f>
        <v>7761</v>
      </c>
      <c r="N84" s="398">
        <f>L84/M84</f>
        <v>7.429293905424559</v>
      </c>
      <c r="O84" s="323"/>
    </row>
    <row r="85" spans="1:15" s="4" customFormat="1" ht="15">
      <c r="A85" s="124">
        <v>81</v>
      </c>
      <c r="B85" s="236" t="s">
        <v>95</v>
      </c>
      <c r="C85" s="146">
        <v>40130</v>
      </c>
      <c r="D85" s="100" t="s">
        <v>163</v>
      </c>
      <c r="E85" s="114">
        <v>13</v>
      </c>
      <c r="F85" s="114">
        <v>1</v>
      </c>
      <c r="G85" s="114">
        <v>14</v>
      </c>
      <c r="H85" s="327">
        <v>1001.04</v>
      </c>
      <c r="I85" s="394">
        <v>229</v>
      </c>
      <c r="J85" s="395">
        <f>(I85/F85)</f>
        <v>229</v>
      </c>
      <c r="K85" s="396">
        <f>H85/I85</f>
        <v>4.371353711790393</v>
      </c>
      <c r="L85" s="397">
        <f>61012+24426+6122+10040+4081+228+2698+1216+1678.5+1457+452+472+1209.4+1001.04</f>
        <v>116092.93999999999</v>
      </c>
      <c r="M85" s="395">
        <f>5982+2401+678+1620+879+42+433+305+334+339+195+86+256+229</f>
        <v>13779</v>
      </c>
      <c r="N85" s="398">
        <f>L85/M85</f>
        <v>8.425353073517671</v>
      </c>
      <c r="O85" s="323">
        <v>1</v>
      </c>
    </row>
    <row r="86" spans="1:15" s="4" customFormat="1" ht="15">
      <c r="A86" s="192">
        <v>82</v>
      </c>
      <c r="B86" s="236" t="s">
        <v>123</v>
      </c>
      <c r="C86" s="146">
        <v>40088</v>
      </c>
      <c r="D86" s="100" t="s">
        <v>163</v>
      </c>
      <c r="E86" s="114">
        <v>22</v>
      </c>
      <c r="F86" s="114">
        <v>2</v>
      </c>
      <c r="G86" s="114">
        <v>19</v>
      </c>
      <c r="H86" s="327">
        <v>862</v>
      </c>
      <c r="I86" s="394">
        <v>134</v>
      </c>
      <c r="J86" s="395">
        <f>(I86/F86)</f>
        <v>67</v>
      </c>
      <c r="K86" s="396">
        <f>H86/I86</f>
        <v>6.432835820895522</v>
      </c>
      <c r="L86" s="397">
        <f>25195+10013.5+1152+270+83.5+141+48+709.5+1424+1356+5416.5+126229.75+19059.5+5814+6475.5+5450+6300+4948+862</f>
        <v>220947.75</v>
      </c>
      <c r="M86" s="395">
        <f>2139+1282+178+44+14+26+8+240+356+299+446+10017+1456+869+877+646+776+686+134</f>
        <v>20493</v>
      </c>
      <c r="N86" s="398">
        <f>L86/M86</f>
        <v>10.781620553359684</v>
      </c>
      <c r="O86" s="323"/>
    </row>
    <row r="87" spans="1:15" s="4" customFormat="1" ht="15">
      <c r="A87" s="124">
        <v>83</v>
      </c>
      <c r="B87" s="147" t="s">
        <v>201</v>
      </c>
      <c r="C87" s="146">
        <v>40200</v>
      </c>
      <c r="D87" s="193" t="s">
        <v>49</v>
      </c>
      <c r="E87" s="114">
        <v>203</v>
      </c>
      <c r="F87" s="114">
        <v>1</v>
      </c>
      <c r="G87" s="114">
        <v>11</v>
      </c>
      <c r="H87" s="327">
        <v>759</v>
      </c>
      <c r="I87" s="394">
        <v>129</v>
      </c>
      <c r="J87" s="395">
        <f>I87/F87</f>
        <v>129</v>
      </c>
      <c r="K87" s="396">
        <f>H87/I87</f>
        <v>5.883720930232558</v>
      </c>
      <c r="L87" s="397">
        <f>3375939.75+2025612.25+1005793.75+228158+129822-591+58554+4486+0.5+8491+759.5+1035+759</f>
        <v>6838819.75</v>
      </c>
      <c r="M87" s="395">
        <f>390291+234725-168+117153-100+30011-18+18391+466+8404+725+1222+127+171+129</f>
        <v>801529</v>
      </c>
      <c r="N87" s="398">
        <f>+L87/M87</f>
        <v>8.5322174868283</v>
      </c>
      <c r="O87" s="323">
        <v>1</v>
      </c>
    </row>
    <row r="88" spans="1:15" s="4" customFormat="1" ht="15">
      <c r="A88" s="124">
        <v>84</v>
      </c>
      <c r="B88" s="236" t="s">
        <v>198</v>
      </c>
      <c r="C88" s="146">
        <v>40109</v>
      </c>
      <c r="D88" s="100" t="s">
        <v>163</v>
      </c>
      <c r="E88" s="114">
        <v>25</v>
      </c>
      <c r="F88" s="114">
        <v>1</v>
      </c>
      <c r="G88" s="114">
        <v>20</v>
      </c>
      <c r="H88" s="327">
        <v>715.04</v>
      </c>
      <c r="I88" s="394">
        <v>166</v>
      </c>
      <c r="J88" s="395">
        <f>(I88/F88)</f>
        <v>166</v>
      </c>
      <c r="K88" s="396">
        <f>H88/I88</f>
        <v>4.307469879518072</v>
      </c>
      <c r="L88" s="397">
        <f>198009+121514.5+95148.5+66495+23091+12092+17648.5+7279+6352.5+7838.5+3895+13931+9479.5+3364+826.5+1019+54+36+440+715.04</f>
        <v>589228.54</v>
      </c>
      <c r="M88" s="395">
        <f>27092+16078+14204+10980+3903+1664+3329+1236+1212+1399+730+2457+1696+753+144+178+18+12+96+166</f>
        <v>87347</v>
      </c>
      <c r="N88" s="398">
        <f>L88/M88</f>
        <v>6.7458360332925</v>
      </c>
      <c r="O88" s="323">
        <v>1</v>
      </c>
    </row>
    <row r="89" spans="1:15" s="4" customFormat="1" ht="15">
      <c r="A89" s="192">
        <v>85</v>
      </c>
      <c r="B89" s="147" t="s">
        <v>281</v>
      </c>
      <c r="C89" s="146">
        <v>40193</v>
      </c>
      <c r="D89" s="113" t="s">
        <v>165</v>
      </c>
      <c r="E89" s="114">
        <v>124</v>
      </c>
      <c r="F89" s="114">
        <v>2</v>
      </c>
      <c r="G89" s="114">
        <v>11</v>
      </c>
      <c r="H89" s="327">
        <v>708</v>
      </c>
      <c r="I89" s="394">
        <v>123</v>
      </c>
      <c r="J89" s="395">
        <f>IF(H89&lt;&gt;0,I89/F89,"")</f>
        <v>61.5</v>
      </c>
      <c r="K89" s="396">
        <f>IF(H89&lt;&gt;0,H89/I89,"")</f>
        <v>5.7560975609756095</v>
      </c>
      <c r="L89" s="397">
        <v>453870.75</v>
      </c>
      <c r="M89" s="395">
        <v>57073</v>
      </c>
      <c r="N89" s="398">
        <f>IF(L89&lt;&gt;0,L89/M89,"")</f>
        <v>7.952460007358996</v>
      </c>
      <c r="O89" s="323">
        <v>1</v>
      </c>
    </row>
    <row r="90" spans="1:15" s="4" customFormat="1" ht="15">
      <c r="A90" s="124">
        <v>86</v>
      </c>
      <c r="B90" s="236" t="s">
        <v>203</v>
      </c>
      <c r="C90" s="146">
        <v>39899</v>
      </c>
      <c r="D90" s="100" t="s">
        <v>163</v>
      </c>
      <c r="E90" s="114">
        <v>16</v>
      </c>
      <c r="F90" s="114">
        <v>1</v>
      </c>
      <c r="G90" s="114">
        <v>20</v>
      </c>
      <c r="H90" s="327">
        <v>648.46</v>
      </c>
      <c r="I90" s="394">
        <v>151</v>
      </c>
      <c r="J90" s="395">
        <f>(I90/F90)</f>
        <v>151</v>
      </c>
      <c r="K90" s="396">
        <f>H90/I90</f>
        <v>4.2944370860927155</v>
      </c>
      <c r="L90" s="397">
        <f>31480+15536+8716+2149+2897+1360+2390+1251+322+381+329+492+928+436+1103+1913+46+240+669.28+648.46</f>
        <v>73286.74</v>
      </c>
      <c r="M90" s="395">
        <f>3450+1778+1361+440+508+248+548+290+68+72+58+96+96+70+137+309+9+48+150+151</f>
        <v>9887</v>
      </c>
      <c r="N90" s="398">
        <f>L90/M90</f>
        <v>7.412434509962577</v>
      </c>
      <c r="O90" s="323">
        <v>1</v>
      </c>
    </row>
    <row r="91" spans="1:15" s="4" customFormat="1" ht="15">
      <c r="A91" s="124">
        <v>87</v>
      </c>
      <c r="B91" s="147" t="s">
        <v>196</v>
      </c>
      <c r="C91" s="146">
        <v>40235</v>
      </c>
      <c r="D91" s="100" t="s">
        <v>161</v>
      </c>
      <c r="E91" s="114">
        <v>91</v>
      </c>
      <c r="F91" s="114">
        <v>1</v>
      </c>
      <c r="G91" s="114">
        <v>6</v>
      </c>
      <c r="H91" s="327">
        <v>627</v>
      </c>
      <c r="I91" s="394">
        <v>115</v>
      </c>
      <c r="J91" s="395">
        <f>I91/F91</f>
        <v>115</v>
      </c>
      <c r="K91" s="396">
        <f>H91/I91</f>
        <v>5.452173913043478</v>
      </c>
      <c r="L91" s="397">
        <f>150520+96696+16630+2740+822+462+627</f>
        <v>268497</v>
      </c>
      <c r="M91" s="395">
        <f>18446+12241+2317+413+126+68+115</f>
        <v>33726</v>
      </c>
      <c r="N91" s="398">
        <f>+L91/M91</f>
        <v>7.9611279131827075</v>
      </c>
      <c r="O91" s="323">
        <v>1</v>
      </c>
    </row>
    <row r="92" spans="1:15" s="4" customFormat="1" ht="15">
      <c r="A92" s="192">
        <v>88</v>
      </c>
      <c r="B92" s="236" t="s">
        <v>41</v>
      </c>
      <c r="C92" s="146">
        <v>39995</v>
      </c>
      <c r="D92" s="100" t="s">
        <v>163</v>
      </c>
      <c r="E92" s="114">
        <v>209</v>
      </c>
      <c r="F92" s="114">
        <v>1</v>
      </c>
      <c r="G92" s="114">
        <v>43</v>
      </c>
      <c r="H92" s="327">
        <v>592</v>
      </c>
      <c r="I92" s="394">
        <v>148</v>
      </c>
      <c r="J92" s="395">
        <f>(I92/F92)</f>
        <v>148</v>
      </c>
      <c r="K92" s="396">
        <f>H92/I92</f>
        <v>4</v>
      </c>
      <c r="L92" s="397">
        <f>872160.5+3062686.25+2016658.5+1330226.25+943221.5+742732+516667.5+450351.5+331944.75+238834+191406+133484.5+252388.75+88483.5+54821.5+50455.5+10393.5+13219.5+4551+15537+5404+869+4082+1834+3805+1635+750+1385+2821+5898+4584.5+5853+2137+508+960+2260+10448+960+932+543+451+1939+592+592</f>
        <v>11381466</v>
      </c>
      <c r="M92" s="395">
        <f>115039+364710+241056+162109+115810+90639+66180+59650+44695+33272+25508+18324+32600+11489+6695+7353+1723+3013+920+3530+1123+138+968+454+919+396+210+249+551+1381+976+1328+506+127+240+565+2612+240+233+106+87+474+148+148</f>
        <v>1418494</v>
      </c>
      <c r="N92" s="398">
        <f>L92/M92</f>
        <v>8.023626465815154</v>
      </c>
      <c r="O92" s="323"/>
    </row>
    <row r="93" spans="1:15" s="4" customFormat="1" ht="15">
      <c r="A93" s="124">
        <v>89</v>
      </c>
      <c r="B93" s="236" t="s">
        <v>42</v>
      </c>
      <c r="C93" s="146">
        <v>40067</v>
      </c>
      <c r="D93" s="113" t="s">
        <v>165</v>
      </c>
      <c r="E93" s="114">
        <v>105</v>
      </c>
      <c r="F93" s="114">
        <v>1</v>
      </c>
      <c r="G93" s="114">
        <v>29</v>
      </c>
      <c r="H93" s="327">
        <v>473</v>
      </c>
      <c r="I93" s="394">
        <v>141</v>
      </c>
      <c r="J93" s="395">
        <f>IF(H93&lt;&gt;0,I93/F93,"")</f>
        <v>141</v>
      </c>
      <c r="K93" s="396">
        <f>IF(H93&lt;&gt;0,H93/I93,"")</f>
        <v>3.354609929078014</v>
      </c>
      <c r="L93" s="397">
        <v>636692.5</v>
      </c>
      <c r="M93" s="395">
        <v>77109</v>
      </c>
      <c r="N93" s="398">
        <f>IF(L93&lt;&gt;0,L93/M93,"")</f>
        <v>8.257045221699153</v>
      </c>
      <c r="O93" s="323"/>
    </row>
    <row r="94" spans="1:15" s="4" customFormat="1" ht="15">
      <c r="A94" s="124">
        <v>90</v>
      </c>
      <c r="B94" s="236" t="s">
        <v>206</v>
      </c>
      <c r="C94" s="146">
        <v>40186</v>
      </c>
      <c r="D94" s="100" t="s">
        <v>163</v>
      </c>
      <c r="E94" s="114">
        <v>4</v>
      </c>
      <c r="F94" s="114">
        <v>1</v>
      </c>
      <c r="G94" s="114">
        <v>15</v>
      </c>
      <c r="H94" s="327">
        <v>457</v>
      </c>
      <c r="I94" s="394">
        <v>80</v>
      </c>
      <c r="J94" s="395">
        <f>(I94/F94)</f>
        <v>80</v>
      </c>
      <c r="K94" s="396">
        <f aca="true" t="shared" si="2" ref="K94:K103">H94/I94</f>
        <v>5.7125</v>
      </c>
      <c r="L94" s="397">
        <f>16093+2026+1632+2529+3793+924+2564+676+3194+1248+212+417+889.5+1049+457</f>
        <v>37703.5</v>
      </c>
      <c r="M94" s="395">
        <f>1351+257+325+456+731+166+434+122+514+237+26+59+327+141+80</f>
        <v>5226</v>
      </c>
      <c r="N94" s="398">
        <f>L94/M94</f>
        <v>7.214600076540375</v>
      </c>
      <c r="O94" s="323"/>
    </row>
    <row r="95" spans="1:15" s="4" customFormat="1" ht="15">
      <c r="A95" s="192">
        <v>91</v>
      </c>
      <c r="B95" s="236" t="s">
        <v>129</v>
      </c>
      <c r="C95" s="146">
        <v>40081</v>
      </c>
      <c r="D95" s="100" t="s">
        <v>114</v>
      </c>
      <c r="E95" s="114">
        <v>30</v>
      </c>
      <c r="F95" s="114">
        <v>1</v>
      </c>
      <c r="G95" s="114">
        <v>8</v>
      </c>
      <c r="H95" s="327">
        <v>441.65</v>
      </c>
      <c r="I95" s="394">
        <v>99</v>
      </c>
      <c r="J95" s="395">
        <f>I95/F95</f>
        <v>99</v>
      </c>
      <c r="K95" s="396">
        <f t="shared" si="2"/>
        <v>4.461111111111111</v>
      </c>
      <c r="L95" s="397">
        <f>105083+638.35+3603+441.65</f>
        <v>109766</v>
      </c>
      <c r="M95" s="395">
        <f>13106+143+721+99</f>
        <v>14069</v>
      </c>
      <c r="N95" s="398">
        <f>+L95/M95</f>
        <v>7.801975975549079</v>
      </c>
      <c r="O95" s="323">
        <v>1</v>
      </c>
    </row>
    <row r="96" spans="1:15" s="4" customFormat="1" ht="15">
      <c r="A96" s="124">
        <v>92</v>
      </c>
      <c r="B96" s="236" t="s">
        <v>131</v>
      </c>
      <c r="C96" s="146">
        <v>39836</v>
      </c>
      <c r="D96" s="100" t="s">
        <v>163</v>
      </c>
      <c r="E96" s="114">
        <v>13</v>
      </c>
      <c r="F96" s="114">
        <v>1</v>
      </c>
      <c r="G96" s="114">
        <v>25</v>
      </c>
      <c r="H96" s="327">
        <v>415.64</v>
      </c>
      <c r="I96" s="394">
        <v>95</v>
      </c>
      <c r="J96" s="395">
        <f>(I96/F96)</f>
        <v>95</v>
      </c>
      <c r="K96" s="396">
        <f t="shared" si="2"/>
        <v>4.375157894736842</v>
      </c>
      <c r="L96" s="397">
        <f>57133.5+23554+18557+9186+29743.5+13631.5+13446+7072+7029+8018.5+7220.5+2856.5+1828+102+3517+635+324+30+2146+1842+376+154+799+463.52+415.64</f>
        <v>210080.16</v>
      </c>
      <c r="M96" s="395">
        <f>5405+2651+2356+1389+3583+1713+1661+1216+1174+1324+1425+542+453+16+757+96+108+10+508+436+35+14+67+102+95</f>
        <v>27136</v>
      </c>
      <c r="N96" s="398">
        <f>L96/M96</f>
        <v>7.741751179245283</v>
      </c>
      <c r="O96" s="323">
        <v>1</v>
      </c>
    </row>
    <row r="97" spans="1:15" s="4" customFormat="1" ht="15">
      <c r="A97" s="124">
        <v>93</v>
      </c>
      <c r="B97" s="236" t="s">
        <v>136</v>
      </c>
      <c r="C97" s="146">
        <v>39941</v>
      </c>
      <c r="D97" s="100" t="s">
        <v>163</v>
      </c>
      <c r="E97" s="114">
        <v>26</v>
      </c>
      <c r="F97" s="114">
        <v>1</v>
      </c>
      <c r="G97" s="114">
        <v>25</v>
      </c>
      <c r="H97" s="327">
        <v>381.86</v>
      </c>
      <c r="I97" s="394">
        <v>92</v>
      </c>
      <c r="J97" s="395">
        <f>(I97/F97)</f>
        <v>92</v>
      </c>
      <c r="K97" s="396">
        <f t="shared" si="2"/>
        <v>4.150652173913044</v>
      </c>
      <c r="L97" s="397">
        <f>36482.75+16583.5+5922.75+3249+4769+4925+4199.5+5525+366+924+414+2215+2444+33+1987+838+1440+537+604+3792+2376+1780+3800+2376+310.7+381.86</f>
        <v>108275.06</v>
      </c>
      <c r="M97" s="395">
        <f>4495+1934+744+517+1003+1215+722+968+65+193+83+369+384+5+336+159+238+83+151+948+594+445+950+594+72+92</f>
        <v>17359</v>
      </c>
      <c r="N97" s="398">
        <f>L97/M97</f>
        <v>6.237401924073967</v>
      </c>
      <c r="O97" s="323">
        <v>1</v>
      </c>
    </row>
    <row r="98" spans="1:15" s="4" customFormat="1" ht="15">
      <c r="A98" s="192">
        <v>94</v>
      </c>
      <c r="B98" s="236" t="s">
        <v>33</v>
      </c>
      <c r="C98" s="146">
        <v>40095</v>
      </c>
      <c r="D98" s="100" t="s">
        <v>163</v>
      </c>
      <c r="E98" s="114">
        <v>52</v>
      </c>
      <c r="F98" s="114">
        <v>1</v>
      </c>
      <c r="G98" s="114">
        <v>12</v>
      </c>
      <c r="H98" s="327">
        <v>364.82</v>
      </c>
      <c r="I98" s="394">
        <v>87</v>
      </c>
      <c r="J98" s="395">
        <f>(I98/F98)</f>
        <v>87</v>
      </c>
      <c r="K98" s="396">
        <f t="shared" si="2"/>
        <v>4.193333333333333</v>
      </c>
      <c r="L98" s="397">
        <f>108013.25+68864+27976+10214+2402+2209+1188+2968+1780+1780+2427.4+364.82</f>
        <v>230186.47</v>
      </c>
      <c r="M98" s="395">
        <f>12202+8144+4339+1841+481+460+297+742+445+445+599+87</f>
        <v>30082</v>
      </c>
      <c r="N98" s="398">
        <f>L98/M98</f>
        <v>7.651966956984243</v>
      </c>
      <c r="O98" s="323">
        <v>1</v>
      </c>
    </row>
    <row r="99" spans="1:15" s="4" customFormat="1" ht="15">
      <c r="A99" s="124">
        <v>95</v>
      </c>
      <c r="B99" s="236" t="s">
        <v>257</v>
      </c>
      <c r="C99" s="146">
        <v>39801</v>
      </c>
      <c r="D99" s="100" t="s">
        <v>163</v>
      </c>
      <c r="E99" s="114">
        <v>42</v>
      </c>
      <c r="F99" s="114">
        <v>1</v>
      </c>
      <c r="G99" s="114">
        <v>35</v>
      </c>
      <c r="H99" s="327">
        <v>291.4</v>
      </c>
      <c r="I99" s="394">
        <v>63</v>
      </c>
      <c r="J99" s="395">
        <f>(I99/F99)</f>
        <v>63</v>
      </c>
      <c r="K99" s="396">
        <f t="shared" si="2"/>
        <v>4.625396825396825</v>
      </c>
      <c r="L99" s="397">
        <f>295344+204961.5+145464.5+116108.5+111972.5+49984+26327+32042+18579+20005+19180+15980+2686.5+3166.5+366+13433+4493+735.5+607.5+2528+83+198+248+2348+825+2700+2268+393+2002+2063+343+1188+2020+398.46+291.4</f>
        <v>1101332.8599999999</v>
      </c>
      <c r="M99" s="395">
        <f>36142+24747+19417+15404+14719+7567+3314+5289+3173+3275+3534+2826+540+724+52+2536+882+130+150+615+21+66+51+497+165+675+506+78+241+404+59+297+505+86+63</f>
        <v>148750</v>
      </c>
      <c r="N99" s="398">
        <f>L99/M99</f>
        <v>7.403918386554621</v>
      </c>
      <c r="O99" s="323">
        <v>1</v>
      </c>
    </row>
    <row r="100" spans="1:15" s="4" customFormat="1" ht="15">
      <c r="A100" s="124">
        <v>96</v>
      </c>
      <c r="B100" s="236" t="s">
        <v>55</v>
      </c>
      <c r="C100" s="146">
        <v>40137</v>
      </c>
      <c r="D100" s="100" t="s">
        <v>161</v>
      </c>
      <c r="E100" s="114">
        <v>20</v>
      </c>
      <c r="F100" s="114">
        <v>1</v>
      </c>
      <c r="G100" s="114">
        <v>24</v>
      </c>
      <c r="H100" s="327">
        <v>245</v>
      </c>
      <c r="I100" s="394">
        <v>43</v>
      </c>
      <c r="J100" s="395">
        <f>I100/F100</f>
        <v>43</v>
      </c>
      <c r="K100" s="396">
        <f t="shared" si="2"/>
        <v>5.6976744186046515</v>
      </c>
      <c r="L100" s="397">
        <f>1034595+1595+413+264+1393+81+1190+1190+1659+245</f>
        <v>1042625</v>
      </c>
      <c r="M100" s="395">
        <f>85844+247+59+36+214+30+238+238+215+43</f>
        <v>87164</v>
      </c>
      <c r="N100" s="398">
        <f>+L100/M100</f>
        <v>11.961647010233582</v>
      </c>
      <c r="O100" s="323"/>
    </row>
    <row r="101" spans="1:15" s="4" customFormat="1" ht="15">
      <c r="A101" s="192">
        <v>97</v>
      </c>
      <c r="B101" s="236" t="s">
        <v>78</v>
      </c>
      <c r="C101" s="146">
        <v>40235</v>
      </c>
      <c r="D101" s="100" t="s">
        <v>161</v>
      </c>
      <c r="E101" s="114">
        <v>27</v>
      </c>
      <c r="F101" s="114">
        <v>1</v>
      </c>
      <c r="G101" s="114">
        <v>9</v>
      </c>
      <c r="H101" s="327">
        <v>232</v>
      </c>
      <c r="I101" s="394">
        <v>39</v>
      </c>
      <c r="J101" s="395">
        <f>I101/F101</f>
        <v>39</v>
      </c>
      <c r="K101" s="396">
        <f t="shared" si="2"/>
        <v>5.948717948717949</v>
      </c>
      <c r="L101" s="397">
        <f>98211+58288+7002+639+1026+2731+2677+498+4966+232</f>
        <v>176270</v>
      </c>
      <c r="M101" s="395">
        <f>8036+4847+608+64+146+343+453+86+509+39</f>
        <v>15131</v>
      </c>
      <c r="N101" s="398">
        <f>+L101/M101</f>
        <v>11.649593549666248</v>
      </c>
      <c r="O101" s="323"/>
    </row>
    <row r="102" spans="1:15" s="4" customFormat="1" ht="15">
      <c r="A102" s="192">
        <v>98</v>
      </c>
      <c r="B102" s="236" t="s">
        <v>134</v>
      </c>
      <c r="C102" s="146">
        <v>39703</v>
      </c>
      <c r="D102" s="100" t="s">
        <v>163</v>
      </c>
      <c r="E102" s="114">
        <v>6</v>
      </c>
      <c r="F102" s="114">
        <v>1</v>
      </c>
      <c r="G102" s="114">
        <v>20</v>
      </c>
      <c r="H102" s="327">
        <v>226.58</v>
      </c>
      <c r="I102" s="394">
        <v>57</v>
      </c>
      <c r="J102" s="395">
        <f>(I102/F102)</f>
        <v>57</v>
      </c>
      <c r="K102" s="396">
        <f t="shared" si="2"/>
        <v>3.9750877192982457</v>
      </c>
      <c r="L102" s="397">
        <f>18453+18044+4959+3105.5+2221+2795+1156+907+1188+3416+108+86+53+73+1664+1508+46+2020+75.88+226.58</f>
        <v>62104.96</v>
      </c>
      <c r="M102" s="395">
        <f>1896+1808+596+485+314+510+270+216+297+854+33+15+9+11+416+377+4+505+18+57</f>
        <v>8691</v>
      </c>
      <c r="N102" s="398">
        <f>L102/M102</f>
        <v>7.1458934529973535</v>
      </c>
      <c r="O102" s="323">
        <v>1</v>
      </c>
    </row>
    <row r="103" spans="1:15" s="4" customFormat="1" ht="15">
      <c r="A103" s="124">
        <v>99</v>
      </c>
      <c r="B103" s="236" t="s">
        <v>205</v>
      </c>
      <c r="C103" s="146">
        <v>40193</v>
      </c>
      <c r="D103" s="100" t="s">
        <v>163</v>
      </c>
      <c r="E103" s="114">
        <v>55</v>
      </c>
      <c r="F103" s="114">
        <v>1</v>
      </c>
      <c r="G103" s="114">
        <v>16</v>
      </c>
      <c r="H103" s="327">
        <v>198</v>
      </c>
      <c r="I103" s="394">
        <v>55</v>
      </c>
      <c r="J103" s="395">
        <f>(I103/F103)</f>
        <v>55</v>
      </c>
      <c r="K103" s="396">
        <f t="shared" si="2"/>
        <v>3.6</v>
      </c>
      <c r="L103" s="397">
        <f>197266+158498+94472.5+25746.5+5341+4975+4175+3550+3868+6158+8020+1277+951+3397+4599+198</f>
        <v>522492</v>
      </c>
      <c r="M103" s="395">
        <f>19567+17056+12441+3194+866+909+697+693+818+1478+1988+298+238+832+1154+55</f>
        <v>62284</v>
      </c>
      <c r="N103" s="398">
        <f>L103/M103</f>
        <v>8.388863913685698</v>
      </c>
      <c r="O103" s="323"/>
    </row>
    <row r="104" spans="1:15" s="4" customFormat="1" ht="15">
      <c r="A104" s="124">
        <v>100</v>
      </c>
      <c r="B104" s="147" t="s">
        <v>83</v>
      </c>
      <c r="C104" s="146">
        <v>40235</v>
      </c>
      <c r="D104" s="255" t="s">
        <v>162</v>
      </c>
      <c r="E104" s="114">
        <v>46</v>
      </c>
      <c r="F104" s="114">
        <v>1</v>
      </c>
      <c r="G104" s="114">
        <v>10</v>
      </c>
      <c r="H104" s="327">
        <v>138</v>
      </c>
      <c r="I104" s="394">
        <v>23</v>
      </c>
      <c r="J104" s="395">
        <f>I104/F104</f>
        <v>23</v>
      </c>
      <c r="K104" s="396">
        <f>+H104/I104</f>
        <v>6</v>
      </c>
      <c r="L104" s="397">
        <v>256371</v>
      </c>
      <c r="M104" s="395">
        <v>25148</v>
      </c>
      <c r="N104" s="398">
        <f>+L104/M104</f>
        <v>10.194488627326228</v>
      </c>
      <c r="O104" s="323"/>
    </row>
    <row r="105" spans="1:15" s="4" customFormat="1" ht="15">
      <c r="A105" s="192">
        <v>101</v>
      </c>
      <c r="B105" s="236" t="s">
        <v>132</v>
      </c>
      <c r="C105" s="146">
        <v>39871</v>
      </c>
      <c r="D105" s="100" t="s">
        <v>163</v>
      </c>
      <c r="E105" s="114">
        <v>6</v>
      </c>
      <c r="F105" s="114">
        <v>1</v>
      </c>
      <c r="G105" s="114">
        <v>14</v>
      </c>
      <c r="H105" s="327">
        <v>72</v>
      </c>
      <c r="I105" s="394">
        <v>15</v>
      </c>
      <c r="J105" s="395">
        <f>(I105/F105)</f>
        <v>15</v>
      </c>
      <c r="K105" s="396">
        <f>H105/I105</f>
        <v>4.8</v>
      </c>
      <c r="L105" s="397">
        <f>10784+5573+660+1421+910+383+1328+245+1176.5+396+237+184+396.58+72</f>
        <v>23766.08</v>
      </c>
      <c r="M105" s="395">
        <f>1170+612+72+185+145+72+129+49+165+72+54+44+88+15</f>
        <v>2872</v>
      </c>
      <c r="N105" s="398">
        <f>L105/M105</f>
        <v>8.275097493036212</v>
      </c>
      <c r="O105" s="323">
        <v>1</v>
      </c>
    </row>
    <row r="106" spans="1:15" s="4" customFormat="1" ht="15">
      <c r="A106" s="192">
        <v>102</v>
      </c>
      <c r="B106" s="236" t="s">
        <v>133</v>
      </c>
      <c r="C106" s="146">
        <v>39731</v>
      </c>
      <c r="D106" s="113" t="s">
        <v>165</v>
      </c>
      <c r="E106" s="114">
        <v>131</v>
      </c>
      <c r="F106" s="114">
        <v>1</v>
      </c>
      <c r="G106" s="114">
        <v>16</v>
      </c>
      <c r="H106" s="327">
        <v>64</v>
      </c>
      <c r="I106" s="394">
        <v>16</v>
      </c>
      <c r="J106" s="395">
        <f>IF(H106&lt;&gt;0,I106/F106,"")</f>
        <v>16</v>
      </c>
      <c r="K106" s="396">
        <f>IF(H106&lt;&gt;0,H106/I106,"")</f>
        <v>4</v>
      </c>
      <c r="L106" s="397">
        <v>1233728</v>
      </c>
      <c r="M106" s="395">
        <v>157877</v>
      </c>
      <c r="N106" s="398">
        <f>IF(L106&lt;&gt;0,L106/M106,"")</f>
        <v>7.814488494207516</v>
      </c>
      <c r="O106" s="323">
        <v>1</v>
      </c>
    </row>
    <row r="107" spans="1:15" s="4" customFormat="1" ht="15">
      <c r="A107" s="412" t="s">
        <v>166</v>
      </c>
      <c r="B107" s="413"/>
      <c r="C107" s="7"/>
      <c r="D107" s="9"/>
      <c r="E107" s="108"/>
      <c r="F107" s="109"/>
      <c r="G107" s="108"/>
      <c r="H107" s="11">
        <f>SUM(H5:H101)</f>
        <v>3340828.3699999996</v>
      </c>
      <c r="I107" s="12">
        <f>SUM(I5:I101)</f>
        <v>377761</v>
      </c>
      <c r="J107" s="17"/>
      <c r="K107" s="18"/>
      <c r="L107" s="19"/>
      <c r="M107" s="20"/>
      <c r="N107" s="196"/>
      <c r="O107" s="268"/>
    </row>
    <row r="108" spans="1:15" s="4" customFormat="1" ht="13.5">
      <c r="A108" s="148"/>
      <c r="B108" s="149"/>
      <c r="C108" s="150"/>
      <c r="D108" s="151"/>
      <c r="E108" s="152"/>
      <c r="F108" s="152"/>
      <c r="G108" s="152"/>
      <c r="H108" s="153"/>
      <c r="I108" s="154"/>
      <c r="J108" s="155"/>
      <c r="K108" s="156"/>
      <c r="L108" s="157"/>
      <c r="M108" s="158"/>
      <c r="N108" s="197"/>
      <c r="O108" s="268"/>
    </row>
    <row r="109" spans="1:15" s="4" customFormat="1" ht="15">
      <c r="A109" s="148"/>
      <c r="B109" s="159"/>
      <c r="C109" s="160"/>
      <c r="D109" s="161"/>
      <c r="E109" s="162"/>
      <c r="F109" s="163"/>
      <c r="G109" s="152"/>
      <c r="H109" s="153"/>
      <c r="I109" s="154"/>
      <c r="J109" s="414" t="s">
        <v>164</v>
      </c>
      <c r="K109" s="415"/>
      <c r="L109" s="415"/>
      <c r="M109" s="415"/>
      <c r="N109" s="415"/>
      <c r="O109" s="268"/>
    </row>
    <row r="110" spans="1:15" s="4" customFormat="1" ht="15">
      <c r="A110" s="148"/>
      <c r="B110" s="159"/>
      <c r="C110" s="160"/>
      <c r="D110" s="161"/>
      <c r="E110" s="162"/>
      <c r="F110" s="152"/>
      <c r="G110" s="164"/>
      <c r="H110" s="153"/>
      <c r="I110" s="154"/>
      <c r="J110" s="415"/>
      <c r="K110" s="415"/>
      <c r="L110" s="415"/>
      <c r="M110" s="415"/>
      <c r="N110" s="415"/>
      <c r="O110" s="268"/>
    </row>
    <row r="111" spans="1:14" s="8" customFormat="1" ht="15">
      <c r="A111" s="148"/>
      <c r="B111" s="159"/>
      <c r="C111" s="160"/>
      <c r="D111" s="161"/>
      <c r="E111" s="162"/>
      <c r="F111" s="152"/>
      <c r="G111" s="164"/>
      <c r="H111" s="153"/>
      <c r="I111" s="154"/>
      <c r="J111" s="415"/>
      <c r="K111" s="415"/>
      <c r="L111" s="415"/>
      <c r="M111" s="415"/>
      <c r="N111" s="415"/>
    </row>
    <row r="112" spans="1:15" s="4" customFormat="1" ht="15">
      <c r="A112" s="148"/>
      <c r="B112" s="159"/>
      <c r="C112" s="160"/>
      <c r="D112" s="161"/>
      <c r="E112" s="162"/>
      <c r="F112" s="152"/>
      <c r="G112" s="164"/>
      <c r="H112" s="153"/>
      <c r="I112" s="154"/>
      <c r="J112" s="416"/>
      <c r="K112" s="416"/>
      <c r="L112" s="416"/>
      <c r="M112" s="416"/>
      <c r="N112" s="416"/>
      <c r="O112" s="268"/>
    </row>
    <row r="113" spans="1:15" s="4" customFormat="1" ht="15">
      <c r="A113" s="148"/>
      <c r="B113" s="159"/>
      <c r="C113" s="160"/>
      <c r="D113" s="161"/>
      <c r="E113" s="162"/>
      <c r="F113" s="152"/>
      <c r="G113" s="409" t="s">
        <v>142</v>
      </c>
      <c r="H113" s="410"/>
      <c r="I113" s="410"/>
      <c r="J113" s="410"/>
      <c r="K113" s="410"/>
      <c r="L113" s="410"/>
      <c r="M113" s="410"/>
      <c r="N113" s="410"/>
      <c r="O113" s="268"/>
    </row>
    <row r="114" spans="1:15" s="4" customFormat="1" ht="15">
      <c r="A114" s="148"/>
      <c r="B114" s="159"/>
      <c r="C114" s="160"/>
      <c r="D114" s="161"/>
      <c r="E114" s="162"/>
      <c r="F114" s="162"/>
      <c r="G114" s="410"/>
      <c r="H114" s="410"/>
      <c r="I114" s="410"/>
      <c r="J114" s="410"/>
      <c r="K114" s="410"/>
      <c r="L114" s="410"/>
      <c r="M114" s="410"/>
      <c r="N114" s="410"/>
      <c r="O114" s="268"/>
    </row>
    <row r="115" spans="1:15" s="4" customFormat="1" ht="15">
      <c r="A115" s="148"/>
      <c r="B115" s="159"/>
      <c r="C115" s="160"/>
      <c r="D115" s="161"/>
      <c r="E115" s="162"/>
      <c r="F115" s="152"/>
      <c r="G115" s="410"/>
      <c r="H115" s="410"/>
      <c r="I115" s="410"/>
      <c r="J115" s="410"/>
      <c r="K115" s="410"/>
      <c r="L115" s="410"/>
      <c r="M115" s="410"/>
      <c r="N115" s="410"/>
      <c r="O115" s="268"/>
    </row>
    <row r="116" spans="1:15" s="4" customFormat="1" ht="15">
      <c r="A116" s="148"/>
      <c r="B116" s="159"/>
      <c r="C116" s="160"/>
      <c r="D116" s="161"/>
      <c r="E116" s="162"/>
      <c r="F116" s="152"/>
      <c r="G116" s="410"/>
      <c r="H116" s="410"/>
      <c r="I116" s="410"/>
      <c r="J116" s="410"/>
      <c r="K116" s="410"/>
      <c r="L116" s="410"/>
      <c r="M116" s="410"/>
      <c r="N116" s="410"/>
      <c r="O116" s="268"/>
    </row>
    <row r="117" spans="1:15" s="4" customFormat="1" ht="15">
      <c r="A117" s="148"/>
      <c r="B117" s="159"/>
      <c r="C117" s="160"/>
      <c r="D117" s="161"/>
      <c r="E117" s="162"/>
      <c r="F117" s="152"/>
      <c r="G117" s="410"/>
      <c r="H117" s="410"/>
      <c r="I117" s="410"/>
      <c r="J117" s="410"/>
      <c r="K117" s="410"/>
      <c r="L117" s="410"/>
      <c r="M117" s="410"/>
      <c r="N117" s="410"/>
      <c r="O117" s="268"/>
    </row>
    <row r="118" spans="1:15" s="6" customFormat="1" ht="15">
      <c r="A118" s="148"/>
      <c r="B118" s="159"/>
      <c r="C118" s="160"/>
      <c r="D118" s="161"/>
      <c r="E118" s="162"/>
      <c r="F118" s="152"/>
      <c r="G118" s="410"/>
      <c r="H118" s="410"/>
      <c r="I118" s="410"/>
      <c r="J118" s="410"/>
      <c r="K118" s="410"/>
      <c r="L118" s="410"/>
      <c r="M118" s="410"/>
      <c r="N118" s="410"/>
      <c r="O118" s="269"/>
    </row>
    <row r="119" spans="1:15" s="6" customFormat="1" ht="15">
      <c r="A119" s="148"/>
      <c r="B119" s="159"/>
      <c r="C119" s="160"/>
      <c r="D119" s="161"/>
      <c r="E119" s="162"/>
      <c r="F119" s="152"/>
      <c r="G119" s="411" t="s">
        <v>109</v>
      </c>
      <c r="H119" s="410"/>
      <c r="I119" s="410"/>
      <c r="J119" s="410"/>
      <c r="K119" s="410"/>
      <c r="L119" s="410"/>
      <c r="M119" s="410"/>
      <c r="N119" s="410"/>
      <c r="O119" s="269"/>
    </row>
    <row r="120" spans="1:15" s="6" customFormat="1" ht="15">
      <c r="A120" s="148"/>
      <c r="B120" s="159"/>
      <c r="C120" s="160"/>
      <c r="D120" s="161"/>
      <c r="E120" s="162"/>
      <c r="F120" s="152"/>
      <c r="G120" s="410"/>
      <c r="H120" s="410"/>
      <c r="I120" s="410"/>
      <c r="J120" s="410"/>
      <c r="K120" s="410"/>
      <c r="L120" s="410"/>
      <c r="M120" s="410"/>
      <c r="N120" s="410"/>
      <c r="O120" s="269"/>
    </row>
    <row r="121" spans="1:15" s="6" customFormat="1" ht="15">
      <c r="A121" s="148"/>
      <c r="B121" s="159"/>
      <c r="C121" s="160"/>
      <c r="D121" s="161"/>
      <c r="E121" s="162"/>
      <c r="F121" s="152"/>
      <c r="G121" s="410"/>
      <c r="H121" s="410"/>
      <c r="I121" s="410"/>
      <c r="J121" s="410"/>
      <c r="K121" s="410"/>
      <c r="L121" s="410"/>
      <c r="M121" s="410"/>
      <c r="N121" s="410"/>
      <c r="O121" s="269"/>
    </row>
    <row r="122" spans="1:15" s="6" customFormat="1" ht="15">
      <c r="A122" s="148"/>
      <c r="B122" s="159"/>
      <c r="C122" s="160"/>
      <c r="D122" s="161"/>
      <c r="E122" s="162"/>
      <c r="F122" s="152"/>
      <c r="G122" s="410"/>
      <c r="H122" s="410"/>
      <c r="I122" s="410"/>
      <c r="J122" s="410"/>
      <c r="K122" s="410"/>
      <c r="L122" s="410"/>
      <c r="M122" s="410"/>
      <c r="N122" s="410"/>
      <c r="O122" s="269"/>
    </row>
    <row r="123" spans="1:15" s="6" customFormat="1" ht="15">
      <c r="A123" s="148"/>
      <c r="B123" s="159"/>
      <c r="C123" s="160"/>
      <c r="D123" s="161"/>
      <c r="E123" s="162"/>
      <c r="F123" s="152"/>
      <c r="G123" s="410"/>
      <c r="H123" s="410"/>
      <c r="I123" s="410"/>
      <c r="J123" s="410"/>
      <c r="K123" s="410"/>
      <c r="L123" s="410"/>
      <c r="M123" s="410"/>
      <c r="N123" s="410"/>
      <c r="O123" s="269"/>
    </row>
    <row r="124" spans="1:15" s="6" customFormat="1" ht="15">
      <c r="A124" s="148"/>
      <c r="B124" s="165"/>
      <c r="C124" s="166"/>
      <c r="D124" s="167"/>
      <c r="E124" s="114"/>
      <c r="F124" s="152"/>
      <c r="G124" s="410"/>
      <c r="H124" s="410"/>
      <c r="I124" s="410"/>
      <c r="J124" s="410"/>
      <c r="K124" s="410"/>
      <c r="L124" s="410"/>
      <c r="M124" s="410"/>
      <c r="N124" s="410"/>
      <c r="O124" s="269"/>
    </row>
    <row r="125" spans="1:15" s="6" customFormat="1" ht="15">
      <c r="A125" s="148"/>
      <c r="B125" s="165"/>
      <c r="C125" s="166"/>
      <c r="D125" s="167"/>
      <c r="E125" s="114"/>
      <c r="F125" s="152"/>
      <c r="G125" s="410"/>
      <c r="H125" s="410"/>
      <c r="I125" s="410"/>
      <c r="J125" s="410"/>
      <c r="K125" s="410"/>
      <c r="L125" s="410"/>
      <c r="M125" s="410"/>
      <c r="N125" s="410"/>
      <c r="O125" s="269"/>
    </row>
    <row r="126" spans="1:15" s="6" customFormat="1" ht="15">
      <c r="A126" s="148"/>
      <c r="B126" s="165"/>
      <c r="C126" s="166"/>
      <c r="D126" s="167"/>
      <c r="E126" s="114"/>
      <c r="F126" s="152"/>
      <c r="G126" s="114"/>
      <c r="H126" s="168"/>
      <c r="I126" s="169"/>
      <c r="J126" s="170"/>
      <c r="K126" s="171"/>
      <c r="L126" s="172"/>
      <c r="M126" s="173"/>
      <c r="N126" s="198"/>
      <c r="O126" s="269"/>
    </row>
    <row r="127" spans="1:15" s="6" customFormat="1" ht="15">
      <c r="A127" s="148"/>
      <c r="B127" s="165"/>
      <c r="C127" s="166"/>
      <c r="D127" s="167"/>
      <c r="E127" s="114"/>
      <c r="F127" s="152"/>
      <c r="G127" s="114"/>
      <c r="H127" s="168"/>
      <c r="I127" s="169"/>
      <c r="J127" s="170"/>
      <c r="K127" s="171"/>
      <c r="L127" s="172"/>
      <c r="M127" s="173"/>
      <c r="N127" s="198"/>
      <c r="O127" s="269"/>
    </row>
    <row r="128" spans="1:15" s="6" customFormat="1" ht="18">
      <c r="A128" s="148"/>
      <c r="B128" s="165"/>
      <c r="C128" s="166"/>
      <c r="D128" s="167"/>
      <c r="E128" s="114"/>
      <c r="F128" s="152"/>
      <c r="G128" s="152"/>
      <c r="H128" s="174"/>
      <c r="I128" s="175"/>
      <c r="J128" s="155"/>
      <c r="K128" s="156"/>
      <c r="L128" s="176"/>
      <c r="M128" s="158"/>
      <c r="N128" s="197"/>
      <c r="O128" s="269"/>
    </row>
    <row r="129" spans="1:15" s="6" customFormat="1" ht="18">
      <c r="A129" s="148"/>
      <c r="B129" s="165"/>
      <c r="C129" s="166"/>
      <c r="D129" s="167"/>
      <c r="E129" s="114"/>
      <c r="F129" s="152"/>
      <c r="G129" s="152"/>
      <c r="H129" s="174"/>
      <c r="I129" s="175"/>
      <c r="J129" s="155"/>
      <c r="K129" s="156"/>
      <c r="L129" s="176"/>
      <c r="M129" s="158"/>
      <c r="N129" s="197"/>
      <c r="O129" s="269"/>
    </row>
    <row r="130" spans="1:15" s="6" customFormat="1" ht="15">
      <c r="A130" s="148"/>
      <c r="B130" s="165"/>
      <c r="C130" s="166"/>
      <c r="D130" s="167"/>
      <c r="E130" s="114"/>
      <c r="F130" s="114"/>
      <c r="G130" s="114"/>
      <c r="H130" s="168"/>
      <c r="I130" s="169"/>
      <c r="J130" s="170"/>
      <c r="K130" s="171"/>
      <c r="L130" s="172"/>
      <c r="M130" s="173"/>
      <c r="N130" s="198"/>
      <c r="O130" s="269"/>
    </row>
    <row r="131" spans="1:15" s="6" customFormat="1" ht="15">
      <c r="A131" s="148"/>
      <c r="B131" s="165"/>
      <c r="C131" s="166"/>
      <c r="D131" s="167"/>
      <c r="E131" s="114"/>
      <c r="F131" s="114"/>
      <c r="G131" s="114"/>
      <c r="H131" s="168"/>
      <c r="I131" s="169"/>
      <c r="J131" s="170"/>
      <c r="K131" s="171"/>
      <c r="L131" s="172"/>
      <c r="M131" s="173"/>
      <c r="N131" s="198"/>
      <c r="O131" s="269"/>
    </row>
    <row r="132" spans="2:14" ht="18">
      <c r="B132" s="165"/>
      <c r="C132" s="166"/>
      <c r="D132" s="167"/>
      <c r="E132" s="114"/>
      <c r="F132" s="114"/>
      <c r="G132" s="114"/>
      <c r="H132" s="168"/>
      <c r="I132" s="169"/>
      <c r="J132" s="170"/>
      <c r="K132" s="171"/>
      <c r="L132" s="172"/>
      <c r="M132" s="173"/>
      <c r="N132" s="198"/>
    </row>
    <row r="133" spans="2:14" ht="18">
      <c r="B133" s="165"/>
      <c r="C133" s="166"/>
      <c r="D133" s="167"/>
      <c r="E133" s="114"/>
      <c r="F133" s="114"/>
      <c r="G133" s="114"/>
      <c r="H133" s="168"/>
      <c r="I133" s="169"/>
      <c r="J133" s="170"/>
      <c r="K133" s="171"/>
      <c r="L133" s="172"/>
      <c r="M133" s="173"/>
      <c r="N133" s="198"/>
    </row>
    <row r="134" spans="2:14" ht="18">
      <c r="B134" s="165"/>
      <c r="C134" s="166"/>
      <c r="D134" s="167"/>
      <c r="E134" s="114"/>
      <c r="F134" s="114"/>
      <c r="G134" s="114"/>
      <c r="H134" s="168"/>
      <c r="I134" s="169"/>
      <c r="J134" s="170"/>
      <c r="K134" s="171"/>
      <c r="L134" s="172"/>
      <c r="M134" s="173"/>
      <c r="N134" s="198"/>
    </row>
    <row r="135" spans="2:14" ht="18">
      <c r="B135" s="165"/>
      <c r="C135" s="166"/>
      <c r="D135" s="167"/>
      <c r="E135" s="114"/>
      <c r="F135" s="114"/>
      <c r="G135" s="114"/>
      <c r="H135" s="168"/>
      <c r="I135" s="169"/>
      <c r="J135" s="170"/>
      <c r="K135" s="171"/>
      <c r="L135" s="172"/>
      <c r="M135" s="173"/>
      <c r="N135" s="198"/>
    </row>
    <row r="136" spans="2:14" ht="18">
      <c r="B136" s="165"/>
      <c r="C136" s="166"/>
      <c r="D136" s="167"/>
      <c r="E136" s="114"/>
      <c r="F136" s="114"/>
      <c r="G136" s="114"/>
      <c r="H136" s="168"/>
      <c r="I136" s="169"/>
      <c r="J136" s="170"/>
      <c r="K136" s="171"/>
      <c r="L136" s="172"/>
      <c r="M136" s="173"/>
      <c r="N136" s="198"/>
    </row>
    <row r="137" spans="2:14" ht="18">
      <c r="B137" s="165"/>
      <c r="C137" s="166"/>
      <c r="D137" s="167"/>
      <c r="E137" s="114"/>
      <c r="F137" s="114"/>
      <c r="G137" s="114"/>
      <c r="H137" s="168"/>
      <c r="I137" s="169"/>
      <c r="J137" s="170"/>
      <c r="K137" s="171"/>
      <c r="L137" s="172"/>
      <c r="M137" s="173"/>
      <c r="N137" s="198"/>
    </row>
    <row r="138" spans="6:14" ht="22.5">
      <c r="F138" s="114"/>
      <c r="G138" s="114"/>
      <c r="H138" s="168"/>
      <c r="I138" s="169"/>
      <c r="J138" s="170"/>
      <c r="K138" s="171"/>
      <c r="L138" s="172"/>
      <c r="M138" s="173"/>
      <c r="N138" s="198"/>
    </row>
    <row r="139" spans="6:14" ht="22.5">
      <c r="F139" s="114"/>
      <c r="G139" s="114"/>
      <c r="H139" s="168"/>
      <c r="I139" s="169"/>
      <c r="J139" s="170"/>
      <c r="K139" s="171"/>
      <c r="L139" s="172"/>
      <c r="M139" s="173"/>
      <c r="N139" s="198"/>
    </row>
    <row r="140" spans="6:14" ht="22.5">
      <c r="F140" s="114"/>
      <c r="G140" s="114"/>
      <c r="H140" s="168"/>
      <c r="I140" s="169"/>
      <c r="J140" s="170"/>
      <c r="K140" s="171"/>
      <c r="L140" s="172"/>
      <c r="M140" s="173"/>
      <c r="N140" s="198"/>
    </row>
    <row r="141" spans="6:14" ht="22.5">
      <c r="F141" s="114"/>
      <c r="G141" s="114"/>
      <c r="H141" s="168"/>
      <c r="I141" s="169"/>
      <c r="J141" s="170"/>
      <c r="K141" s="171"/>
      <c r="L141" s="172"/>
      <c r="M141" s="173"/>
      <c r="N141" s="198"/>
    </row>
    <row r="142" spans="6:14" ht="22.5">
      <c r="F142" s="114"/>
      <c r="G142" s="114"/>
      <c r="H142" s="168"/>
      <c r="I142" s="169"/>
      <c r="J142" s="170"/>
      <c r="K142" s="171"/>
      <c r="L142" s="172"/>
      <c r="M142" s="173"/>
      <c r="N142" s="198"/>
    </row>
    <row r="143" spans="6:14" ht="22.5">
      <c r="F143" s="114"/>
      <c r="G143" s="114"/>
      <c r="H143" s="168"/>
      <c r="I143" s="169"/>
      <c r="J143" s="170"/>
      <c r="K143" s="171"/>
      <c r="L143" s="172"/>
      <c r="M143" s="173"/>
      <c r="N143" s="198"/>
    </row>
  </sheetData>
  <sheetProtection insertRows="0" deleteRows="0" sort="0"/>
  <mergeCells count="14">
    <mergeCell ref="D3:D4"/>
    <mergeCell ref="G3:G4"/>
    <mergeCell ref="H3:K3"/>
    <mergeCell ref="C3:C4"/>
    <mergeCell ref="G113:N118"/>
    <mergeCell ref="G119:N125"/>
    <mergeCell ref="A107:B107"/>
    <mergeCell ref="J109:N111"/>
    <mergeCell ref="J112:N112"/>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ignoredErrors>
    <ignoredError sqref="P47:P51 P29:P31 P10:P16 J79:M104 N76:N104 N73 P46 J47:M73 N47:N72 P18:P27 J29:N46 P28 P6:P9 J10:N27 J5:N9" formula="1"/>
  </ignoredErrors>
  <drawing r:id="rId1"/>
</worksheet>
</file>

<file path=xl/worksheets/sheet2.xml><?xml version="1.0" encoding="utf-8"?>
<worksheet xmlns="http://schemas.openxmlformats.org/spreadsheetml/2006/main" xmlns:r="http://schemas.openxmlformats.org/officeDocument/2006/relationships">
  <dimension ref="A1:O100"/>
  <sheetViews>
    <sheetView zoomScale="110" zoomScaleNormal="110" zoomScalePageLayoutView="0" workbookViewId="0" topLeftCell="A1">
      <selection activeCell="B3" sqref="B3:B4"/>
    </sheetView>
  </sheetViews>
  <sheetFormatPr defaultColWidth="17.421875" defaultRowHeight="12.75"/>
  <cols>
    <col min="1" max="1" width="4.421875" style="316" bestFit="1" customWidth="1"/>
    <col min="2" max="2" width="73.00390625" style="301" bestFit="1" customWidth="1"/>
    <col min="3" max="3" width="11.140625" style="302" bestFit="1" customWidth="1"/>
    <col min="4" max="4" width="14.421875" style="302" customWidth="1"/>
    <col min="5" max="5" width="6.00390625" style="303" bestFit="1" customWidth="1"/>
    <col min="6" max="6" width="7.421875" style="303" customWidth="1"/>
    <col min="7" max="7" width="16.28125" style="168" bestFit="1" customWidth="1"/>
    <col min="8" max="8" width="11.421875" style="304" bestFit="1" customWidth="1"/>
    <col min="9" max="9" width="7.7109375" style="305" customWidth="1"/>
    <col min="10" max="10" width="2.421875" style="306" customWidth="1"/>
    <col min="11" max="11" width="17.421875" style="300" customWidth="1"/>
    <col min="12" max="12" width="17.421875" style="299" customWidth="1"/>
    <col min="13" max="13" width="17.421875" style="300" customWidth="1"/>
    <col min="14" max="15" width="17.421875" style="282" customWidth="1"/>
    <col min="16" max="16384" width="17.421875" style="301" customWidth="1"/>
  </cols>
  <sheetData>
    <row r="1" spans="1:13" s="291" customFormat="1" ht="34.5" thickBot="1">
      <c r="A1" s="430" t="s">
        <v>282</v>
      </c>
      <c r="B1" s="431"/>
      <c r="C1" s="431"/>
      <c r="D1" s="431"/>
      <c r="E1" s="431"/>
      <c r="F1" s="431"/>
      <c r="G1" s="431"/>
      <c r="H1" s="431"/>
      <c r="I1" s="431"/>
      <c r="J1" s="288"/>
      <c r="K1" s="289"/>
      <c r="L1" s="290"/>
      <c r="M1" s="289"/>
    </row>
    <row r="2" spans="1:15" s="287" customFormat="1" ht="13.5" thickBot="1">
      <c r="A2" s="313"/>
      <c r="B2" s="356"/>
      <c r="C2" s="357"/>
      <c r="D2" s="357"/>
      <c r="E2" s="356"/>
      <c r="F2" s="356"/>
      <c r="G2" s="358"/>
      <c r="H2" s="359"/>
      <c r="I2" s="360"/>
      <c r="J2" s="317"/>
      <c r="K2" s="292"/>
      <c r="L2" s="293"/>
      <c r="M2" s="292"/>
      <c r="N2" s="294"/>
      <c r="O2" s="294"/>
    </row>
    <row r="3" spans="1:13" s="297" customFormat="1" ht="12.75">
      <c r="A3" s="384"/>
      <c r="B3" s="432" t="s">
        <v>111</v>
      </c>
      <c r="C3" s="434" t="s">
        <v>144</v>
      </c>
      <c r="D3" s="434" t="s">
        <v>148</v>
      </c>
      <c r="E3" s="436" t="s">
        <v>150</v>
      </c>
      <c r="F3" s="436" t="s">
        <v>145</v>
      </c>
      <c r="G3" s="438" t="s">
        <v>152</v>
      </c>
      <c r="H3" s="438"/>
      <c r="I3" s="439" t="s">
        <v>146</v>
      </c>
      <c r="J3" s="318"/>
      <c r="K3" s="295"/>
      <c r="L3" s="296"/>
      <c r="M3" s="295"/>
    </row>
    <row r="4" spans="1:13" s="297" customFormat="1" ht="13.5" thickBot="1">
      <c r="A4" s="314"/>
      <c r="B4" s="433"/>
      <c r="C4" s="435"/>
      <c r="D4" s="435"/>
      <c r="E4" s="437"/>
      <c r="F4" s="437"/>
      <c r="G4" s="387" t="s">
        <v>115</v>
      </c>
      <c r="H4" s="388" t="s">
        <v>110</v>
      </c>
      <c r="I4" s="440"/>
      <c r="J4" s="318"/>
      <c r="K4" s="295"/>
      <c r="L4" s="296"/>
      <c r="M4" s="295"/>
    </row>
    <row r="5" spans="1:11" ht="15">
      <c r="A5" s="325">
        <v>1</v>
      </c>
      <c r="B5" s="373" t="s">
        <v>183</v>
      </c>
      <c r="C5" s="361">
        <v>40221</v>
      </c>
      <c r="D5" s="362" t="s">
        <v>49</v>
      </c>
      <c r="E5" s="363">
        <v>378</v>
      </c>
      <c r="F5" s="363">
        <v>12</v>
      </c>
      <c r="G5" s="364">
        <f>15262368+6874188.5+2847763.25-223+1769171+1008022.25+602324.75+244767.5+35902+50854+1772+740+466+1889</f>
        <v>28700005.25</v>
      </c>
      <c r="H5" s="365">
        <f>1752204+788243+333771+209388+119359+72788+39635-10+7563+234+104+69+615</f>
        <v>3323963</v>
      </c>
      <c r="I5" s="374">
        <f>+G5/H5</f>
        <v>8.634273380901051</v>
      </c>
      <c r="J5" s="355">
        <v>1</v>
      </c>
      <c r="K5" s="298"/>
    </row>
    <row r="6" spans="1:10" ht="15">
      <c r="A6" s="325">
        <v>2</v>
      </c>
      <c r="B6" s="373" t="s">
        <v>79</v>
      </c>
      <c r="C6" s="361">
        <v>40235</v>
      </c>
      <c r="D6" s="367" t="s">
        <v>162</v>
      </c>
      <c r="E6" s="363">
        <v>256</v>
      </c>
      <c r="F6" s="363">
        <v>10</v>
      </c>
      <c r="G6" s="364">
        <v>21025509</v>
      </c>
      <c r="H6" s="365">
        <v>2339856</v>
      </c>
      <c r="I6" s="374">
        <f>+G6/H6</f>
        <v>8.985813229532074</v>
      </c>
      <c r="J6" s="355">
        <v>1</v>
      </c>
    </row>
    <row r="7" spans="1:10" ht="15.75" thickBot="1">
      <c r="A7" s="385">
        <v>3</v>
      </c>
      <c r="B7" s="386" t="s">
        <v>191</v>
      </c>
      <c r="C7" s="378">
        <v>40179</v>
      </c>
      <c r="D7" s="379" t="s">
        <v>162</v>
      </c>
      <c r="E7" s="380">
        <v>370</v>
      </c>
      <c r="F7" s="380">
        <v>13</v>
      </c>
      <c r="G7" s="381">
        <v>20855375</v>
      </c>
      <c r="H7" s="382">
        <v>2322826</v>
      </c>
      <c r="I7" s="383">
        <f>+G7/H7</f>
        <v>8.978449096057991</v>
      </c>
      <c r="J7" s="319">
        <v>1</v>
      </c>
    </row>
    <row r="8" spans="1:10" ht="15">
      <c r="A8" s="315">
        <v>4</v>
      </c>
      <c r="B8" s="373" t="s">
        <v>235</v>
      </c>
      <c r="C8" s="361">
        <v>40263</v>
      </c>
      <c r="D8" s="362" t="s">
        <v>165</v>
      </c>
      <c r="E8" s="363">
        <v>286</v>
      </c>
      <c r="F8" s="363">
        <v>6</v>
      </c>
      <c r="G8" s="364">
        <v>9265398</v>
      </c>
      <c r="H8" s="365">
        <v>1104066</v>
      </c>
      <c r="I8" s="374">
        <f>IF(G8&lt;&gt;0,G8/H8,"")</f>
        <v>8.392068952399585</v>
      </c>
      <c r="J8" s="355">
        <v>1</v>
      </c>
    </row>
    <row r="9" spans="1:10" ht="15">
      <c r="A9" s="325">
        <v>5</v>
      </c>
      <c r="B9" s="373" t="s">
        <v>80</v>
      </c>
      <c r="C9" s="361">
        <v>40235</v>
      </c>
      <c r="D9" s="366" t="s">
        <v>163</v>
      </c>
      <c r="E9" s="363">
        <v>227</v>
      </c>
      <c r="F9" s="363">
        <v>10</v>
      </c>
      <c r="G9" s="364">
        <f>3023418.25+2075206.75+1597108.5+721641.75+353477.25+181803+99682+48621.5+31567+17849</f>
        <v>8150375</v>
      </c>
      <c r="H9" s="365">
        <f>341528+246334+201790+95967+51147+28925+18262+9293+6613+3496</f>
        <v>1003355</v>
      </c>
      <c r="I9" s="374">
        <f>G9/H9</f>
        <v>8.123121925938477</v>
      </c>
      <c r="J9" s="355">
        <v>1</v>
      </c>
    </row>
    <row r="10" spans="1:10" ht="15">
      <c r="A10" s="315">
        <v>6</v>
      </c>
      <c r="B10" s="375" t="s">
        <v>201</v>
      </c>
      <c r="C10" s="361">
        <v>40200</v>
      </c>
      <c r="D10" s="362" t="s">
        <v>49</v>
      </c>
      <c r="E10" s="363">
        <v>203</v>
      </c>
      <c r="F10" s="363">
        <v>11</v>
      </c>
      <c r="G10" s="364">
        <f>3375939.75+2025612.25+1005793.75+228158+129822-591+58554+4486+0.5+8491+759.5+1035+759</f>
        <v>6838819.75</v>
      </c>
      <c r="H10" s="365">
        <f>390291+234725-168+117153-100+30011-18+18391+466+8404+725+1222+127+171+129</f>
        <v>801529</v>
      </c>
      <c r="I10" s="374">
        <f aca="true" t="shared" si="0" ref="I10:I15">+G10/H10</f>
        <v>8.5322174868283</v>
      </c>
      <c r="J10" s="355">
        <v>1</v>
      </c>
    </row>
    <row r="11" spans="1:10" ht="15">
      <c r="A11" s="315">
        <v>7</v>
      </c>
      <c r="B11" s="373" t="s">
        <v>173</v>
      </c>
      <c r="C11" s="361">
        <v>40200</v>
      </c>
      <c r="D11" s="367" t="s">
        <v>162</v>
      </c>
      <c r="E11" s="363">
        <v>227</v>
      </c>
      <c r="F11" s="363">
        <v>13</v>
      </c>
      <c r="G11" s="364">
        <v>6707728</v>
      </c>
      <c r="H11" s="365">
        <v>748024</v>
      </c>
      <c r="I11" s="374">
        <f t="shared" si="0"/>
        <v>8.967263082467943</v>
      </c>
      <c r="J11" s="321"/>
    </row>
    <row r="12" spans="1:10" ht="15">
      <c r="A12" s="325">
        <v>8</v>
      </c>
      <c r="B12" s="373" t="s">
        <v>189</v>
      </c>
      <c r="C12" s="361">
        <v>40214</v>
      </c>
      <c r="D12" s="366" t="s">
        <v>112</v>
      </c>
      <c r="E12" s="363">
        <v>144</v>
      </c>
      <c r="F12" s="363">
        <v>13</v>
      </c>
      <c r="G12" s="364">
        <v>6042060</v>
      </c>
      <c r="H12" s="365">
        <v>655868</v>
      </c>
      <c r="I12" s="374">
        <f t="shared" si="0"/>
        <v>9.212311013801557</v>
      </c>
      <c r="J12" s="355">
        <v>1</v>
      </c>
    </row>
    <row r="13" spans="1:10" ht="15">
      <c r="A13" s="315">
        <v>9</v>
      </c>
      <c r="B13" s="373" t="s">
        <v>230</v>
      </c>
      <c r="C13" s="361">
        <v>40256</v>
      </c>
      <c r="D13" s="366" t="s">
        <v>114</v>
      </c>
      <c r="E13" s="363">
        <v>260</v>
      </c>
      <c r="F13" s="363">
        <v>7</v>
      </c>
      <c r="G13" s="364">
        <v>5176200.21</v>
      </c>
      <c r="H13" s="365">
        <v>829469</v>
      </c>
      <c r="I13" s="374">
        <f t="shared" si="0"/>
        <v>6.240378133480576</v>
      </c>
      <c r="J13" s="355">
        <v>1</v>
      </c>
    </row>
    <row r="14" spans="1:10" ht="15">
      <c r="A14" s="315">
        <v>10</v>
      </c>
      <c r="B14" s="373" t="s">
        <v>242</v>
      </c>
      <c r="C14" s="361">
        <v>40270</v>
      </c>
      <c r="D14" s="366" t="s">
        <v>161</v>
      </c>
      <c r="E14" s="363">
        <v>199</v>
      </c>
      <c r="F14" s="363">
        <v>5</v>
      </c>
      <c r="G14" s="364">
        <f>2194390+1289237-254+748077+113+329652-3097+146464</f>
        <v>4704582</v>
      </c>
      <c r="H14" s="365">
        <f>207629+125547+73554+11+36038+16277</f>
        <v>459056</v>
      </c>
      <c r="I14" s="374">
        <f t="shared" si="0"/>
        <v>10.248383639468823</v>
      </c>
      <c r="J14" s="355"/>
    </row>
    <row r="15" spans="1:15" ht="15">
      <c r="A15" s="325">
        <v>11</v>
      </c>
      <c r="B15" s="373" t="s">
        <v>218</v>
      </c>
      <c r="C15" s="361">
        <v>40242</v>
      </c>
      <c r="D15" s="367" t="s">
        <v>162</v>
      </c>
      <c r="E15" s="363">
        <v>75</v>
      </c>
      <c r="F15" s="363">
        <v>9</v>
      </c>
      <c r="G15" s="364">
        <v>3730239</v>
      </c>
      <c r="H15" s="365">
        <v>330130</v>
      </c>
      <c r="I15" s="374">
        <f t="shared" si="0"/>
        <v>11.299303304758732</v>
      </c>
      <c r="J15" s="355"/>
      <c r="K15" s="299"/>
      <c r="L15" s="300"/>
      <c r="M15" s="282"/>
      <c r="O15" s="301"/>
    </row>
    <row r="16" spans="1:15" ht="15">
      <c r="A16" s="315">
        <v>12</v>
      </c>
      <c r="B16" s="373" t="s">
        <v>215</v>
      </c>
      <c r="C16" s="361">
        <v>40242</v>
      </c>
      <c r="D16" s="362" t="s">
        <v>165</v>
      </c>
      <c r="E16" s="363">
        <v>125</v>
      </c>
      <c r="F16" s="363">
        <v>9</v>
      </c>
      <c r="G16" s="364">
        <v>2884855.5</v>
      </c>
      <c r="H16" s="365">
        <v>455984</v>
      </c>
      <c r="I16" s="374">
        <f>IF(G16&lt;&gt;0,G16/H16,"")</f>
        <v>6.326659488052212</v>
      </c>
      <c r="J16" s="355">
        <v>1</v>
      </c>
      <c r="K16" s="299"/>
      <c r="L16" s="300"/>
      <c r="M16" s="282"/>
      <c r="O16" s="301"/>
    </row>
    <row r="17" spans="1:15" ht="15">
      <c r="A17" s="315">
        <v>13</v>
      </c>
      <c r="B17" s="375" t="s">
        <v>27</v>
      </c>
      <c r="C17" s="361">
        <v>40193</v>
      </c>
      <c r="D17" s="366" t="s">
        <v>161</v>
      </c>
      <c r="E17" s="363">
        <v>83</v>
      </c>
      <c r="F17" s="363">
        <v>11</v>
      </c>
      <c r="G17" s="364">
        <f>2810668+724+2037-63+414</f>
        <v>2813780</v>
      </c>
      <c r="H17" s="365">
        <f>266748+141+403-20+72</f>
        <v>267344</v>
      </c>
      <c r="I17" s="374">
        <f>+G17/H17</f>
        <v>10.524941648213538</v>
      </c>
      <c r="J17" s="286"/>
      <c r="K17" s="299"/>
      <c r="L17" s="300"/>
      <c r="M17" s="282"/>
      <c r="O17" s="301"/>
    </row>
    <row r="18" spans="1:15" ht="15">
      <c r="A18" s="325">
        <v>14</v>
      </c>
      <c r="B18" s="373" t="s">
        <v>219</v>
      </c>
      <c r="C18" s="361">
        <v>40249</v>
      </c>
      <c r="D18" s="367" t="s">
        <v>162</v>
      </c>
      <c r="E18" s="363">
        <v>97</v>
      </c>
      <c r="F18" s="363">
        <v>8</v>
      </c>
      <c r="G18" s="364">
        <v>2244300</v>
      </c>
      <c r="H18" s="365">
        <v>223955</v>
      </c>
      <c r="I18" s="374">
        <f>+G18/H18</f>
        <v>10.021209618003617</v>
      </c>
      <c r="J18" s="355"/>
      <c r="K18" s="299"/>
      <c r="L18" s="300"/>
      <c r="M18" s="282"/>
      <c r="O18" s="301"/>
    </row>
    <row r="19" spans="1:15" ht="15">
      <c r="A19" s="315">
        <v>15</v>
      </c>
      <c r="B19" s="373" t="s">
        <v>204</v>
      </c>
      <c r="C19" s="361">
        <v>40200</v>
      </c>
      <c r="D19" s="367" t="s">
        <v>162</v>
      </c>
      <c r="E19" s="363">
        <v>95</v>
      </c>
      <c r="F19" s="363">
        <v>15</v>
      </c>
      <c r="G19" s="364">
        <v>1940086</v>
      </c>
      <c r="H19" s="365">
        <v>216597</v>
      </c>
      <c r="I19" s="374">
        <f>+G19/H19</f>
        <v>8.957123136516202</v>
      </c>
      <c r="J19" s="355"/>
      <c r="K19" s="299"/>
      <c r="L19" s="300"/>
      <c r="M19" s="282"/>
      <c r="O19" s="301"/>
    </row>
    <row r="20" spans="1:15" ht="15">
      <c r="A20" s="315">
        <v>16</v>
      </c>
      <c r="B20" s="373" t="s">
        <v>126</v>
      </c>
      <c r="C20" s="361">
        <v>40207</v>
      </c>
      <c r="D20" s="362" t="s">
        <v>165</v>
      </c>
      <c r="E20" s="363">
        <v>47</v>
      </c>
      <c r="F20" s="363">
        <v>14</v>
      </c>
      <c r="G20" s="364">
        <v>1861421.5</v>
      </c>
      <c r="H20" s="365">
        <v>158844</v>
      </c>
      <c r="I20" s="374">
        <f>IF(G20&lt;&gt;0,G20/H20,"")</f>
        <v>11.718550905290725</v>
      </c>
      <c r="J20" s="355"/>
      <c r="K20" s="299"/>
      <c r="L20" s="300"/>
      <c r="M20" s="282"/>
      <c r="O20" s="301"/>
    </row>
    <row r="21" spans="1:10" ht="15">
      <c r="A21" s="325">
        <v>17</v>
      </c>
      <c r="B21" s="373" t="s">
        <v>28</v>
      </c>
      <c r="C21" s="361">
        <v>40193</v>
      </c>
      <c r="D21" s="362" t="s">
        <v>165</v>
      </c>
      <c r="E21" s="363">
        <v>86</v>
      </c>
      <c r="F21" s="363">
        <v>12</v>
      </c>
      <c r="G21" s="364">
        <v>1671186.5</v>
      </c>
      <c r="H21" s="365">
        <v>183078</v>
      </c>
      <c r="I21" s="374">
        <f>IF(G21&lt;&gt;0,G21/H21,"")</f>
        <v>9.128275926107998</v>
      </c>
      <c r="J21" s="355"/>
    </row>
    <row r="22" spans="1:10" ht="15">
      <c r="A22" s="315">
        <v>18</v>
      </c>
      <c r="B22" s="373" t="s">
        <v>220</v>
      </c>
      <c r="C22" s="361">
        <v>40249</v>
      </c>
      <c r="D22" s="362" t="s">
        <v>165</v>
      </c>
      <c r="E22" s="363">
        <v>116</v>
      </c>
      <c r="F22" s="363">
        <v>8</v>
      </c>
      <c r="G22" s="364">
        <v>1494556.75</v>
      </c>
      <c r="H22" s="365">
        <v>199798</v>
      </c>
      <c r="I22" s="374">
        <f>IF(G22&lt;&gt;0,G22/H22,"")</f>
        <v>7.480338892281204</v>
      </c>
      <c r="J22" s="355">
        <v>1</v>
      </c>
    </row>
    <row r="23" spans="1:10" ht="15">
      <c r="A23" s="315">
        <v>19</v>
      </c>
      <c r="B23" s="373" t="s">
        <v>269</v>
      </c>
      <c r="C23" s="361">
        <v>40291</v>
      </c>
      <c r="D23" s="367" t="s">
        <v>162</v>
      </c>
      <c r="E23" s="363">
        <v>134</v>
      </c>
      <c r="F23" s="363">
        <v>2</v>
      </c>
      <c r="G23" s="364">
        <v>1463499</v>
      </c>
      <c r="H23" s="365">
        <v>125014</v>
      </c>
      <c r="I23" s="374">
        <f aca="true" t="shared" si="1" ref="I23:I29">+G23/H23</f>
        <v>11.706680851744604</v>
      </c>
      <c r="J23" s="355"/>
    </row>
    <row r="24" spans="1:10" ht="15">
      <c r="A24" s="325">
        <v>20</v>
      </c>
      <c r="B24" s="373" t="s">
        <v>74</v>
      </c>
      <c r="C24" s="361">
        <v>40214</v>
      </c>
      <c r="D24" s="366" t="s">
        <v>161</v>
      </c>
      <c r="E24" s="363">
        <v>72</v>
      </c>
      <c r="F24" s="363">
        <v>13</v>
      </c>
      <c r="G24" s="364">
        <f>1183138+6392+8065+765+4979+5626+7106+6136+4954+4355</f>
        <v>1231516</v>
      </c>
      <c r="H24" s="365">
        <f>117197+1409+1475+112+787+984+913+692+638+1179</f>
        <v>125386</v>
      </c>
      <c r="I24" s="374">
        <f t="shared" si="1"/>
        <v>9.821798286890083</v>
      </c>
      <c r="J24" s="355"/>
    </row>
    <row r="25" spans="1:10" ht="15">
      <c r="A25" s="315">
        <v>21</v>
      </c>
      <c r="B25" s="373" t="s">
        <v>190</v>
      </c>
      <c r="C25" s="361">
        <v>40228</v>
      </c>
      <c r="D25" s="367" t="s">
        <v>162</v>
      </c>
      <c r="E25" s="363">
        <v>88</v>
      </c>
      <c r="F25" s="363">
        <v>5</v>
      </c>
      <c r="G25" s="364">
        <v>1166287</v>
      </c>
      <c r="H25" s="365">
        <v>115191</v>
      </c>
      <c r="I25" s="374">
        <f t="shared" si="1"/>
        <v>10.12481009801113</v>
      </c>
      <c r="J25" s="355"/>
    </row>
    <row r="26" spans="1:10" ht="15">
      <c r="A26" s="315">
        <v>22</v>
      </c>
      <c r="B26" s="373" t="s">
        <v>221</v>
      </c>
      <c r="C26" s="361">
        <v>40249</v>
      </c>
      <c r="D26" s="362" t="s">
        <v>49</v>
      </c>
      <c r="E26" s="363">
        <v>71</v>
      </c>
      <c r="F26" s="363">
        <v>8</v>
      </c>
      <c r="G26" s="364">
        <f>432486.25+301574+151308+7+112893+51222.5+22996.5+15680+18589.5</f>
        <v>1106756.75</v>
      </c>
      <c r="H26" s="365">
        <f>50407+35095+18523+1+15427+7108+3545+2281+2896</f>
        <v>135283</v>
      </c>
      <c r="I26" s="374">
        <f t="shared" si="1"/>
        <v>8.181048247008123</v>
      </c>
      <c r="J26" s="355">
        <v>1</v>
      </c>
    </row>
    <row r="27" spans="1:10" ht="15">
      <c r="A27" s="325">
        <v>23</v>
      </c>
      <c r="B27" s="375" t="s">
        <v>182</v>
      </c>
      <c r="C27" s="361">
        <v>40221</v>
      </c>
      <c r="D27" s="366" t="s">
        <v>161</v>
      </c>
      <c r="E27" s="363">
        <v>85</v>
      </c>
      <c r="F27" s="363">
        <v>7</v>
      </c>
      <c r="G27" s="364">
        <f>1044209+15921+2+7797+2219+594+1785</f>
        <v>1072527</v>
      </c>
      <c r="H27" s="365">
        <f>97086+1857-2+1016+376+77+178</f>
        <v>100588</v>
      </c>
      <c r="I27" s="374">
        <f t="shared" si="1"/>
        <v>10.662574064500737</v>
      </c>
      <c r="J27" s="321"/>
    </row>
    <row r="28" spans="1:10" ht="15">
      <c r="A28" s="315">
        <v>24</v>
      </c>
      <c r="B28" s="375" t="s">
        <v>127</v>
      </c>
      <c r="C28" s="361">
        <v>40207</v>
      </c>
      <c r="D28" s="366" t="s">
        <v>112</v>
      </c>
      <c r="E28" s="363">
        <v>87</v>
      </c>
      <c r="F28" s="363">
        <v>10</v>
      </c>
      <c r="G28" s="364">
        <v>1053674</v>
      </c>
      <c r="H28" s="365">
        <v>99929</v>
      </c>
      <c r="I28" s="374">
        <f t="shared" si="1"/>
        <v>10.54422640074453</v>
      </c>
      <c r="J28" s="320">
        <v>1</v>
      </c>
    </row>
    <row r="29" spans="1:10" ht="15">
      <c r="A29" s="315">
        <v>25</v>
      </c>
      <c r="B29" s="373" t="s">
        <v>249</v>
      </c>
      <c r="C29" s="361">
        <v>40284</v>
      </c>
      <c r="D29" s="367" t="s">
        <v>162</v>
      </c>
      <c r="E29" s="363">
        <v>136</v>
      </c>
      <c r="F29" s="363">
        <v>3</v>
      </c>
      <c r="G29" s="364">
        <v>1025617</v>
      </c>
      <c r="H29" s="365">
        <v>119275</v>
      </c>
      <c r="I29" s="374">
        <f t="shared" si="1"/>
        <v>8.598759169985328</v>
      </c>
      <c r="J29" s="355"/>
    </row>
    <row r="30" spans="1:10" ht="15">
      <c r="A30" s="325">
        <v>26</v>
      </c>
      <c r="B30" s="373" t="s">
        <v>71</v>
      </c>
      <c r="C30" s="361">
        <v>40228</v>
      </c>
      <c r="D30" s="366" t="s">
        <v>163</v>
      </c>
      <c r="E30" s="363">
        <v>88</v>
      </c>
      <c r="F30" s="363">
        <v>11</v>
      </c>
      <c r="G30" s="364">
        <f>398810.5+242913.25+86259.3+24407+5934+18401.5+6196+5733+5724+18578.5+9687</f>
        <v>822644.05</v>
      </c>
      <c r="H30" s="365">
        <f>40763+25741+10324+3582+1012+3180+1003+1145+1163+4588+1794</f>
        <v>94295</v>
      </c>
      <c r="I30" s="374">
        <f>G30/H30</f>
        <v>8.72415345458402</v>
      </c>
      <c r="J30" s="355"/>
    </row>
    <row r="31" spans="1:10" ht="15">
      <c r="A31" s="315">
        <v>27</v>
      </c>
      <c r="B31" s="373" t="s">
        <v>128</v>
      </c>
      <c r="C31" s="361">
        <v>40207</v>
      </c>
      <c r="D31" s="367" t="s">
        <v>162</v>
      </c>
      <c r="E31" s="363">
        <v>50</v>
      </c>
      <c r="F31" s="363">
        <v>13</v>
      </c>
      <c r="G31" s="364">
        <v>812986</v>
      </c>
      <c r="H31" s="365">
        <v>72005</v>
      </c>
      <c r="I31" s="374">
        <f>+G31/H31</f>
        <v>11.290688146656482</v>
      </c>
      <c r="J31" s="285"/>
    </row>
    <row r="32" spans="1:10" ht="15">
      <c r="A32" s="315">
        <v>28</v>
      </c>
      <c r="B32" s="373" t="s">
        <v>65</v>
      </c>
      <c r="C32" s="361">
        <v>40179</v>
      </c>
      <c r="D32" s="366" t="s">
        <v>163</v>
      </c>
      <c r="E32" s="363">
        <v>42</v>
      </c>
      <c r="F32" s="363">
        <v>17</v>
      </c>
      <c r="G32" s="364">
        <f>310442.5+275157.5+119153+26271.5+19971.5+13231+6468+3094+3122+818+3348+2300+3563+967.5+3712+860+1689</f>
        <v>794168.5</v>
      </c>
      <c r="H32" s="365">
        <f>26771+24068+11328+2954+1983+1309+737+492+663+147+552+369+891+351+402+113+203</f>
        <v>73333</v>
      </c>
      <c r="I32" s="374">
        <f>G32/H32</f>
        <v>10.829619680089454</v>
      </c>
      <c r="J32" s="355"/>
    </row>
    <row r="33" spans="1:10" ht="15">
      <c r="A33" s="325">
        <v>29</v>
      </c>
      <c r="B33" s="373" t="s">
        <v>273</v>
      </c>
      <c r="C33" s="361">
        <v>40291</v>
      </c>
      <c r="D33" s="366" t="s">
        <v>161</v>
      </c>
      <c r="E33" s="363">
        <v>71</v>
      </c>
      <c r="F33" s="363">
        <v>2</v>
      </c>
      <c r="G33" s="364">
        <f>443757+217117-6</f>
        <v>660868</v>
      </c>
      <c r="H33" s="365">
        <f>41628+20820-1</f>
        <v>62447</v>
      </c>
      <c r="I33" s="374">
        <f>+G33/H33</f>
        <v>10.582862267202588</v>
      </c>
      <c r="J33" s="355"/>
    </row>
    <row r="34" spans="1:10" ht="15">
      <c r="A34" s="315">
        <v>30</v>
      </c>
      <c r="B34" s="373" t="s">
        <v>81</v>
      </c>
      <c r="C34" s="361">
        <v>40235</v>
      </c>
      <c r="D34" s="362" t="s">
        <v>165</v>
      </c>
      <c r="E34" s="363">
        <v>29</v>
      </c>
      <c r="F34" s="363">
        <v>10</v>
      </c>
      <c r="G34" s="364">
        <v>656889</v>
      </c>
      <c r="H34" s="365">
        <v>53385</v>
      </c>
      <c r="I34" s="374">
        <f>IF(G34&lt;&gt;0,G34/H34,"")</f>
        <v>12.304748524866536</v>
      </c>
      <c r="J34" s="355"/>
    </row>
    <row r="35" spans="1:10" ht="15">
      <c r="A35" s="315">
        <v>31</v>
      </c>
      <c r="B35" s="375" t="s">
        <v>209</v>
      </c>
      <c r="C35" s="361">
        <v>40193</v>
      </c>
      <c r="D35" s="366" t="s">
        <v>162</v>
      </c>
      <c r="E35" s="363">
        <v>40</v>
      </c>
      <c r="F35" s="363">
        <v>11</v>
      </c>
      <c r="G35" s="364">
        <v>614826</v>
      </c>
      <c r="H35" s="365">
        <v>52803</v>
      </c>
      <c r="I35" s="374">
        <f>+G35/H35</f>
        <v>11.643770240327255</v>
      </c>
      <c r="J35" s="285"/>
    </row>
    <row r="36" spans="1:10" ht="15">
      <c r="A36" s="325">
        <v>32</v>
      </c>
      <c r="B36" s="373" t="s">
        <v>233</v>
      </c>
      <c r="C36" s="361">
        <v>40263</v>
      </c>
      <c r="D36" s="362" t="s">
        <v>49</v>
      </c>
      <c r="E36" s="363">
        <v>26</v>
      </c>
      <c r="F36" s="363">
        <v>6</v>
      </c>
      <c r="G36" s="364">
        <f>221307.25+165337+90601.5+71567+36580+10706</f>
        <v>596098.75</v>
      </c>
      <c r="H36" s="365">
        <f>17930+13640+7523+6342+3464+1258</f>
        <v>50157</v>
      </c>
      <c r="I36" s="374">
        <f>+G36/H36</f>
        <v>11.884657176465897</v>
      </c>
      <c r="J36" s="355"/>
    </row>
    <row r="37" spans="1:10" ht="15">
      <c r="A37" s="315">
        <v>33</v>
      </c>
      <c r="B37" s="373" t="s">
        <v>253</v>
      </c>
      <c r="C37" s="361">
        <v>40270</v>
      </c>
      <c r="D37" s="367" t="s">
        <v>162</v>
      </c>
      <c r="E37" s="363">
        <v>77</v>
      </c>
      <c r="F37" s="363">
        <v>5</v>
      </c>
      <c r="G37" s="364">
        <v>558420</v>
      </c>
      <c r="H37" s="365">
        <v>60389</v>
      </c>
      <c r="I37" s="374">
        <f>+G37/H37</f>
        <v>9.247048303498982</v>
      </c>
      <c r="J37" s="355">
        <v>1</v>
      </c>
    </row>
    <row r="38" spans="1:10" ht="15">
      <c r="A38" s="315">
        <v>34</v>
      </c>
      <c r="B38" s="373" t="s">
        <v>216</v>
      </c>
      <c r="C38" s="361">
        <v>40242</v>
      </c>
      <c r="D38" s="366" t="s">
        <v>161</v>
      </c>
      <c r="E38" s="363">
        <v>53</v>
      </c>
      <c r="F38" s="363">
        <v>9</v>
      </c>
      <c r="G38" s="364">
        <f>494037+5150+6482+8488+6356+5966</f>
        <v>526479</v>
      </c>
      <c r="H38" s="365">
        <f>48332+844+1000+1260+931+982</f>
        <v>53349</v>
      </c>
      <c r="I38" s="374">
        <f>+G38/H38</f>
        <v>9.868582353933531</v>
      </c>
      <c r="J38" s="355"/>
    </row>
    <row r="39" spans="1:10" ht="15">
      <c r="A39" s="325">
        <v>35</v>
      </c>
      <c r="B39" s="373" t="s">
        <v>205</v>
      </c>
      <c r="C39" s="361">
        <v>40193</v>
      </c>
      <c r="D39" s="366" t="s">
        <v>163</v>
      </c>
      <c r="E39" s="363">
        <v>55</v>
      </c>
      <c r="F39" s="363">
        <v>16</v>
      </c>
      <c r="G39" s="364">
        <f>197266+158498+94472.5+25746.5+5341+4975+4175+3550+3868+6158+8020+1277+951+3397+4599+198</f>
        <v>522492</v>
      </c>
      <c r="H39" s="365">
        <f>19567+17056+12441+3194+866+909+697+693+818+1478+1988+298+238+832+1154+55</f>
        <v>62284</v>
      </c>
      <c r="I39" s="374">
        <f>G39/H39</f>
        <v>8.388863913685698</v>
      </c>
      <c r="J39" s="355"/>
    </row>
    <row r="40" spans="1:10" ht="15">
      <c r="A40" s="315">
        <v>36</v>
      </c>
      <c r="B40" s="375" t="s">
        <v>66</v>
      </c>
      <c r="C40" s="361">
        <v>40179</v>
      </c>
      <c r="D40" s="366" t="s">
        <v>161</v>
      </c>
      <c r="E40" s="363">
        <v>60</v>
      </c>
      <c r="F40" s="363">
        <v>10</v>
      </c>
      <c r="G40" s="364">
        <f>471455+3571+1190</f>
        <v>476216</v>
      </c>
      <c r="H40" s="365">
        <f>46173+892+238</f>
        <v>47303</v>
      </c>
      <c r="I40" s="374">
        <f>+G40/H40</f>
        <v>10.067353022007062</v>
      </c>
      <c r="J40" s="319">
        <v>1</v>
      </c>
    </row>
    <row r="41" spans="1:10" ht="15">
      <c r="A41" s="315">
        <v>37</v>
      </c>
      <c r="B41" s="376" t="s">
        <v>210</v>
      </c>
      <c r="C41" s="361">
        <v>40200</v>
      </c>
      <c r="D41" s="366" t="s">
        <v>161</v>
      </c>
      <c r="E41" s="363">
        <v>50</v>
      </c>
      <c r="F41" s="363">
        <v>6</v>
      </c>
      <c r="G41" s="364">
        <f>468738+606</f>
        <v>469344</v>
      </c>
      <c r="H41" s="365">
        <f>42012+74</f>
        <v>42086</v>
      </c>
      <c r="I41" s="374">
        <f>+G41/H41</f>
        <v>11.152022050087915</v>
      </c>
      <c r="J41" s="321"/>
    </row>
    <row r="42" spans="1:10" ht="15">
      <c r="A42" s="325">
        <v>38</v>
      </c>
      <c r="B42" s="375" t="s">
        <v>281</v>
      </c>
      <c r="C42" s="361">
        <v>40193</v>
      </c>
      <c r="D42" s="362" t="s">
        <v>165</v>
      </c>
      <c r="E42" s="363">
        <v>124</v>
      </c>
      <c r="F42" s="363">
        <v>11</v>
      </c>
      <c r="G42" s="364">
        <v>453870.75</v>
      </c>
      <c r="H42" s="365">
        <v>57073</v>
      </c>
      <c r="I42" s="374">
        <f>IF(G42&lt;&gt;0,G42/H42,"")</f>
        <v>7.952460007358996</v>
      </c>
      <c r="J42" s="355">
        <v>1</v>
      </c>
    </row>
    <row r="43" spans="1:10" ht="15">
      <c r="A43" s="315">
        <v>39</v>
      </c>
      <c r="B43" s="373" t="s">
        <v>248</v>
      </c>
      <c r="C43" s="361">
        <v>40277</v>
      </c>
      <c r="D43" s="367" t="s">
        <v>162</v>
      </c>
      <c r="E43" s="363">
        <v>46</v>
      </c>
      <c r="F43" s="363">
        <v>4</v>
      </c>
      <c r="G43" s="364">
        <v>430807</v>
      </c>
      <c r="H43" s="365">
        <v>40617</v>
      </c>
      <c r="I43" s="374">
        <f>+G43/H43</f>
        <v>10.606568678139695</v>
      </c>
      <c r="J43" s="355"/>
    </row>
    <row r="44" spans="1:10" ht="15">
      <c r="A44" s="315">
        <v>40</v>
      </c>
      <c r="B44" s="373" t="s">
        <v>243</v>
      </c>
      <c r="C44" s="361">
        <v>40277</v>
      </c>
      <c r="D44" s="366" t="s">
        <v>112</v>
      </c>
      <c r="E44" s="363">
        <v>23</v>
      </c>
      <c r="F44" s="363">
        <v>4</v>
      </c>
      <c r="G44" s="364">
        <v>425665</v>
      </c>
      <c r="H44" s="365">
        <v>36900</v>
      </c>
      <c r="I44" s="374">
        <f>+G44/H44</f>
        <v>11.535636856368564</v>
      </c>
      <c r="J44" s="355"/>
    </row>
    <row r="45" spans="1:10" ht="15">
      <c r="A45" s="325">
        <v>41</v>
      </c>
      <c r="B45" s="373" t="s">
        <v>217</v>
      </c>
      <c r="C45" s="361">
        <v>40242</v>
      </c>
      <c r="D45" s="366" t="s">
        <v>163</v>
      </c>
      <c r="E45" s="363">
        <v>74</v>
      </c>
      <c r="F45" s="363">
        <v>9</v>
      </c>
      <c r="G45" s="364">
        <f>226964.75+90920.5+18852+13987.5+9784+11625+6397+6194.5+8736.5</f>
        <v>393461.75</v>
      </c>
      <c r="H45" s="365">
        <f>25792+11183+2849+3024+1580+2030+1000+913+1898</f>
        <v>50269</v>
      </c>
      <c r="I45" s="374">
        <f>G45/H45</f>
        <v>7.827125067138793</v>
      </c>
      <c r="J45" s="355">
        <v>1</v>
      </c>
    </row>
    <row r="46" spans="1:10" ht="15">
      <c r="A46" s="315">
        <v>42</v>
      </c>
      <c r="B46" s="373" t="s">
        <v>262</v>
      </c>
      <c r="C46" s="361">
        <v>40214</v>
      </c>
      <c r="D46" s="367" t="s">
        <v>162</v>
      </c>
      <c r="E46" s="363">
        <v>33</v>
      </c>
      <c r="F46" s="363">
        <v>12</v>
      </c>
      <c r="G46" s="364">
        <v>376906</v>
      </c>
      <c r="H46" s="365">
        <v>30879</v>
      </c>
      <c r="I46" s="374">
        <f>+G46/H46</f>
        <v>12.20590045014411</v>
      </c>
      <c r="J46" s="285"/>
    </row>
    <row r="47" spans="1:10" ht="15">
      <c r="A47" s="315">
        <v>43</v>
      </c>
      <c r="B47" s="373" t="s">
        <v>241</v>
      </c>
      <c r="C47" s="361">
        <v>40270</v>
      </c>
      <c r="D47" s="367" t="s">
        <v>162</v>
      </c>
      <c r="E47" s="363">
        <v>51</v>
      </c>
      <c r="F47" s="363">
        <v>5</v>
      </c>
      <c r="G47" s="364">
        <v>354655</v>
      </c>
      <c r="H47" s="365">
        <v>33191</v>
      </c>
      <c r="I47" s="374">
        <f>+G47/H47</f>
        <v>10.685276129071134</v>
      </c>
      <c r="J47" s="355"/>
    </row>
    <row r="48" spans="1:10" ht="15">
      <c r="A48" s="325">
        <v>44</v>
      </c>
      <c r="B48" s="373" t="s">
        <v>234</v>
      </c>
      <c r="C48" s="361">
        <v>40263</v>
      </c>
      <c r="D48" s="367" t="s">
        <v>162</v>
      </c>
      <c r="E48" s="363">
        <v>28</v>
      </c>
      <c r="F48" s="363">
        <v>6</v>
      </c>
      <c r="G48" s="364">
        <v>326225</v>
      </c>
      <c r="H48" s="365">
        <v>31122</v>
      </c>
      <c r="I48" s="374">
        <f>+G48/H48</f>
        <v>10.482134824240088</v>
      </c>
      <c r="J48" s="355"/>
    </row>
    <row r="49" spans="1:10" ht="15">
      <c r="A49" s="315">
        <v>45</v>
      </c>
      <c r="B49" s="373" t="s">
        <v>284</v>
      </c>
      <c r="C49" s="361">
        <v>40298</v>
      </c>
      <c r="D49" s="366" t="s">
        <v>161</v>
      </c>
      <c r="E49" s="363">
        <v>73</v>
      </c>
      <c r="F49" s="363">
        <v>1</v>
      </c>
      <c r="G49" s="364">
        <v>311102</v>
      </c>
      <c r="H49" s="365">
        <v>31869</v>
      </c>
      <c r="I49" s="374">
        <f>+G49/H49</f>
        <v>9.761900279268254</v>
      </c>
      <c r="J49" s="355"/>
    </row>
    <row r="50" spans="1:10" ht="15">
      <c r="A50" s="315">
        <v>46</v>
      </c>
      <c r="B50" s="373" t="s">
        <v>231</v>
      </c>
      <c r="C50" s="361">
        <v>40256</v>
      </c>
      <c r="D50" s="366" t="s">
        <v>163</v>
      </c>
      <c r="E50" s="363">
        <v>64</v>
      </c>
      <c r="F50" s="363">
        <v>7</v>
      </c>
      <c r="G50" s="364">
        <f>200154.75+75068.75+5354.5+7056.5+4518+1434+3806.5</f>
        <v>297393</v>
      </c>
      <c r="H50" s="365">
        <f>18560+6806+580+1084+703+200+609</f>
        <v>28542</v>
      </c>
      <c r="I50" s="374">
        <f>G50/H50</f>
        <v>10.419487071683834</v>
      </c>
      <c r="J50" s="355"/>
    </row>
    <row r="51" spans="1:10" ht="15">
      <c r="A51" s="325">
        <v>47</v>
      </c>
      <c r="B51" s="373" t="s">
        <v>228</v>
      </c>
      <c r="C51" s="361">
        <v>40256</v>
      </c>
      <c r="D51" s="366" t="s">
        <v>112</v>
      </c>
      <c r="E51" s="363">
        <v>25</v>
      </c>
      <c r="F51" s="363">
        <v>7</v>
      </c>
      <c r="G51" s="364">
        <v>294886</v>
      </c>
      <c r="H51" s="365">
        <v>29408</v>
      </c>
      <c r="I51" s="374">
        <f>+G51/H51</f>
        <v>10.027407508161044</v>
      </c>
      <c r="J51" s="355"/>
    </row>
    <row r="52" spans="1:10" ht="15">
      <c r="A52" s="315">
        <v>48</v>
      </c>
      <c r="B52" s="373" t="s">
        <v>250</v>
      </c>
      <c r="C52" s="361">
        <v>40277</v>
      </c>
      <c r="D52" s="366" t="s">
        <v>161</v>
      </c>
      <c r="E52" s="363">
        <v>65</v>
      </c>
      <c r="F52" s="363">
        <v>5</v>
      </c>
      <c r="G52" s="364">
        <f>159552+95156+25171+9027</f>
        <v>288906</v>
      </c>
      <c r="H52" s="365">
        <f>17762+10795+3803+1329</f>
        <v>33689</v>
      </c>
      <c r="I52" s="374">
        <f>+G52/H52</f>
        <v>8.575677520852503</v>
      </c>
      <c r="J52" s="355">
        <v>1</v>
      </c>
    </row>
    <row r="53" spans="1:10" ht="15">
      <c r="A53" s="315">
        <v>49</v>
      </c>
      <c r="B53" s="373" t="s">
        <v>263</v>
      </c>
      <c r="C53" s="361">
        <v>40284</v>
      </c>
      <c r="D53" s="366" t="s">
        <v>161</v>
      </c>
      <c r="E53" s="363">
        <v>50</v>
      </c>
      <c r="F53" s="363">
        <v>3</v>
      </c>
      <c r="G53" s="364">
        <f>149582+95446+39396</f>
        <v>284424</v>
      </c>
      <c r="H53" s="365">
        <f>16257+12832+6160</f>
        <v>35249</v>
      </c>
      <c r="I53" s="374">
        <f>+G53/H53</f>
        <v>8.068994865102557</v>
      </c>
      <c r="J53" s="355"/>
    </row>
    <row r="54" spans="1:10" ht="15">
      <c r="A54" s="325">
        <v>50</v>
      </c>
      <c r="B54" s="373" t="s">
        <v>247</v>
      </c>
      <c r="C54" s="361">
        <v>40277</v>
      </c>
      <c r="D54" s="366" t="s">
        <v>163</v>
      </c>
      <c r="E54" s="363">
        <v>32</v>
      </c>
      <c r="F54" s="363">
        <v>4</v>
      </c>
      <c r="G54" s="364">
        <f>123623+70914+52321.5+36022.5</f>
        <v>282881</v>
      </c>
      <c r="H54" s="365">
        <f>12717+7769+7500+5431</f>
        <v>33417</v>
      </c>
      <c r="I54" s="374">
        <f>G54/H54</f>
        <v>8.465182392195588</v>
      </c>
      <c r="J54" s="355"/>
    </row>
    <row r="55" spans="1:10" ht="15">
      <c r="A55" s="315">
        <v>51</v>
      </c>
      <c r="B55" s="373" t="s">
        <v>202</v>
      </c>
      <c r="C55" s="361">
        <v>40291</v>
      </c>
      <c r="D55" s="366" t="s">
        <v>163</v>
      </c>
      <c r="E55" s="363">
        <v>54</v>
      </c>
      <c r="F55" s="363">
        <v>2</v>
      </c>
      <c r="G55" s="364">
        <f>176958+95672</f>
        <v>272630</v>
      </c>
      <c r="H55" s="365">
        <f>18263+9908</f>
        <v>28171</v>
      </c>
      <c r="I55" s="374">
        <f>G55/H55</f>
        <v>9.677682723368003</v>
      </c>
      <c r="J55" s="355">
        <v>1</v>
      </c>
    </row>
    <row r="56" spans="1:10" ht="15">
      <c r="A56" s="315">
        <v>52</v>
      </c>
      <c r="B56" s="375" t="s">
        <v>196</v>
      </c>
      <c r="C56" s="361">
        <v>40235</v>
      </c>
      <c r="D56" s="366" t="s">
        <v>161</v>
      </c>
      <c r="E56" s="363">
        <v>91</v>
      </c>
      <c r="F56" s="363">
        <v>6</v>
      </c>
      <c r="G56" s="364">
        <f>150520+96696+16630+2740+822+462+627</f>
        <v>268497</v>
      </c>
      <c r="H56" s="365">
        <f>18446+12241+2317+413+126+68+115</f>
        <v>33726</v>
      </c>
      <c r="I56" s="374">
        <f>+G56/H56</f>
        <v>7.9611279131827075</v>
      </c>
      <c r="J56" s="355">
        <v>1</v>
      </c>
    </row>
    <row r="57" spans="1:10" ht="15">
      <c r="A57" s="325">
        <v>53</v>
      </c>
      <c r="B57" s="373" t="s">
        <v>72</v>
      </c>
      <c r="C57" s="361">
        <v>40228</v>
      </c>
      <c r="D57" s="367" t="s">
        <v>162</v>
      </c>
      <c r="E57" s="363">
        <v>70</v>
      </c>
      <c r="F57" s="363">
        <v>11</v>
      </c>
      <c r="G57" s="364">
        <v>265248</v>
      </c>
      <c r="H57" s="365">
        <v>29172</v>
      </c>
      <c r="I57" s="374">
        <f>+G57/H57</f>
        <v>9.09255450431921</v>
      </c>
      <c r="J57" s="355"/>
    </row>
    <row r="58" spans="1:10" ht="15">
      <c r="A58" s="315">
        <v>54</v>
      </c>
      <c r="B58" s="376" t="s">
        <v>211</v>
      </c>
      <c r="C58" s="361">
        <v>40186</v>
      </c>
      <c r="D58" s="366" t="s">
        <v>161</v>
      </c>
      <c r="E58" s="363">
        <v>59</v>
      </c>
      <c r="F58" s="363">
        <v>6</v>
      </c>
      <c r="G58" s="364">
        <v>261553</v>
      </c>
      <c r="H58" s="369">
        <v>25914</v>
      </c>
      <c r="I58" s="374">
        <f>+G58/H58</f>
        <v>10.093115690360422</v>
      </c>
      <c r="J58" s="285"/>
    </row>
    <row r="59" spans="1:10" ht="15">
      <c r="A59" s="315">
        <v>55</v>
      </c>
      <c r="B59" s="373" t="s">
        <v>251</v>
      </c>
      <c r="C59" s="361">
        <v>40277</v>
      </c>
      <c r="D59" s="366" t="s">
        <v>114</v>
      </c>
      <c r="E59" s="363">
        <v>32</v>
      </c>
      <c r="F59" s="363">
        <v>4</v>
      </c>
      <c r="G59" s="364">
        <v>258064.25</v>
      </c>
      <c r="H59" s="365">
        <v>25702</v>
      </c>
      <c r="I59" s="374">
        <f>+G59/H59</f>
        <v>10.04062913391954</v>
      </c>
      <c r="J59" s="355">
        <v>1</v>
      </c>
    </row>
    <row r="60" spans="1:10" ht="15">
      <c r="A60" s="325">
        <v>56</v>
      </c>
      <c r="B60" s="373" t="s">
        <v>285</v>
      </c>
      <c r="C60" s="361">
        <v>40298</v>
      </c>
      <c r="D60" s="366" t="s">
        <v>163</v>
      </c>
      <c r="E60" s="363">
        <v>50</v>
      </c>
      <c r="F60" s="363">
        <v>1</v>
      </c>
      <c r="G60" s="364">
        <f>256621.5</f>
        <v>256621.5</v>
      </c>
      <c r="H60" s="365">
        <f>24531</f>
        <v>24531</v>
      </c>
      <c r="I60" s="374">
        <f>G60/H60</f>
        <v>10.461110431698668</v>
      </c>
      <c r="J60" s="355"/>
    </row>
    <row r="61" spans="1:10" ht="15">
      <c r="A61" s="315">
        <v>57</v>
      </c>
      <c r="B61" s="375" t="s">
        <v>83</v>
      </c>
      <c r="C61" s="361">
        <v>40235</v>
      </c>
      <c r="D61" s="367" t="s">
        <v>162</v>
      </c>
      <c r="E61" s="363">
        <v>46</v>
      </c>
      <c r="F61" s="363">
        <v>10</v>
      </c>
      <c r="G61" s="364">
        <v>256371</v>
      </c>
      <c r="H61" s="365">
        <v>25148</v>
      </c>
      <c r="I61" s="374">
        <f>+G61/H61</f>
        <v>10.194488627326228</v>
      </c>
      <c r="J61" s="355"/>
    </row>
    <row r="62" spans="1:10" ht="15">
      <c r="A62" s="315">
        <v>58</v>
      </c>
      <c r="B62" s="373" t="s">
        <v>286</v>
      </c>
      <c r="C62" s="361">
        <v>40298</v>
      </c>
      <c r="D62" s="367" t="s">
        <v>162</v>
      </c>
      <c r="E62" s="363">
        <v>55</v>
      </c>
      <c r="F62" s="363">
        <v>1</v>
      </c>
      <c r="G62" s="364">
        <v>251677</v>
      </c>
      <c r="H62" s="365">
        <v>23881</v>
      </c>
      <c r="I62" s="374">
        <f>+G62/H62</f>
        <v>10.538796532808508</v>
      </c>
      <c r="J62" s="355"/>
    </row>
    <row r="63" spans="1:10" ht="15">
      <c r="A63" s="325">
        <v>59</v>
      </c>
      <c r="B63" s="373" t="s">
        <v>229</v>
      </c>
      <c r="C63" s="361">
        <v>40256</v>
      </c>
      <c r="D63" s="367" t="s">
        <v>162</v>
      </c>
      <c r="E63" s="363">
        <v>77</v>
      </c>
      <c r="F63" s="363">
        <v>7</v>
      </c>
      <c r="G63" s="364">
        <v>249492</v>
      </c>
      <c r="H63" s="365">
        <v>28864</v>
      </c>
      <c r="I63" s="374">
        <f>+G63/H63</f>
        <v>8.643708425720622</v>
      </c>
      <c r="J63" s="355">
        <v>1</v>
      </c>
    </row>
    <row r="64" spans="1:10" ht="15">
      <c r="A64" s="315">
        <v>60</v>
      </c>
      <c r="B64" s="373" t="s">
        <v>252</v>
      </c>
      <c r="C64" s="361">
        <v>40277</v>
      </c>
      <c r="D64" s="362" t="s">
        <v>49</v>
      </c>
      <c r="E64" s="363">
        <v>101</v>
      </c>
      <c r="F64" s="363">
        <v>4</v>
      </c>
      <c r="G64" s="364">
        <f>139056.25+65096+32553+8586+0.5</f>
        <v>245291.75</v>
      </c>
      <c r="H64" s="365">
        <f>17232+8920+4923+1282</f>
        <v>32357</v>
      </c>
      <c r="I64" s="374">
        <f>+G64/H64</f>
        <v>7.580793954940199</v>
      </c>
      <c r="J64" s="355">
        <v>1</v>
      </c>
    </row>
    <row r="65" spans="1:10" ht="15">
      <c r="A65" s="315">
        <v>61</v>
      </c>
      <c r="B65" s="373" t="s">
        <v>73</v>
      </c>
      <c r="C65" s="361">
        <v>40228</v>
      </c>
      <c r="D65" s="366" t="s">
        <v>163</v>
      </c>
      <c r="E65" s="363">
        <v>17</v>
      </c>
      <c r="F65" s="363">
        <v>10</v>
      </c>
      <c r="G65" s="364">
        <f>123803.5+36356.5+10616.5+7126+4849+112+539+13732+17634+16482.5</f>
        <v>231251</v>
      </c>
      <c r="H65" s="365">
        <f>9724+2877+987+846+675+13+63+1937+2404+2565</f>
        <v>22091</v>
      </c>
      <c r="I65" s="374">
        <f>G65/H65</f>
        <v>10.468109184735866</v>
      </c>
      <c r="J65" s="355"/>
    </row>
    <row r="66" spans="1:10" ht="15">
      <c r="A66" s="325">
        <v>62</v>
      </c>
      <c r="B66" s="376" t="s">
        <v>77</v>
      </c>
      <c r="C66" s="361">
        <v>40186</v>
      </c>
      <c r="D66" s="366" t="s">
        <v>168</v>
      </c>
      <c r="E66" s="363">
        <v>19</v>
      </c>
      <c r="F66" s="363">
        <v>11</v>
      </c>
      <c r="G66" s="364">
        <v>223915</v>
      </c>
      <c r="H66" s="365">
        <v>19044</v>
      </c>
      <c r="I66" s="374">
        <f>+G66/H66</f>
        <v>11.757771476580551</v>
      </c>
      <c r="J66" s="286"/>
    </row>
    <row r="67" spans="1:10" ht="15">
      <c r="A67" s="315">
        <v>63</v>
      </c>
      <c r="B67" s="373" t="s">
        <v>254</v>
      </c>
      <c r="C67" s="361">
        <v>40277</v>
      </c>
      <c r="D67" s="366" t="s">
        <v>112</v>
      </c>
      <c r="E67" s="363">
        <v>107</v>
      </c>
      <c r="F67" s="363">
        <v>4</v>
      </c>
      <c r="G67" s="364">
        <v>205179</v>
      </c>
      <c r="H67" s="365">
        <v>26007</v>
      </c>
      <c r="I67" s="374">
        <f>+G67/H67</f>
        <v>7.889375937247664</v>
      </c>
      <c r="J67" s="355">
        <v>1</v>
      </c>
    </row>
    <row r="68" spans="1:10" ht="15">
      <c r="A68" s="315">
        <v>64</v>
      </c>
      <c r="B68" s="373" t="s">
        <v>264</v>
      </c>
      <c r="C68" s="361">
        <v>40284</v>
      </c>
      <c r="D68" s="366" t="s">
        <v>112</v>
      </c>
      <c r="E68" s="363">
        <v>30</v>
      </c>
      <c r="F68" s="363">
        <v>3</v>
      </c>
      <c r="G68" s="364">
        <v>196465</v>
      </c>
      <c r="H68" s="365">
        <v>19827</v>
      </c>
      <c r="I68" s="374">
        <f>+G68/H68</f>
        <v>9.90896252584859</v>
      </c>
      <c r="J68" s="355"/>
    </row>
    <row r="69" spans="1:10" ht="15">
      <c r="A69" s="325">
        <v>65</v>
      </c>
      <c r="B69" s="373" t="s">
        <v>174</v>
      </c>
      <c r="C69" s="361">
        <v>40207</v>
      </c>
      <c r="D69" s="366" t="s">
        <v>163</v>
      </c>
      <c r="E69" s="363">
        <v>43</v>
      </c>
      <c r="F69" s="363">
        <v>11</v>
      </c>
      <c r="G69" s="364">
        <f>102370+44067.75+18390+5765+946+3445+4755.5+663+12826+684+162</f>
        <v>194074.25</v>
      </c>
      <c r="H69" s="365">
        <f>13060+5979+2634+1158+157+588+758+111+3207+128+30</f>
        <v>27810</v>
      </c>
      <c r="I69" s="374">
        <f>+G69/H69</f>
        <v>6.9785778496943545</v>
      </c>
      <c r="J69" s="285">
        <v>1</v>
      </c>
    </row>
    <row r="70" spans="1:10" ht="15">
      <c r="A70" s="315">
        <v>66</v>
      </c>
      <c r="B70" s="373" t="s">
        <v>78</v>
      </c>
      <c r="C70" s="361">
        <v>40235</v>
      </c>
      <c r="D70" s="366" t="s">
        <v>161</v>
      </c>
      <c r="E70" s="363">
        <v>27</v>
      </c>
      <c r="F70" s="363">
        <v>9</v>
      </c>
      <c r="G70" s="364">
        <f>98211+58288+7002+639+1026+2731+2677+498+4966+232</f>
        <v>176270</v>
      </c>
      <c r="H70" s="365">
        <f>8036+4847+608+64+146+343+453+86+509+39</f>
        <v>15131</v>
      </c>
      <c r="I70" s="374">
        <f>+G70/H70</f>
        <v>11.649593549666248</v>
      </c>
      <c r="J70" s="355"/>
    </row>
    <row r="71" spans="1:10" ht="15">
      <c r="A71" s="315">
        <v>67</v>
      </c>
      <c r="B71" s="373" t="s">
        <v>238</v>
      </c>
      <c r="C71" s="361">
        <v>40263</v>
      </c>
      <c r="D71" s="366" t="s">
        <v>163</v>
      </c>
      <c r="E71" s="363">
        <v>30</v>
      </c>
      <c r="F71" s="363">
        <v>6</v>
      </c>
      <c r="G71" s="364">
        <f>78499.25+35719.25+12554+17184+19421+12585</f>
        <v>175962.5</v>
      </c>
      <c r="H71" s="365">
        <f>7310+3415+1595+2523+2737+1843</f>
        <v>19423</v>
      </c>
      <c r="I71" s="374">
        <f>G71/H71</f>
        <v>9.059491324718119</v>
      </c>
      <c r="J71" s="355"/>
    </row>
    <row r="72" spans="1:10" ht="15">
      <c r="A72" s="325">
        <v>68</v>
      </c>
      <c r="B72" s="373" t="s">
        <v>287</v>
      </c>
      <c r="C72" s="361">
        <v>40298</v>
      </c>
      <c r="D72" s="367" t="s">
        <v>162</v>
      </c>
      <c r="E72" s="363">
        <v>35</v>
      </c>
      <c r="F72" s="363">
        <v>1</v>
      </c>
      <c r="G72" s="364">
        <v>150405</v>
      </c>
      <c r="H72" s="365">
        <v>13220</v>
      </c>
      <c r="I72" s="374">
        <f>+G72/H72</f>
        <v>11.377080181543116</v>
      </c>
      <c r="J72" s="355"/>
    </row>
    <row r="73" spans="1:10" ht="15">
      <c r="A73" s="315">
        <v>69</v>
      </c>
      <c r="B73" s="373" t="s">
        <v>194</v>
      </c>
      <c r="C73" s="361">
        <v>40291</v>
      </c>
      <c r="D73" s="366" t="s">
        <v>163</v>
      </c>
      <c r="E73" s="363">
        <v>40</v>
      </c>
      <c r="F73" s="363">
        <v>2</v>
      </c>
      <c r="G73" s="364">
        <f>101934.5+46122.5</f>
        <v>148057</v>
      </c>
      <c r="H73" s="365">
        <f>10090+5152</f>
        <v>15242</v>
      </c>
      <c r="I73" s="374">
        <f>G73/H73</f>
        <v>9.713751476184228</v>
      </c>
      <c r="J73" s="355"/>
    </row>
    <row r="74" spans="1:10" ht="15">
      <c r="A74" s="315">
        <v>70</v>
      </c>
      <c r="B74" s="375" t="s">
        <v>212</v>
      </c>
      <c r="C74" s="361">
        <v>40193</v>
      </c>
      <c r="D74" s="366" t="s">
        <v>163</v>
      </c>
      <c r="E74" s="363">
        <v>17</v>
      </c>
      <c r="F74" s="363">
        <v>9</v>
      </c>
      <c r="G74" s="364">
        <f>1080+95415+33267.75+2666+272+903+421+2653+1780+747</f>
        <v>139204.75</v>
      </c>
      <c r="H74" s="365">
        <f>108+7515+2837+363+32+176+93+719+445+99</f>
        <v>12387</v>
      </c>
      <c r="I74" s="374">
        <f>IF(G74&lt;&gt;0,G74/H74,"")</f>
        <v>11.237971260192136</v>
      </c>
      <c r="J74" s="322"/>
    </row>
    <row r="75" spans="1:10" ht="15">
      <c r="A75" s="325">
        <v>71</v>
      </c>
      <c r="B75" s="373" t="s">
        <v>265</v>
      </c>
      <c r="C75" s="361">
        <v>40284</v>
      </c>
      <c r="D75" s="366" t="s">
        <v>163</v>
      </c>
      <c r="E75" s="363">
        <v>14</v>
      </c>
      <c r="F75" s="363">
        <v>3</v>
      </c>
      <c r="G75" s="364">
        <f>76493+31029+16263</f>
        <v>123785</v>
      </c>
      <c r="H75" s="365">
        <f>5580+2331+1364</f>
        <v>9275</v>
      </c>
      <c r="I75" s="374">
        <f>G75/H75</f>
        <v>13.346091644204852</v>
      </c>
      <c r="J75" s="355"/>
    </row>
    <row r="76" spans="1:10" ht="15">
      <c r="A76" s="315">
        <v>72</v>
      </c>
      <c r="B76" s="373" t="s">
        <v>261</v>
      </c>
      <c r="C76" s="361">
        <v>40277</v>
      </c>
      <c r="D76" s="367" t="s">
        <v>239</v>
      </c>
      <c r="E76" s="363">
        <v>9</v>
      </c>
      <c r="F76" s="363">
        <v>5</v>
      </c>
      <c r="G76" s="364">
        <v>114172</v>
      </c>
      <c r="H76" s="365">
        <v>16783</v>
      </c>
      <c r="I76" s="374">
        <f>+G76/H76</f>
        <v>6.802836203300959</v>
      </c>
      <c r="J76" s="355"/>
    </row>
    <row r="77" spans="1:10" ht="15">
      <c r="A77" s="315">
        <v>73</v>
      </c>
      <c r="B77" s="373" t="s">
        <v>213</v>
      </c>
      <c r="C77" s="361">
        <v>40179</v>
      </c>
      <c r="D77" s="366" t="s">
        <v>163</v>
      </c>
      <c r="E77" s="363">
        <v>8</v>
      </c>
      <c r="F77" s="363">
        <v>13</v>
      </c>
      <c r="G77" s="364">
        <f>61026+19560+4475+1071+144+9277.5+1552+556+2995+1900+2085+1949.5+2324</f>
        <v>108915</v>
      </c>
      <c r="H77" s="365">
        <f>4540+1674+518+171+26+988+221+91+392+265+285+283+369</f>
        <v>9823</v>
      </c>
      <c r="I77" s="374">
        <f>G77/H77</f>
        <v>11.087753232210119</v>
      </c>
      <c r="J77" s="355"/>
    </row>
    <row r="78" spans="1:10" ht="15">
      <c r="A78" s="325">
        <v>74</v>
      </c>
      <c r="B78" s="373" t="s">
        <v>195</v>
      </c>
      <c r="C78" s="361">
        <v>40291</v>
      </c>
      <c r="D78" s="366" t="s">
        <v>163</v>
      </c>
      <c r="E78" s="363">
        <v>12</v>
      </c>
      <c r="F78" s="363">
        <v>2</v>
      </c>
      <c r="G78" s="364">
        <f>71234.5+32626</f>
        <v>103860.5</v>
      </c>
      <c r="H78" s="365">
        <f>5684+2667</f>
        <v>8351</v>
      </c>
      <c r="I78" s="374">
        <f>G78/H78</f>
        <v>12.436893785175428</v>
      </c>
      <c r="J78" s="355"/>
    </row>
    <row r="79" spans="1:10" ht="15">
      <c r="A79" s="315">
        <v>75</v>
      </c>
      <c r="B79" s="373" t="s">
        <v>266</v>
      </c>
      <c r="C79" s="361">
        <v>40284</v>
      </c>
      <c r="D79" s="366" t="s">
        <v>163</v>
      </c>
      <c r="E79" s="363">
        <v>14</v>
      </c>
      <c r="F79" s="363">
        <v>3</v>
      </c>
      <c r="G79" s="364">
        <f>45403.5+26416+19522</f>
        <v>91341.5</v>
      </c>
      <c r="H79" s="365">
        <f>4053+2594+2599</f>
        <v>9246</v>
      </c>
      <c r="I79" s="374">
        <f>G79/H79</f>
        <v>9.879028769197491</v>
      </c>
      <c r="J79" s="355">
        <v>1</v>
      </c>
    </row>
    <row r="80" spans="1:10" ht="15">
      <c r="A80" s="315">
        <v>76</v>
      </c>
      <c r="B80" s="373" t="s">
        <v>222</v>
      </c>
      <c r="C80" s="361">
        <v>40249</v>
      </c>
      <c r="D80" s="368" t="s">
        <v>85</v>
      </c>
      <c r="E80" s="363" t="s">
        <v>244</v>
      </c>
      <c r="F80" s="363" t="s">
        <v>130</v>
      </c>
      <c r="G80" s="364">
        <v>88294</v>
      </c>
      <c r="H80" s="365">
        <v>7677</v>
      </c>
      <c r="I80" s="374">
        <f>+G80/H80</f>
        <v>11.501107203334636</v>
      </c>
      <c r="J80" s="285"/>
    </row>
    <row r="81" spans="1:10" ht="15">
      <c r="A81" s="325">
        <v>77</v>
      </c>
      <c r="B81" s="373" t="s">
        <v>237</v>
      </c>
      <c r="C81" s="361">
        <v>40249</v>
      </c>
      <c r="D81" s="366" t="s">
        <v>161</v>
      </c>
      <c r="E81" s="363">
        <v>26</v>
      </c>
      <c r="F81" s="363">
        <v>8</v>
      </c>
      <c r="G81" s="364">
        <f>58852+16921+1261+2302+1402+215+1190+3329</f>
        <v>85472</v>
      </c>
      <c r="H81" s="365">
        <f>6058+1565+355+388+207+29+238+592</f>
        <v>9432</v>
      </c>
      <c r="I81" s="374">
        <f>+G81/H81</f>
        <v>9.061916878710772</v>
      </c>
      <c r="J81" s="355">
        <v>1</v>
      </c>
    </row>
    <row r="82" spans="1:10" ht="15">
      <c r="A82" s="315">
        <v>78</v>
      </c>
      <c r="B82" s="373" t="s">
        <v>192</v>
      </c>
      <c r="C82" s="361">
        <v>40291</v>
      </c>
      <c r="D82" s="366" t="s">
        <v>112</v>
      </c>
      <c r="E82" s="363">
        <v>30</v>
      </c>
      <c r="F82" s="363">
        <v>2</v>
      </c>
      <c r="G82" s="364">
        <v>75519</v>
      </c>
      <c r="H82" s="365">
        <v>6943</v>
      </c>
      <c r="I82" s="374">
        <f>+G82/H82</f>
        <v>10.87699841567046</v>
      </c>
      <c r="J82" s="355"/>
    </row>
    <row r="83" spans="1:10" ht="15">
      <c r="A83" s="315">
        <v>79</v>
      </c>
      <c r="B83" s="373" t="s">
        <v>207</v>
      </c>
      <c r="C83" s="361">
        <v>40186</v>
      </c>
      <c r="D83" s="366" t="s">
        <v>163</v>
      </c>
      <c r="E83" s="363">
        <v>4</v>
      </c>
      <c r="F83" s="363">
        <v>16</v>
      </c>
      <c r="G83" s="364">
        <f>19677.25+6138.5+538+2308.5+3432+4106+4545+2392+1206+871+128+4196+2703+2446.5+1659+1312</f>
        <v>57658.75</v>
      </c>
      <c r="H83" s="365">
        <f>1627+845+84+359+556+884+725+553+247+208+25+390+412+288+355+203</f>
        <v>7761</v>
      </c>
      <c r="I83" s="374">
        <f>G83/H83</f>
        <v>7.429293905424559</v>
      </c>
      <c r="J83" s="355"/>
    </row>
    <row r="84" spans="1:10" ht="15">
      <c r="A84" s="325">
        <v>80</v>
      </c>
      <c r="B84" s="373" t="s">
        <v>223</v>
      </c>
      <c r="C84" s="361">
        <v>40249</v>
      </c>
      <c r="D84" s="366" t="s">
        <v>163</v>
      </c>
      <c r="E84" s="363">
        <v>1</v>
      </c>
      <c r="F84" s="363">
        <v>6</v>
      </c>
      <c r="G84" s="364">
        <f>13599.5+20829+12139+2892+1300+2783.5+2376</f>
        <v>55919</v>
      </c>
      <c r="H84" s="365">
        <f>894+1348+783+335+154+243+594</f>
        <v>4351</v>
      </c>
      <c r="I84" s="374">
        <f>G84/H84</f>
        <v>12.851988048724431</v>
      </c>
      <c r="J84" s="355"/>
    </row>
    <row r="85" spans="1:10" ht="15">
      <c r="A85" s="315">
        <v>81</v>
      </c>
      <c r="B85" s="373" t="s">
        <v>236</v>
      </c>
      <c r="C85" s="361">
        <v>40263</v>
      </c>
      <c r="D85" s="366" t="s">
        <v>168</v>
      </c>
      <c r="E85" s="363">
        <v>10</v>
      </c>
      <c r="F85" s="363">
        <v>5</v>
      </c>
      <c r="G85" s="364">
        <v>53107</v>
      </c>
      <c r="H85" s="365">
        <v>4437</v>
      </c>
      <c r="I85" s="374">
        <f>+G85/H85</f>
        <v>11.969123281496506</v>
      </c>
      <c r="J85" s="355"/>
    </row>
    <row r="86" spans="1:10" ht="15">
      <c r="A86" s="315">
        <v>82</v>
      </c>
      <c r="B86" s="373" t="s">
        <v>267</v>
      </c>
      <c r="C86" s="361">
        <v>40284</v>
      </c>
      <c r="D86" s="362" t="s">
        <v>49</v>
      </c>
      <c r="E86" s="363">
        <v>32</v>
      </c>
      <c r="F86" s="363">
        <v>3</v>
      </c>
      <c r="G86" s="364">
        <f>25031+15339.5+12428.5</f>
        <v>52799</v>
      </c>
      <c r="H86" s="365">
        <f>2922+2015+1892</f>
        <v>6829</v>
      </c>
      <c r="I86" s="374">
        <f>+G86/H86</f>
        <v>7.731585883731147</v>
      </c>
      <c r="J86" s="355">
        <v>1</v>
      </c>
    </row>
    <row r="87" spans="1:10" ht="15">
      <c r="A87" s="325">
        <v>83</v>
      </c>
      <c r="B87" s="373" t="s">
        <v>75</v>
      </c>
      <c r="C87" s="361">
        <v>40228</v>
      </c>
      <c r="D87" s="366" t="s">
        <v>188</v>
      </c>
      <c r="E87" s="363">
        <v>15</v>
      </c>
      <c r="F87" s="363">
        <v>10</v>
      </c>
      <c r="G87" s="364">
        <v>47099.5</v>
      </c>
      <c r="H87" s="365">
        <v>5196</v>
      </c>
      <c r="I87" s="374">
        <f>+G87/H87</f>
        <v>9.064568899153194</v>
      </c>
      <c r="J87" s="285"/>
    </row>
    <row r="88" spans="1:10" ht="15">
      <c r="A88" s="315">
        <v>84</v>
      </c>
      <c r="B88" s="373" t="s">
        <v>288</v>
      </c>
      <c r="C88" s="361">
        <v>40298</v>
      </c>
      <c r="D88" s="366" t="s">
        <v>163</v>
      </c>
      <c r="E88" s="363">
        <v>10</v>
      </c>
      <c r="F88" s="363">
        <v>1</v>
      </c>
      <c r="G88" s="364">
        <f>21680+20398</f>
        <v>42078</v>
      </c>
      <c r="H88" s="365">
        <f>2917+1558</f>
        <v>4475</v>
      </c>
      <c r="I88" s="374">
        <f>G88/H88</f>
        <v>9.402905027932961</v>
      </c>
      <c r="J88" s="355"/>
    </row>
    <row r="89" spans="1:10" ht="15">
      <c r="A89" s="315">
        <v>85</v>
      </c>
      <c r="B89" s="373" t="s">
        <v>206</v>
      </c>
      <c r="C89" s="361">
        <v>40186</v>
      </c>
      <c r="D89" s="366" t="s">
        <v>163</v>
      </c>
      <c r="E89" s="363">
        <v>4</v>
      </c>
      <c r="F89" s="363">
        <v>15</v>
      </c>
      <c r="G89" s="364">
        <f>16093+2026+1632+2529+3793+924+2564+676+3194+1248+212+417+889.5+1049+457</f>
        <v>37703.5</v>
      </c>
      <c r="H89" s="365">
        <f>1351+257+325+456+731+166+434+122+514+237+26+59+327+141+80</f>
        <v>5226</v>
      </c>
      <c r="I89" s="374">
        <f>G89/H89</f>
        <v>7.214600076540375</v>
      </c>
      <c r="J89" s="355"/>
    </row>
    <row r="90" spans="1:10" ht="15">
      <c r="A90" s="325">
        <v>86</v>
      </c>
      <c r="B90" s="373" t="s">
        <v>268</v>
      </c>
      <c r="C90" s="361">
        <v>40284</v>
      </c>
      <c r="D90" s="366" t="s">
        <v>112</v>
      </c>
      <c r="E90" s="363">
        <v>1</v>
      </c>
      <c r="F90" s="363">
        <v>3</v>
      </c>
      <c r="G90" s="364">
        <v>35411</v>
      </c>
      <c r="H90" s="365">
        <v>2524</v>
      </c>
      <c r="I90" s="374">
        <f>+G90/H90</f>
        <v>14.0297147385103</v>
      </c>
      <c r="J90" s="355"/>
    </row>
    <row r="91" spans="1:10" ht="15">
      <c r="A91" s="315">
        <v>87</v>
      </c>
      <c r="B91" s="373" t="s">
        <v>214</v>
      </c>
      <c r="C91" s="361">
        <v>40186</v>
      </c>
      <c r="D91" s="366" t="s">
        <v>163</v>
      </c>
      <c r="E91" s="363">
        <v>1</v>
      </c>
      <c r="F91" s="363">
        <v>12</v>
      </c>
      <c r="G91" s="364">
        <f>9061+11823.5+5543+523+1044+255+746+557+1780+515+96+66+549</f>
        <v>32558.5</v>
      </c>
      <c r="H91" s="365">
        <f>906+798+439+43+88+22+127+99+445+134+32+22+94</f>
        <v>3249</v>
      </c>
      <c r="I91" s="374">
        <f>+G91/H91</f>
        <v>10.021083410280086</v>
      </c>
      <c r="J91" s="285"/>
    </row>
    <row r="92" spans="1:10" ht="15">
      <c r="A92" s="315">
        <v>88</v>
      </c>
      <c r="B92" s="373">
        <v>9</v>
      </c>
      <c r="C92" s="361">
        <v>40284</v>
      </c>
      <c r="D92" s="366" t="s">
        <v>163</v>
      </c>
      <c r="E92" s="363">
        <v>1</v>
      </c>
      <c r="F92" s="363">
        <v>3</v>
      </c>
      <c r="G92" s="364">
        <f>19938+4162+2098+2376</f>
        <v>28574</v>
      </c>
      <c r="H92" s="365">
        <f>2614+350+241+594</f>
        <v>3799</v>
      </c>
      <c r="I92" s="374">
        <f>G92/H92</f>
        <v>7.52145301395104</v>
      </c>
      <c r="J92" s="355"/>
    </row>
    <row r="93" spans="1:10" ht="15.75" customHeight="1">
      <c r="A93" s="325">
        <v>89</v>
      </c>
      <c r="B93" s="373" t="s">
        <v>232</v>
      </c>
      <c r="C93" s="361">
        <v>40263</v>
      </c>
      <c r="D93" s="366" t="s">
        <v>163</v>
      </c>
      <c r="E93" s="363">
        <v>8</v>
      </c>
      <c r="F93" s="363">
        <v>6</v>
      </c>
      <c r="G93" s="364">
        <f>18741.5+4264.5+736+360+159+3593.5</f>
        <v>27854.5</v>
      </c>
      <c r="H93" s="365">
        <f>1439+373+103+44+20+789</f>
        <v>2768</v>
      </c>
      <c r="I93" s="374">
        <f>G93/H93</f>
        <v>10.063041907514451</v>
      </c>
      <c r="J93" s="355"/>
    </row>
    <row r="94" spans="1:10" ht="15">
      <c r="A94" s="315">
        <v>90</v>
      </c>
      <c r="B94" s="373" t="s">
        <v>246</v>
      </c>
      <c r="C94" s="361">
        <v>40277</v>
      </c>
      <c r="D94" s="366" t="s">
        <v>59</v>
      </c>
      <c r="E94" s="363">
        <v>10</v>
      </c>
      <c r="F94" s="363">
        <v>4</v>
      </c>
      <c r="G94" s="364">
        <v>26203</v>
      </c>
      <c r="H94" s="365">
        <v>3442</v>
      </c>
      <c r="I94" s="374">
        <f>+G94/H94</f>
        <v>7.612725159790819</v>
      </c>
      <c r="J94" s="355">
        <v>1</v>
      </c>
    </row>
    <row r="95" spans="1:10" ht="15">
      <c r="A95" s="315">
        <v>91</v>
      </c>
      <c r="B95" s="375" t="s">
        <v>193</v>
      </c>
      <c r="C95" s="361">
        <v>40193</v>
      </c>
      <c r="D95" s="366" t="s">
        <v>162</v>
      </c>
      <c r="E95" s="370">
        <v>35</v>
      </c>
      <c r="F95" s="370">
        <v>3</v>
      </c>
      <c r="G95" s="371">
        <v>21393</v>
      </c>
      <c r="H95" s="372">
        <v>2214</v>
      </c>
      <c r="I95" s="374">
        <f>+G95/H95</f>
        <v>9.66260162601626</v>
      </c>
      <c r="J95" s="319"/>
    </row>
    <row r="96" spans="1:10" ht="15">
      <c r="A96" s="325">
        <v>92</v>
      </c>
      <c r="B96" s="373" t="s">
        <v>259</v>
      </c>
      <c r="C96" s="361">
        <v>40256</v>
      </c>
      <c r="D96" s="362" t="s">
        <v>49</v>
      </c>
      <c r="E96" s="363">
        <v>10</v>
      </c>
      <c r="F96" s="363">
        <v>6</v>
      </c>
      <c r="G96" s="364">
        <f>11841.5+3199+707+856.5+521+3603</f>
        <v>20728</v>
      </c>
      <c r="H96" s="365">
        <f>1220+372+104+120+78+721</f>
        <v>2615</v>
      </c>
      <c r="I96" s="374">
        <f>+G96/H96</f>
        <v>7.9265774378585085</v>
      </c>
      <c r="J96" s="285"/>
    </row>
    <row r="97" spans="1:10" ht="15">
      <c r="A97" s="315">
        <v>93</v>
      </c>
      <c r="B97" s="373" t="s">
        <v>289</v>
      </c>
      <c r="C97" s="361">
        <v>40298</v>
      </c>
      <c r="D97" s="367" t="s">
        <v>278</v>
      </c>
      <c r="E97" s="363">
        <v>6</v>
      </c>
      <c r="F97" s="363">
        <v>1</v>
      </c>
      <c r="G97" s="364">
        <v>20270.5</v>
      </c>
      <c r="H97" s="365">
        <v>1626</v>
      </c>
      <c r="I97" s="374">
        <f>+G97/H97</f>
        <v>12.466482164821649</v>
      </c>
      <c r="J97" s="355"/>
    </row>
    <row r="98" spans="1:10" ht="15">
      <c r="A98" s="315">
        <v>94</v>
      </c>
      <c r="B98" s="373" t="s">
        <v>245</v>
      </c>
      <c r="C98" s="361">
        <v>40277</v>
      </c>
      <c r="D98" s="366" t="s">
        <v>163</v>
      </c>
      <c r="E98" s="363">
        <v>9</v>
      </c>
      <c r="F98" s="363">
        <v>4</v>
      </c>
      <c r="G98" s="364">
        <f>6266+1436.5+3621+3651</f>
        <v>14974.5</v>
      </c>
      <c r="H98" s="365">
        <f>501+153+379+764</f>
        <v>1797</v>
      </c>
      <c r="I98" s="374">
        <f>G98/H98</f>
        <v>8.3330550918197</v>
      </c>
      <c r="J98" s="355"/>
    </row>
    <row r="99" spans="1:10" ht="15.75" thickBot="1">
      <c r="A99" s="325">
        <v>95</v>
      </c>
      <c r="B99" s="377" t="s">
        <v>208</v>
      </c>
      <c r="C99" s="378">
        <v>40221</v>
      </c>
      <c r="D99" s="379" t="s">
        <v>163</v>
      </c>
      <c r="E99" s="380">
        <v>2</v>
      </c>
      <c r="F99" s="380">
        <v>9</v>
      </c>
      <c r="G99" s="381">
        <f>3272+1637+421+75+72+597+267+311+350</f>
        <v>7002</v>
      </c>
      <c r="H99" s="382">
        <f>320+180+79+25+24+216+39+43+73</f>
        <v>999</v>
      </c>
      <c r="I99" s="383">
        <f>+G99/H99</f>
        <v>7.009009009009009</v>
      </c>
      <c r="J99" s="285"/>
    </row>
    <row r="100" spans="2:9" ht="12.75">
      <c r="B100" s="307"/>
      <c r="C100" s="308"/>
      <c r="D100" s="308"/>
      <c r="E100" s="309"/>
      <c r="F100" s="309"/>
      <c r="G100" s="310"/>
      <c r="H100" s="311"/>
      <c r="I100" s="312"/>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I16 H30:I52 E60:I83 I98" formula="1"/>
  </ignoredErrors>
</worksheet>
</file>

<file path=xl/worksheets/sheet3.xml><?xml version="1.0" encoding="utf-8"?>
<worksheet xmlns="http://schemas.openxmlformats.org/spreadsheetml/2006/main" xmlns:r="http://schemas.openxmlformats.org/officeDocument/2006/relationships">
  <dimension ref="A1:P543"/>
  <sheetViews>
    <sheetView zoomScale="85" zoomScaleNormal="85" zoomScalePageLayoutView="0" workbookViewId="0" topLeftCell="A1">
      <selection activeCell="B2" sqref="B2:B3"/>
    </sheetView>
  </sheetViews>
  <sheetFormatPr defaultColWidth="8.8515625" defaultRowHeight="12.75"/>
  <cols>
    <col min="1" max="1" width="5.7109375" style="24" bestFit="1" customWidth="1"/>
    <col min="2" max="2" width="64.8515625" style="15" bestFit="1" customWidth="1"/>
    <col min="3" max="3" width="7.7109375" style="21" bestFit="1" customWidth="1"/>
    <col min="4" max="4" width="14.28125" style="14" bestFit="1" customWidth="1"/>
    <col min="5" max="5" width="6.28125" style="143" bestFit="1" customWidth="1"/>
    <col min="6" max="6" width="6.7109375" style="144" bestFit="1" customWidth="1"/>
    <col min="7" max="7" width="8.7109375" style="110" customWidth="1"/>
    <col min="8" max="8" width="16.421875" style="22" bestFit="1" customWidth="1"/>
    <col min="9" max="9" width="10.421875" style="23" bestFit="1" customWidth="1"/>
    <col min="10" max="10" width="7.140625" style="25" bestFit="1" customWidth="1"/>
    <col min="11" max="11" width="8.140625" style="26" bestFit="1" customWidth="1"/>
    <col min="12" max="12" width="16.00390625" style="27" bestFit="1" customWidth="1"/>
    <col min="13" max="13" width="11.421875" style="25" bestFit="1" customWidth="1"/>
    <col min="14" max="14" width="7.7109375" style="249" bestFit="1" customWidth="1"/>
    <col min="15" max="15" width="2.421875" style="28" customWidth="1"/>
    <col min="16" max="16" width="4.00390625" style="10" customWidth="1"/>
    <col min="17" max="18" width="4.00390625" style="0" customWidth="1"/>
    <col min="19" max="19" width="9.7109375" style="0" bestFit="1" customWidth="1"/>
    <col min="20" max="20" width="6.00390625" style="0" bestFit="1" customWidth="1"/>
  </cols>
  <sheetData>
    <row r="1" spans="1:16" s="107" customFormat="1" ht="34.5" thickBot="1">
      <c r="A1" s="443" t="s">
        <v>283</v>
      </c>
      <c r="B1" s="444"/>
      <c r="C1" s="444"/>
      <c r="D1" s="444"/>
      <c r="E1" s="444"/>
      <c r="F1" s="444"/>
      <c r="G1" s="445"/>
      <c r="H1" s="445"/>
      <c r="I1" s="445"/>
      <c r="J1" s="445"/>
      <c r="K1" s="445"/>
      <c r="L1" s="445"/>
      <c r="M1" s="445"/>
      <c r="N1" s="445"/>
      <c r="O1" s="105"/>
      <c r="P1" s="106"/>
    </row>
    <row r="2" spans="1:16" s="13" customFormat="1" ht="12.75">
      <c r="A2" s="102"/>
      <c r="B2" s="446" t="s">
        <v>111</v>
      </c>
      <c r="C2" s="448" t="s">
        <v>149</v>
      </c>
      <c r="D2" s="450" t="s">
        <v>160</v>
      </c>
      <c r="E2" s="441" t="s">
        <v>150</v>
      </c>
      <c r="F2" s="441" t="s">
        <v>157</v>
      </c>
      <c r="G2" s="441" t="s">
        <v>158</v>
      </c>
      <c r="H2" s="452" t="s">
        <v>151</v>
      </c>
      <c r="I2" s="452"/>
      <c r="J2" s="452"/>
      <c r="K2" s="452"/>
      <c r="L2" s="452" t="s">
        <v>152</v>
      </c>
      <c r="M2" s="452"/>
      <c r="N2" s="453"/>
      <c r="O2" s="145"/>
      <c r="P2" s="16"/>
    </row>
    <row r="3" spans="1:16" s="13" customFormat="1" ht="48" customHeight="1" thickBot="1">
      <c r="A3" s="103"/>
      <c r="B3" s="447"/>
      <c r="C3" s="449"/>
      <c r="D3" s="442"/>
      <c r="E3" s="442"/>
      <c r="F3" s="442"/>
      <c r="G3" s="451"/>
      <c r="H3" s="134" t="s">
        <v>153</v>
      </c>
      <c r="I3" s="135" t="s">
        <v>154</v>
      </c>
      <c r="J3" s="135" t="s">
        <v>143</v>
      </c>
      <c r="K3" s="136" t="s">
        <v>155</v>
      </c>
      <c r="L3" s="134" t="s">
        <v>153</v>
      </c>
      <c r="M3" s="135" t="s">
        <v>154</v>
      </c>
      <c r="N3" s="248" t="s">
        <v>156</v>
      </c>
      <c r="O3" s="145"/>
      <c r="P3" s="16"/>
    </row>
    <row r="4" spans="1:15" ht="15">
      <c r="A4" s="104">
        <v>1</v>
      </c>
      <c r="B4" s="237">
        <v>2012</v>
      </c>
      <c r="C4" s="238">
        <v>40130</v>
      </c>
      <c r="D4" s="239" t="s">
        <v>161</v>
      </c>
      <c r="E4" s="240">
        <v>178</v>
      </c>
      <c r="F4" s="240">
        <v>37</v>
      </c>
      <c r="G4" s="240">
        <v>8</v>
      </c>
      <c r="H4" s="241">
        <f>48622+283</f>
        <v>48905</v>
      </c>
      <c r="I4" s="242">
        <f>7403+116</f>
        <v>7519</v>
      </c>
      <c r="J4" s="243">
        <f>I4/F4</f>
        <v>203.21621621621622</v>
      </c>
      <c r="K4" s="244">
        <f>H4/I4</f>
        <v>6.504189386886554</v>
      </c>
      <c r="L4" s="245">
        <f>13107603+48622+283</f>
        <v>13156508</v>
      </c>
      <c r="M4" s="246">
        <f>1468855+7403+116</f>
        <v>1476374</v>
      </c>
      <c r="N4" s="247">
        <f aca="true" t="shared" si="0" ref="N4:N12">+L4/M4</f>
        <v>8.91136527736197</v>
      </c>
      <c r="O4" s="199"/>
    </row>
    <row r="5" spans="1:15" ht="15">
      <c r="A5" s="104">
        <v>2</v>
      </c>
      <c r="B5" s="219">
        <v>2012</v>
      </c>
      <c r="C5" s="29">
        <v>40130</v>
      </c>
      <c r="D5" s="37" t="s">
        <v>161</v>
      </c>
      <c r="E5" s="137">
        <v>178</v>
      </c>
      <c r="F5" s="137">
        <v>25</v>
      </c>
      <c r="G5" s="137">
        <v>9</v>
      </c>
      <c r="H5" s="31">
        <v>29270</v>
      </c>
      <c r="I5" s="32">
        <v>4996</v>
      </c>
      <c r="J5" s="33">
        <f>I5/F5</f>
        <v>199.84</v>
      </c>
      <c r="K5" s="38">
        <f>H5/I5</f>
        <v>5.858686949559647</v>
      </c>
      <c r="L5" s="35">
        <f>13107603+48622+283+29270</f>
        <v>13185778</v>
      </c>
      <c r="M5" s="36">
        <f>1468855+7403+116+4996</f>
        <v>1481370</v>
      </c>
      <c r="N5" s="220">
        <f t="shared" si="0"/>
        <v>8.901069955514153</v>
      </c>
      <c r="O5" s="200"/>
    </row>
    <row r="6" spans="1:15" ht="15">
      <c r="A6" s="104">
        <v>3</v>
      </c>
      <c r="B6" s="219">
        <v>2012</v>
      </c>
      <c r="C6" s="29">
        <v>40130</v>
      </c>
      <c r="D6" s="39" t="s">
        <v>161</v>
      </c>
      <c r="E6" s="137">
        <v>178</v>
      </c>
      <c r="F6" s="137">
        <v>18</v>
      </c>
      <c r="G6" s="137">
        <v>10</v>
      </c>
      <c r="H6" s="31">
        <v>25563</v>
      </c>
      <c r="I6" s="40">
        <v>4175</v>
      </c>
      <c r="J6" s="41">
        <f>I6/F6</f>
        <v>231.94444444444446</v>
      </c>
      <c r="K6" s="34">
        <f>H6/I6</f>
        <v>6.122874251497006</v>
      </c>
      <c r="L6" s="35">
        <f>13107603+48622+283+29270+25563</f>
        <v>13211341</v>
      </c>
      <c r="M6" s="42">
        <f>1468855+7403+116+4996+4175</f>
        <v>1485545</v>
      </c>
      <c r="N6" s="220">
        <f t="shared" si="0"/>
        <v>8.893262068803033</v>
      </c>
      <c r="O6" s="201"/>
    </row>
    <row r="7" spans="1:15" ht="15">
      <c r="A7" s="104">
        <v>4</v>
      </c>
      <c r="B7" s="219">
        <v>2012</v>
      </c>
      <c r="C7" s="29">
        <v>40130</v>
      </c>
      <c r="D7" s="43" t="s">
        <v>161</v>
      </c>
      <c r="E7" s="137">
        <v>178</v>
      </c>
      <c r="F7" s="137">
        <v>7</v>
      </c>
      <c r="G7" s="137">
        <v>11</v>
      </c>
      <c r="H7" s="44">
        <v>11036</v>
      </c>
      <c r="I7" s="40">
        <v>2539</v>
      </c>
      <c r="J7" s="41">
        <f>I7/F7</f>
        <v>362.7142857142857</v>
      </c>
      <c r="K7" s="34">
        <f>H7/I7</f>
        <v>4.346593146908232</v>
      </c>
      <c r="L7" s="45">
        <f>13107603+48622+283+29270+25563+11036</f>
        <v>13222377</v>
      </c>
      <c r="M7" s="42">
        <f>1468855+7403+116+4996+4175+2539</f>
        <v>1488084</v>
      </c>
      <c r="N7" s="220">
        <f t="shared" si="0"/>
        <v>8.885504447329586</v>
      </c>
      <c r="O7" s="201"/>
    </row>
    <row r="8" spans="1:15" ht="15">
      <c r="A8" s="104">
        <v>5</v>
      </c>
      <c r="B8" s="219">
        <v>2012</v>
      </c>
      <c r="C8" s="46">
        <v>40130</v>
      </c>
      <c r="D8" s="37" t="s">
        <v>161</v>
      </c>
      <c r="E8" s="138">
        <v>178</v>
      </c>
      <c r="F8" s="138">
        <v>5</v>
      </c>
      <c r="G8" s="138">
        <v>12</v>
      </c>
      <c r="H8" s="76">
        <v>8708</v>
      </c>
      <c r="I8" s="77">
        <v>1375</v>
      </c>
      <c r="J8" s="101">
        <f>I8/F8</f>
        <v>275</v>
      </c>
      <c r="K8" s="51">
        <f>H8/I8</f>
        <v>6.333090909090909</v>
      </c>
      <c r="L8" s="78">
        <f>13107603+48622+283+29270+25563+11036+8708</f>
        <v>13231085</v>
      </c>
      <c r="M8" s="101">
        <f>1468855+7403+116+4996+4175+2539+1375</f>
        <v>1489459</v>
      </c>
      <c r="N8" s="221">
        <f t="shared" si="0"/>
        <v>8.883148176619834</v>
      </c>
      <c r="O8" s="202"/>
    </row>
    <row r="9" spans="1:15" ht="15">
      <c r="A9" s="104">
        <v>6</v>
      </c>
      <c r="B9" s="222">
        <v>2012</v>
      </c>
      <c r="C9" s="46">
        <v>40130</v>
      </c>
      <c r="D9" s="37" t="s">
        <v>161</v>
      </c>
      <c r="E9" s="138">
        <v>178</v>
      </c>
      <c r="F9" s="138">
        <v>3</v>
      </c>
      <c r="G9" s="138">
        <v>13</v>
      </c>
      <c r="H9" s="111">
        <v>4169</v>
      </c>
      <c r="I9" s="112">
        <v>819</v>
      </c>
      <c r="J9" s="101">
        <f>(I9/F9)</f>
        <v>273</v>
      </c>
      <c r="K9" s="51">
        <f>(J9/G9)</f>
        <v>21</v>
      </c>
      <c r="L9" s="78">
        <f>13231085+4169</f>
        <v>13235254</v>
      </c>
      <c r="M9" s="101">
        <f>1489459+819</f>
        <v>1490278</v>
      </c>
      <c r="N9" s="221">
        <f t="shared" si="0"/>
        <v>8.881063801518911</v>
      </c>
      <c r="O9" s="201"/>
    </row>
    <row r="10" spans="1:15" ht="15">
      <c r="A10" s="104">
        <v>7</v>
      </c>
      <c r="B10" s="222">
        <v>2012</v>
      </c>
      <c r="C10" s="46">
        <v>40130</v>
      </c>
      <c r="D10" s="37" t="s">
        <v>161</v>
      </c>
      <c r="E10" s="138">
        <v>178</v>
      </c>
      <c r="F10" s="138">
        <v>3</v>
      </c>
      <c r="G10" s="138">
        <v>14</v>
      </c>
      <c r="H10" s="115">
        <v>2910</v>
      </c>
      <c r="I10" s="116">
        <v>575</v>
      </c>
      <c r="J10" s="122">
        <f>I10/F10</f>
        <v>191.66666666666666</v>
      </c>
      <c r="K10" s="53">
        <f>H10/I10</f>
        <v>5.060869565217391</v>
      </c>
      <c r="L10" s="52">
        <v>13238163</v>
      </c>
      <c r="M10" s="122">
        <v>1490853</v>
      </c>
      <c r="N10" s="221">
        <f t="shared" si="0"/>
        <v>8.879589738223688</v>
      </c>
      <c r="O10" s="199"/>
    </row>
    <row r="11" spans="1:15" ht="15">
      <c r="A11" s="104">
        <v>8</v>
      </c>
      <c r="B11" s="222">
        <v>2012</v>
      </c>
      <c r="C11" s="46">
        <v>40130</v>
      </c>
      <c r="D11" s="37" t="s">
        <v>161</v>
      </c>
      <c r="E11" s="138">
        <v>178</v>
      </c>
      <c r="F11" s="138">
        <v>2</v>
      </c>
      <c r="G11" s="138">
        <v>15</v>
      </c>
      <c r="H11" s="115">
        <v>1857</v>
      </c>
      <c r="I11" s="116">
        <v>352</v>
      </c>
      <c r="J11" s="122">
        <f>I11/F11</f>
        <v>176</v>
      </c>
      <c r="K11" s="53">
        <f>H11/I11</f>
        <v>5.275568181818182</v>
      </c>
      <c r="L11" s="52">
        <v>13240020</v>
      </c>
      <c r="M11" s="122">
        <v>1491205</v>
      </c>
      <c r="N11" s="221">
        <f t="shared" si="0"/>
        <v>8.87873900637404</v>
      </c>
      <c r="O11" s="203"/>
    </row>
    <row r="12" spans="1:15" ht="15">
      <c r="A12" s="104">
        <v>9</v>
      </c>
      <c r="B12" s="219">
        <v>2012</v>
      </c>
      <c r="C12" s="29">
        <v>40130</v>
      </c>
      <c r="D12" s="39" t="s">
        <v>161</v>
      </c>
      <c r="E12" s="137">
        <v>178</v>
      </c>
      <c r="F12" s="137">
        <v>1</v>
      </c>
      <c r="G12" s="137">
        <v>16</v>
      </c>
      <c r="H12" s="31">
        <v>2380</v>
      </c>
      <c r="I12" s="40">
        <v>476</v>
      </c>
      <c r="J12" s="41">
        <f>I12/F12</f>
        <v>476</v>
      </c>
      <c r="K12" s="34">
        <f>H12/I12</f>
        <v>5</v>
      </c>
      <c r="L12" s="35">
        <f>13240020+2380</f>
        <v>13242400</v>
      </c>
      <c r="M12" s="42">
        <f>1491205+476</f>
        <v>1491681</v>
      </c>
      <c r="N12" s="220">
        <f t="shared" si="0"/>
        <v>8.87750128881443</v>
      </c>
      <c r="O12" s="203"/>
    </row>
    <row r="13" spans="1:15" ht="15">
      <c r="A13" s="104">
        <v>10</v>
      </c>
      <c r="B13" s="219">
        <v>2012</v>
      </c>
      <c r="C13" s="29">
        <v>40130</v>
      </c>
      <c r="D13" s="37" t="s">
        <v>161</v>
      </c>
      <c r="E13" s="137">
        <v>178</v>
      </c>
      <c r="F13" s="137">
        <v>1</v>
      </c>
      <c r="G13" s="137">
        <v>17</v>
      </c>
      <c r="H13" s="31">
        <v>2380</v>
      </c>
      <c r="I13" s="32">
        <v>476</v>
      </c>
      <c r="J13" s="33">
        <f>I13/F13</f>
        <v>476</v>
      </c>
      <c r="K13" s="38">
        <f>H13/I13</f>
        <v>5</v>
      </c>
      <c r="L13" s="35">
        <f>13240020+2380+2380</f>
        <v>13244780</v>
      </c>
      <c r="M13" s="36">
        <f>1491205+476+476</f>
        <v>1492157</v>
      </c>
      <c r="N13" s="220">
        <f>IF(L13&lt;&gt;0,L13/M13,"")</f>
        <v>8.876264360921807</v>
      </c>
      <c r="O13" s="203"/>
    </row>
    <row r="14" spans="1:15" ht="15">
      <c r="A14" s="104">
        <v>11</v>
      </c>
      <c r="B14" s="222" t="s">
        <v>45</v>
      </c>
      <c r="C14" s="46">
        <v>40095</v>
      </c>
      <c r="D14" s="47" t="s">
        <v>163</v>
      </c>
      <c r="E14" s="138">
        <v>22</v>
      </c>
      <c r="F14" s="138">
        <v>3</v>
      </c>
      <c r="G14" s="138">
        <v>10</v>
      </c>
      <c r="H14" s="31">
        <v>3158</v>
      </c>
      <c r="I14" s="32">
        <v>596</v>
      </c>
      <c r="J14" s="33">
        <f>(I14/F14)</f>
        <v>198.66666666666666</v>
      </c>
      <c r="K14" s="38">
        <f>H14/I14</f>
        <v>5.298657718120805</v>
      </c>
      <c r="L14" s="35">
        <f>158809.5+140713.25+103696.25+38523+19360+17458+1188+196+2484+3158</f>
        <v>485586</v>
      </c>
      <c r="M14" s="36">
        <f>14214+13110+10683+4685+3074+2645+297+16+571+596</f>
        <v>49891</v>
      </c>
      <c r="N14" s="220">
        <f>L14/M14</f>
        <v>9.732937804413622</v>
      </c>
      <c r="O14" s="199"/>
    </row>
    <row r="15" spans="1:15" ht="15">
      <c r="A15" s="104">
        <v>12</v>
      </c>
      <c r="B15" s="222" t="s">
        <v>45</v>
      </c>
      <c r="C15" s="46">
        <v>40095</v>
      </c>
      <c r="D15" s="37" t="s">
        <v>163</v>
      </c>
      <c r="E15" s="138">
        <v>22</v>
      </c>
      <c r="F15" s="138">
        <v>2</v>
      </c>
      <c r="G15" s="138">
        <v>12</v>
      </c>
      <c r="H15" s="111">
        <v>2933</v>
      </c>
      <c r="I15" s="112">
        <v>584</v>
      </c>
      <c r="J15" s="101">
        <f>I15/F15</f>
        <v>292</v>
      </c>
      <c r="K15" s="51">
        <f>+H15/I15</f>
        <v>5.022260273972603</v>
      </c>
      <c r="L15" s="78">
        <f>158809.5+140713.25+103696.25+38523+19360+17458+1188+196+2484+3158+1780+2933</f>
        <v>490299</v>
      </c>
      <c r="M15" s="101">
        <f>14214+13110+10683+4685+3074+2645+297+16+571+596+445+584</f>
        <v>50920</v>
      </c>
      <c r="N15" s="221">
        <f>L15/M15</f>
        <v>9.628809897879027</v>
      </c>
      <c r="O15" s="201"/>
    </row>
    <row r="16" spans="1:15" ht="15">
      <c r="A16" s="104">
        <v>13</v>
      </c>
      <c r="B16" s="222" t="s">
        <v>45</v>
      </c>
      <c r="C16" s="46">
        <v>40095</v>
      </c>
      <c r="D16" s="48" t="s">
        <v>163</v>
      </c>
      <c r="E16" s="138">
        <v>22</v>
      </c>
      <c r="F16" s="138">
        <v>2</v>
      </c>
      <c r="G16" s="138">
        <v>9</v>
      </c>
      <c r="H16" s="31">
        <v>2484</v>
      </c>
      <c r="I16" s="32">
        <v>571</v>
      </c>
      <c r="J16" s="33">
        <f>(I16/F16)</f>
        <v>285.5</v>
      </c>
      <c r="K16" s="34">
        <f>H16/I16</f>
        <v>4.350262697022767</v>
      </c>
      <c r="L16" s="35">
        <f>158809.5+140713.25+103696.25+38523+19360+17458+1188+196+2484</f>
        <v>482428</v>
      </c>
      <c r="M16" s="36">
        <f>14214+13110+10683+4685+3074+2645+297+16+571</f>
        <v>49295</v>
      </c>
      <c r="N16" s="220">
        <f>L16/M16</f>
        <v>9.786550360077086</v>
      </c>
      <c r="O16" s="199"/>
    </row>
    <row r="17" spans="1:15" ht="15">
      <c r="A17" s="104">
        <v>14</v>
      </c>
      <c r="B17" s="223" t="s">
        <v>45</v>
      </c>
      <c r="C17" s="62">
        <v>40095</v>
      </c>
      <c r="D17" s="63" t="s">
        <v>163</v>
      </c>
      <c r="E17" s="139">
        <v>22</v>
      </c>
      <c r="F17" s="139">
        <v>1</v>
      </c>
      <c r="G17" s="139">
        <v>11</v>
      </c>
      <c r="H17" s="44">
        <v>1780</v>
      </c>
      <c r="I17" s="40">
        <v>445</v>
      </c>
      <c r="J17" s="41">
        <f>(I17/F17)</f>
        <v>445</v>
      </c>
      <c r="K17" s="51">
        <f>+H17/I17</f>
        <v>4</v>
      </c>
      <c r="L17" s="45">
        <f>158809.5+140713.25+103696.25+38523+19360+17458+1188+196+2484+3158+1780</f>
        <v>487366</v>
      </c>
      <c r="M17" s="42">
        <f>14214+13110+10683+4685+3074+2645+297+16+571+596+445</f>
        <v>50336</v>
      </c>
      <c r="N17" s="220">
        <f>L17/M17</f>
        <v>9.682255244755245</v>
      </c>
      <c r="O17" s="202"/>
    </row>
    <row r="18" spans="1:15" ht="15">
      <c r="A18" s="104">
        <v>15</v>
      </c>
      <c r="B18" s="219" t="s">
        <v>45</v>
      </c>
      <c r="C18" s="46">
        <v>40095</v>
      </c>
      <c r="D18" s="37" t="s">
        <v>163</v>
      </c>
      <c r="E18" s="133">
        <v>22</v>
      </c>
      <c r="F18" s="133">
        <v>1</v>
      </c>
      <c r="G18" s="133">
        <v>13</v>
      </c>
      <c r="H18" s="337">
        <v>1780</v>
      </c>
      <c r="I18" s="338">
        <v>445</v>
      </c>
      <c r="J18" s="122">
        <f>(I18/F18)</f>
        <v>445</v>
      </c>
      <c r="K18" s="53">
        <f>H18/I18</f>
        <v>4</v>
      </c>
      <c r="L18" s="52">
        <f>158809.5+140713.25+103696.25+38523+19360+17458+1188+196+2484+3158+1780+2933+1780</f>
        <v>492079</v>
      </c>
      <c r="M18" s="122">
        <f>14214+13110+10683+4685+3074+2645+297+16+571+596+445+584+445</f>
        <v>51365</v>
      </c>
      <c r="N18" s="280">
        <f>L18/M18</f>
        <v>9.580044777572278</v>
      </c>
      <c r="O18" s="203"/>
    </row>
    <row r="19" spans="1:15" ht="15">
      <c r="A19" s="104">
        <v>16</v>
      </c>
      <c r="B19" s="219" t="s">
        <v>129</v>
      </c>
      <c r="C19" s="46">
        <v>40081</v>
      </c>
      <c r="D19" s="47" t="s">
        <v>49</v>
      </c>
      <c r="E19" s="133">
        <v>30</v>
      </c>
      <c r="F19" s="133">
        <v>1</v>
      </c>
      <c r="G19" s="133">
        <v>7</v>
      </c>
      <c r="H19" s="119">
        <v>4242</v>
      </c>
      <c r="I19" s="120">
        <v>864</v>
      </c>
      <c r="J19" s="122">
        <f aca="true" t="shared" si="1" ref="J19:J25">I19/F19</f>
        <v>864</v>
      </c>
      <c r="K19" s="53">
        <f>+H19/I19</f>
        <v>4.909722222222222</v>
      </c>
      <c r="L19" s="52">
        <v>109324.35</v>
      </c>
      <c r="M19" s="122">
        <v>13970</v>
      </c>
      <c r="N19" s="280">
        <f>+L19/M19</f>
        <v>7.825651395848246</v>
      </c>
      <c r="O19" s="203">
        <v>1</v>
      </c>
    </row>
    <row r="20" spans="1:15" ht="15">
      <c r="A20" s="104">
        <v>17</v>
      </c>
      <c r="B20" s="219" t="s">
        <v>129</v>
      </c>
      <c r="C20" s="46">
        <v>40081</v>
      </c>
      <c r="D20" s="37" t="s">
        <v>114</v>
      </c>
      <c r="E20" s="133">
        <v>30</v>
      </c>
      <c r="F20" s="133">
        <v>1</v>
      </c>
      <c r="G20" s="133">
        <v>8</v>
      </c>
      <c r="H20" s="337">
        <v>441.65</v>
      </c>
      <c r="I20" s="338">
        <v>99</v>
      </c>
      <c r="J20" s="122">
        <f t="shared" si="1"/>
        <v>99</v>
      </c>
      <c r="K20" s="53">
        <f aca="true" t="shared" si="2" ref="K20:K25">H20/I20</f>
        <v>4.461111111111111</v>
      </c>
      <c r="L20" s="52">
        <f>105083+638.35+3603+441.65</f>
        <v>109766</v>
      </c>
      <c r="M20" s="122">
        <f>13106+143+721+99</f>
        <v>14069</v>
      </c>
      <c r="N20" s="280">
        <f>+L20/M20</f>
        <v>7.801975975549079</v>
      </c>
      <c r="O20" s="203">
        <v>1</v>
      </c>
    </row>
    <row r="21" spans="1:15" ht="15">
      <c r="A21" s="104">
        <v>18</v>
      </c>
      <c r="B21" s="222" t="s">
        <v>140</v>
      </c>
      <c r="C21" s="46">
        <v>40137</v>
      </c>
      <c r="D21" s="48" t="s">
        <v>59</v>
      </c>
      <c r="E21" s="138">
        <v>149</v>
      </c>
      <c r="F21" s="138">
        <v>9</v>
      </c>
      <c r="G21" s="138">
        <v>7</v>
      </c>
      <c r="H21" s="49">
        <v>27101.5</v>
      </c>
      <c r="I21" s="50">
        <v>4448</v>
      </c>
      <c r="J21" s="122">
        <f t="shared" si="1"/>
        <v>494.22222222222223</v>
      </c>
      <c r="K21" s="51">
        <f t="shared" si="2"/>
        <v>6.092963129496403</v>
      </c>
      <c r="L21" s="52">
        <v>3103393</v>
      </c>
      <c r="M21" s="122">
        <v>360904</v>
      </c>
      <c r="N21" s="221">
        <f>L21/M21</f>
        <v>8.598943209274488</v>
      </c>
      <c r="O21" s="199">
        <v>1</v>
      </c>
    </row>
    <row r="22" spans="1:15" ht="15">
      <c r="A22" s="104">
        <v>19</v>
      </c>
      <c r="B22" s="222" t="s">
        <v>140</v>
      </c>
      <c r="C22" s="46">
        <v>40137</v>
      </c>
      <c r="D22" s="48" t="s">
        <v>59</v>
      </c>
      <c r="E22" s="138">
        <v>149</v>
      </c>
      <c r="F22" s="138">
        <v>10</v>
      </c>
      <c r="G22" s="138">
        <v>9</v>
      </c>
      <c r="H22" s="49">
        <v>17098.5</v>
      </c>
      <c r="I22" s="50">
        <v>3701</v>
      </c>
      <c r="J22" s="122">
        <f t="shared" si="1"/>
        <v>370.1</v>
      </c>
      <c r="K22" s="53">
        <f t="shared" si="2"/>
        <v>4.619967576330722</v>
      </c>
      <c r="L22" s="52">
        <v>3130396</v>
      </c>
      <c r="M22" s="122">
        <v>366723</v>
      </c>
      <c r="N22" s="221">
        <f>L22/M22</f>
        <v>8.536132176056588</v>
      </c>
      <c r="O22" s="199"/>
    </row>
    <row r="23" spans="1:15" ht="15">
      <c r="A23" s="104">
        <v>20</v>
      </c>
      <c r="B23" s="222" t="s">
        <v>140</v>
      </c>
      <c r="C23" s="46">
        <v>40137</v>
      </c>
      <c r="D23" s="48" t="s">
        <v>59</v>
      </c>
      <c r="E23" s="138">
        <v>149</v>
      </c>
      <c r="F23" s="138">
        <v>9</v>
      </c>
      <c r="G23" s="138">
        <v>8</v>
      </c>
      <c r="H23" s="49">
        <v>9904.5</v>
      </c>
      <c r="I23" s="50">
        <v>2118</v>
      </c>
      <c r="J23" s="122">
        <f t="shared" si="1"/>
        <v>235.33333333333334</v>
      </c>
      <c r="K23" s="53">
        <f t="shared" si="2"/>
        <v>4.676345609065156</v>
      </c>
      <c r="L23" s="52">
        <v>3113297.5</v>
      </c>
      <c r="M23" s="122">
        <v>363022</v>
      </c>
      <c r="N23" s="221">
        <f>L23/M23</f>
        <v>8.57605737393326</v>
      </c>
      <c r="O23" s="199">
        <v>1</v>
      </c>
    </row>
    <row r="24" spans="1:15" ht="15">
      <c r="A24" s="104">
        <v>21</v>
      </c>
      <c r="B24" s="222" t="s">
        <v>140</v>
      </c>
      <c r="C24" s="46">
        <v>40137</v>
      </c>
      <c r="D24" s="37" t="s">
        <v>59</v>
      </c>
      <c r="E24" s="138">
        <v>149</v>
      </c>
      <c r="F24" s="138">
        <v>1</v>
      </c>
      <c r="G24" s="138">
        <v>14</v>
      </c>
      <c r="H24" s="115">
        <v>8232.5</v>
      </c>
      <c r="I24" s="116">
        <v>1373</v>
      </c>
      <c r="J24" s="122">
        <f t="shared" si="1"/>
        <v>1373</v>
      </c>
      <c r="K24" s="53">
        <f t="shared" si="2"/>
        <v>5.995994173343044</v>
      </c>
      <c r="L24" s="52">
        <v>3142997</v>
      </c>
      <c r="M24" s="122">
        <v>368955</v>
      </c>
      <c r="N24" s="221">
        <f>+L24/M24</f>
        <v>8.518645905327208</v>
      </c>
      <c r="O24" s="204">
        <v>1</v>
      </c>
    </row>
    <row r="25" spans="1:15" ht="15">
      <c r="A25" s="104">
        <v>22</v>
      </c>
      <c r="B25" s="222" t="s">
        <v>140</v>
      </c>
      <c r="C25" s="46">
        <v>40137</v>
      </c>
      <c r="D25" s="37" t="s">
        <v>59</v>
      </c>
      <c r="E25" s="138">
        <v>149</v>
      </c>
      <c r="F25" s="138">
        <v>1</v>
      </c>
      <c r="G25" s="138">
        <v>13</v>
      </c>
      <c r="H25" s="115">
        <v>1987</v>
      </c>
      <c r="I25" s="116">
        <v>399</v>
      </c>
      <c r="J25" s="122">
        <f t="shared" si="1"/>
        <v>399</v>
      </c>
      <c r="K25" s="53">
        <f t="shared" si="2"/>
        <v>4.979949874686716</v>
      </c>
      <c r="L25" s="52">
        <v>3134764.5</v>
      </c>
      <c r="M25" s="122">
        <v>367582</v>
      </c>
      <c r="N25" s="221">
        <f>L25/M25</f>
        <v>8.52806856701362</v>
      </c>
      <c r="O25" s="199">
        <v>1</v>
      </c>
    </row>
    <row r="26" spans="1:15" ht="15">
      <c r="A26" s="104">
        <v>23</v>
      </c>
      <c r="B26" s="222" t="s">
        <v>140</v>
      </c>
      <c r="C26" s="46">
        <v>40137</v>
      </c>
      <c r="D26" s="37" t="s">
        <v>59</v>
      </c>
      <c r="E26" s="138">
        <v>149</v>
      </c>
      <c r="F26" s="138">
        <v>1</v>
      </c>
      <c r="G26" s="138">
        <v>12</v>
      </c>
      <c r="H26" s="111">
        <v>1725.5</v>
      </c>
      <c r="I26" s="112">
        <v>350</v>
      </c>
      <c r="J26" s="101">
        <f>(I26/F26)</f>
        <v>350</v>
      </c>
      <c r="K26" s="51">
        <f>(J26/G26)</f>
        <v>29.166666666666668</v>
      </c>
      <c r="L26" s="78">
        <v>3132777.5</v>
      </c>
      <c r="M26" s="101">
        <v>367183</v>
      </c>
      <c r="N26" s="221">
        <f>L26/M26</f>
        <v>8.531924135921326</v>
      </c>
      <c r="O26" s="201">
        <v>1</v>
      </c>
    </row>
    <row r="27" spans="1:15" ht="15">
      <c r="A27" s="104">
        <v>24</v>
      </c>
      <c r="B27" s="222" t="s">
        <v>140</v>
      </c>
      <c r="C27" s="46">
        <v>40137</v>
      </c>
      <c r="D27" s="37" t="s">
        <v>59</v>
      </c>
      <c r="E27" s="138">
        <v>149</v>
      </c>
      <c r="F27" s="138">
        <v>1</v>
      </c>
      <c r="G27" s="138">
        <v>11</v>
      </c>
      <c r="H27" s="76">
        <v>656</v>
      </c>
      <c r="I27" s="77">
        <v>110</v>
      </c>
      <c r="J27" s="101">
        <f>I27/F27</f>
        <v>110</v>
      </c>
      <c r="K27" s="51">
        <f>H27/I27</f>
        <v>5.963636363636364</v>
      </c>
      <c r="L27" s="78">
        <v>3131052</v>
      </c>
      <c r="M27" s="101">
        <v>366833</v>
      </c>
      <c r="N27" s="221">
        <f>L27/M27</f>
        <v>8.535360777247412</v>
      </c>
      <c r="O27" s="205">
        <v>1</v>
      </c>
    </row>
    <row r="28" spans="1:15" ht="15">
      <c r="A28" s="104">
        <v>25</v>
      </c>
      <c r="B28" s="222" t="s">
        <v>140</v>
      </c>
      <c r="C28" s="46">
        <v>40137</v>
      </c>
      <c r="D28" s="48" t="s">
        <v>59</v>
      </c>
      <c r="E28" s="133">
        <v>149</v>
      </c>
      <c r="F28" s="133">
        <v>1</v>
      </c>
      <c r="G28" s="133">
        <v>15</v>
      </c>
      <c r="H28" s="119">
        <v>1918</v>
      </c>
      <c r="I28" s="120">
        <v>319</v>
      </c>
      <c r="J28" s="122">
        <f>I28/F28</f>
        <v>319</v>
      </c>
      <c r="K28" s="53">
        <f>H28/I28</f>
        <v>6.012539184952978</v>
      </c>
      <c r="L28" s="52">
        <v>3144915</v>
      </c>
      <c r="M28" s="122">
        <v>369274</v>
      </c>
      <c r="N28" s="221">
        <f>L28/M28</f>
        <v>8.51648098701777</v>
      </c>
      <c r="O28" s="206">
        <v>1</v>
      </c>
    </row>
    <row r="29" spans="1:15" ht="15">
      <c r="A29" s="104">
        <v>26</v>
      </c>
      <c r="B29" s="219" t="s">
        <v>140</v>
      </c>
      <c r="C29" s="29">
        <v>40137</v>
      </c>
      <c r="D29" s="37" t="s">
        <v>59</v>
      </c>
      <c r="E29" s="137">
        <v>149</v>
      </c>
      <c r="F29" s="137">
        <v>1</v>
      </c>
      <c r="G29" s="137">
        <v>16</v>
      </c>
      <c r="H29" s="31">
        <v>2013.5</v>
      </c>
      <c r="I29" s="32">
        <v>370</v>
      </c>
      <c r="J29" s="33">
        <f>I29/F29</f>
        <v>370</v>
      </c>
      <c r="K29" s="38">
        <f>H29/I29</f>
        <v>5.441891891891892</v>
      </c>
      <c r="L29" s="35">
        <v>3146928.5</v>
      </c>
      <c r="M29" s="36">
        <v>369644</v>
      </c>
      <c r="N29" s="220">
        <f>IF(L29&lt;&gt;0,L29/M29,"")</f>
        <v>8.513403436820292</v>
      </c>
      <c r="O29" s="203">
        <v>1</v>
      </c>
    </row>
    <row r="30" spans="1:15" ht="15">
      <c r="A30" s="104">
        <v>27</v>
      </c>
      <c r="B30" s="219" t="s">
        <v>140</v>
      </c>
      <c r="C30" s="46">
        <v>40137</v>
      </c>
      <c r="D30" s="37" t="s">
        <v>59</v>
      </c>
      <c r="E30" s="133">
        <v>149</v>
      </c>
      <c r="F30" s="133">
        <v>3</v>
      </c>
      <c r="G30" s="133">
        <v>17</v>
      </c>
      <c r="H30" s="119">
        <v>8569</v>
      </c>
      <c r="I30" s="120">
        <v>1096</v>
      </c>
      <c r="J30" s="122">
        <f>I30/F30</f>
        <v>365.3333333333333</v>
      </c>
      <c r="K30" s="53">
        <f>+H30/I30</f>
        <v>7.818430656934306</v>
      </c>
      <c r="L30" s="52">
        <v>3155497.5</v>
      </c>
      <c r="M30" s="122">
        <v>370740</v>
      </c>
      <c r="N30" s="280">
        <f>+L30/M30</f>
        <v>8.511348923774074</v>
      </c>
      <c r="O30" s="203">
        <v>1</v>
      </c>
    </row>
    <row r="31" spans="1:15" ht="15">
      <c r="A31" s="104">
        <v>28</v>
      </c>
      <c r="B31" s="219" t="s">
        <v>3</v>
      </c>
      <c r="C31" s="29">
        <v>40151</v>
      </c>
      <c r="D31" s="37" t="s">
        <v>165</v>
      </c>
      <c r="E31" s="137">
        <v>140</v>
      </c>
      <c r="F31" s="137">
        <v>19</v>
      </c>
      <c r="G31" s="137">
        <v>7</v>
      </c>
      <c r="H31" s="54">
        <v>16570</v>
      </c>
      <c r="I31" s="55">
        <v>2937</v>
      </c>
      <c r="J31" s="56">
        <f>IF(H31&lt;&gt;0,I31/F31,"")</f>
        <v>154.57894736842104</v>
      </c>
      <c r="K31" s="57">
        <f>IF(H31&lt;&gt;0,H31/I31,"")</f>
        <v>5.64181137214845</v>
      </c>
      <c r="L31" s="58">
        <v>1036414</v>
      </c>
      <c r="M31" s="101">
        <v>132115</v>
      </c>
      <c r="N31" s="224">
        <f>IF(L31&lt;&gt;0,L31/M31,"")</f>
        <v>7.844786738826023</v>
      </c>
      <c r="O31" s="201">
        <v>1</v>
      </c>
    </row>
    <row r="32" spans="1:15" ht="15">
      <c r="A32" s="104">
        <v>29</v>
      </c>
      <c r="B32" s="219" t="s">
        <v>88</v>
      </c>
      <c r="C32" s="29">
        <v>40151</v>
      </c>
      <c r="D32" s="37" t="s">
        <v>165</v>
      </c>
      <c r="E32" s="137">
        <v>140</v>
      </c>
      <c r="F32" s="137">
        <v>18</v>
      </c>
      <c r="G32" s="137">
        <v>6</v>
      </c>
      <c r="H32" s="54">
        <v>9901</v>
      </c>
      <c r="I32" s="59">
        <v>1541</v>
      </c>
      <c r="J32" s="60">
        <f>IF(H32&lt;&gt;0,I32/F32,"")</f>
        <v>85.61111111111111</v>
      </c>
      <c r="K32" s="61">
        <f>IF(H32&lt;&gt;0,H32/I32,"")</f>
        <v>6.425048669695003</v>
      </c>
      <c r="L32" s="58">
        <v>1019844</v>
      </c>
      <c r="M32" s="122">
        <v>129178</v>
      </c>
      <c r="N32" s="224">
        <f>IF(L32&lt;&gt;0,L32/M32,"")</f>
        <v>7.894873740110545</v>
      </c>
      <c r="O32" s="200">
        <v>1</v>
      </c>
    </row>
    <row r="33" spans="1:15" ht="15">
      <c r="A33" s="104">
        <v>30</v>
      </c>
      <c r="B33" s="219" t="s">
        <v>88</v>
      </c>
      <c r="C33" s="29">
        <v>40151</v>
      </c>
      <c r="D33" s="43" t="s">
        <v>165</v>
      </c>
      <c r="E33" s="137">
        <v>140</v>
      </c>
      <c r="F33" s="137">
        <v>15</v>
      </c>
      <c r="G33" s="137">
        <v>5</v>
      </c>
      <c r="H33" s="54">
        <v>6903</v>
      </c>
      <c r="I33" s="59">
        <v>1187</v>
      </c>
      <c r="J33" s="60">
        <f>IF(H33&lt;&gt;0,I33/F33,"")</f>
        <v>79.13333333333334</v>
      </c>
      <c r="K33" s="57">
        <f>IF(H33&lt;&gt;0,H33/I33,"")</f>
        <v>5.815501263689975</v>
      </c>
      <c r="L33" s="58">
        <v>1009943</v>
      </c>
      <c r="M33" s="122">
        <v>127637</v>
      </c>
      <c r="N33" s="224">
        <f>IF(L33&lt;&gt;0,L33/M33,"")</f>
        <v>7.9126193815273</v>
      </c>
      <c r="O33" s="199">
        <v>1</v>
      </c>
    </row>
    <row r="34" spans="1:15" ht="15">
      <c r="A34" s="104">
        <v>31</v>
      </c>
      <c r="B34" s="222" t="s">
        <v>3</v>
      </c>
      <c r="C34" s="46">
        <v>40151</v>
      </c>
      <c r="D34" s="37" t="s">
        <v>165</v>
      </c>
      <c r="E34" s="138">
        <v>140</v>
      </c>
      <c r="F34" s="138">
        <v>1</v>
      </c>
      <c r="G34" s="138">
        <v>11</v>
      </c>
      <c r="H34" s="115">
        <v>1761</v>
      </c>
      <c r="I34" s="116">
        <v>501</v>
      </c>
      <c r="J34" s="122">
        <f>I34/F34</f>
        <v>501</v>
      </c>
      <c r="K34" s="53">
        <f>H34/I34</f>
        <v>3.5149700598802394</v>
      </c>
      <c r="L34" s="52">
        <v>1040676.5</v>
      </c>
      <c r="M34" s="122">
        <v>133177</v>
      </c>
      <c r="N34" s="221">
        <f>+L34/M34</f>
        <v>7.8142359416415745</v>
      </c>
      <c r="O34" s="204">
        <v>1</v>
      </c>
    </row>
    <row r="35" spans="1:15" ht="15">
      <c r="A35" s="104">
        <v>32</v>
      </c>
      <c r="B35" s="222" t="s">
        <v>88</v>
      </c>
      <c r="C35" s="46">
        <v>40151</v>
      </c>
      <c r="D35" s="37" t="s">
        <v>165</v>
      </c>
      <c r="E35" s="138">
        <v>140</v>
      </c>
      <c r="F35" s="138">
        <v>3</v>
      </c>
      <c r="G35" s="138">
        <v>9</v>
      </c>
      <c r="H35" s="76">
        <v>1435.5</v>
      </c>
      <c r="I35" s="77">
        <v>375</v>
      </c>
      <c r="J35" s="101">
        <f>I35/F35</f>
        <v>125</v>
      </c>
      <c r="K35" s="51">
        <f>H35/I35</f>
        <v>3.828</v>
      </c>
      <c r="L35" s="78">
        <v>1038795.5</v>
      </c>
      <c r="M35" s="101">
        <v>132664</v>
      </c>
      <c r="N35" s="221">
        <f>L35/M35</f>
        <v>7.830274226617621</v>
      </c>
      <c r="O35" s="202">
        <v>1</v>
      </c>
    </row>
    <row r="36" spans="1:15" ht="15">
      <c r="A36" s="104">
        <v>33</v>
      </c>
      <c r="B36" s="222" t="s">
        <v>88</v>
      </c>
      <c r="C36" s="46">
        <v>40151</v>
      </c>
      <c r="D36" s="48" t="s">
        <v>165</v>
      </c>
      <c r="E36" s="138">
        <v>140</v>
      </c>
      <c r="F36" s="138">
        <v>3</v>
      </c>
      <c r="G36" s="138">
        <v>8</v>
      </c>
      <c r="H36" s="44">
        <v>946</v>
      </c>
      <c r="I36" s="40">
        <v>174</v>
      </c>
      <c r="J36" s="41">
        <f>IF(H36&lt;&gt;0,I36/F36,"")</f>
        <v>58</v>
      </c>
      <c r="K36" s="34">
        <f>IF(H36&lt;&gt;0,H36/I36,"")</f>
        <v>5.436781609195402</v>
      </c>
      <c r="L36" s="45">
        <v>1037360</v>
      </c>
      <c r="M36" s="42">
        <v>132289</v>
      </c>
      <c r="N36" s="220">
        <f>IF(L36&lt;&gt;0,L36/M36,"")</f>
        <v>7.841619484613233</v>
      </c>
      <c r="O36" s="201">
        <v>1</v>
      </c>
    </row>
    <row r="37" spans="1:15" ht="15">
      <c r="A37" s="104">
        <v>34</v>
      </c>
      <c r="B37" s="222" t="s">
        <v>3</v>
      </c>
      <c r="C37" s="46">
        <v>40151</v>
      </c>
      <c r="D37" s="37" t="s">
        <v>165</v>
      </c>
      <c r="E37" s="138">
        <v>140</v>
      </c>
      <c r="F37" s="138">
        <v>1</v>
      </c>
      <c r="G37" s="138">
        <v>10</v>
      </c>
      <c r="H37" s="111">
        <v>120</v>
      </c>
      <c r="I37" s="112">
        <v>12</v>
      </c>
      <c r="J37" s="101">
        <f>IF(H37&lt;&gt;0,I37/F37,"")</f>
        <v>12</v>
      </c>
      <c r="K37" s="51">
        <f>IF(H37&lt;&gt;0,H37/I37,"")</f>
        <v>10</v>
      </c>
      <c r="L37" s="78">
        <v>1038915.5</v>
      </c>
      <c r="M37" s="101">
        <v>132676</v>
      </c>
      <c r="N37" s="221">
        <f>IF(L37&lt;&gt;0,L37/M37,"")</f>
        <v>7.830470469414212</v>
      </c>
      <c r="O37" s="201">
        <v>1</v>
      </c>
    </row>
    <row r="38" spans="1:15" ht="15">
      <c r="A38" s="104">
        <v>35</v>
      </c>
      <c r="B38" s="222" t="s">
        <v>119</v>
      </c>
      <c r="C38" s="46">
        <v>40088</v>
      </c>
      <c r="D38" s="37" t="s">
        <v>30</v>
      </c>
      <c r="E38" s="138">
        <v>25</v>
      </c>
      <c r="F38" s="138">
        <v>1</v>
      </c>
      <c r="G38" s="138">
        <v>9</v>
      </c>
      <c r="H38" s="76">
        <v>1782</v>
      </c>
      <c r="I38" s="77">
        <v>356</v>
      </c>
      <c r="J38" s="101">
        <f>I38/F38</f>
        <v>356</v>
      </c>
      <c r="K38" s="51">
        <f aca="true" t="shared" si="3" ref="K38:K43">H38/I38</f>
        <v>5.00561797752809</v>
      </c>
      <c r="L38" s="78">
        <v>41396.25</v>
      </c>
      <c r="M38" s="101">
        <v>6864</v>
      </c>
      <c r="N38" s="221">
        <f>L38/M38</f>
        <v>6.0309222027972025</v>
      </c>
      <c r="O38" s="205">
        <v>1</v>
      </c>
    </row>
    <row r="39" spans="1:15" ht="15">
      <c r="A39" s="104">
        <v>36</v>
      </c>
      <c r="B39" s="219" t="s">
        <v>119</v>
      </c>
      <c r="C39" s="46">
        <v>40088</v>
      </c>
      <c r="D39" s="37" t="s">
        <v>59</v>
      </c>
      <c r="E39" s="133">
        <v>25</v>
      </c>
      <c r="F39" s="133">
        <v>2</v>
      </c>
      <c r="G39" s="133">
        <v>11</v>
      </c>
      <c r="H39" s="337">
        <v>2376</v>
      </c>
      <c r="I39" s="338">
        <v>475</v>
      </c>
      <c r="J39" s="122">
        <f>I39/F39</f>
        <v>237.5</v>
      </c>
      <c r="K39" s="53">
        <f t="shared" si="3"/>
        <v>5.002105263157895</v>
      </c>
      <c r="L39" s="52">
        <v>45554.25</v>
      </c>
      <c r="M39" s="122">
        <v>7695</v>
      </c>
      <c r="N39" s="280">
        <f>+L39/M39</f>
        <v>5.919980506822612</v>
      </c>
      <c r="O39" s="203">
        <v>1</v>
      </c>
    </row>
    <row r="40" spans="1:15" ht="15">
      <c r="A40" s="104">
        <v>37</v>
      </c>
      <c r="B40" s="222" t="s">
        <v>68</v>
      </c>
      <c r="C40" s="46">
        <v>40165</v>
      </c>
      <c r="D40" s="48" t="s">
        <v>163</v>
      </c>
      <c r="E40" s="138">
        <v>74</v>
      </c>
      <c r="F40" s="138">
        <v>63</v>
      </c>
      <c r="G40" s="138">
        <v>3</v>
      </c>
      <c r="H40" s="31">
        <v>124291.75</v>
      </c>
      <c r="I40" s="32">
        <v>14864</v>
      </c>
      <c r="J40" s="33">
        <f>(I40/F40)</f>
        <v>235.93650793650792</v>
      </c>
      <c r="K40" s="34">
        <f t="shared" si="3"/>
        <v>8.361931512378902</v>
      </c>
      <c r="L40" s="35">
        <f>507128.25+345268.5+124291.75</f>
        <v>976688.5</v>
      </c>
      <c r="M40" s="36">
        <f>53408+37346+14864</f>
        <v>105618</v>
      </c>
      <c r="N40" s="220">
        <f aca="true" t="shared" si="4" ref="N40:N45">L40/M40</f>
        <v>9.247367872900453</v>
      </c>
      <c r="O40" s="199">
        <v>1</v>
      </c>
    </row>
    <row r="41" spans="1:15" ht="15">
      <c r="A41" s="104">
        <v>38</v>
      </c>
      <c r="B41" s="222" t="s">
        <v>68</v>
      </c>
      <c r="C41" s="46">
        <v>40165</v>
      </c>
      <c r="D41" s="47" t="s">
        <v>163</v>
      </c>
      <c r="E41" s="138">
        <v>74</v>
      </c>
      <c r="F41" s="138">
        <v>74</v>
      </c>
      <c r="G41" s="138">
        <v>4</v>
      </c>
      <c r="H41" s="31">
        <v>100787</v>
      </c>
      <c r="I41" s="32">
        <v>15043</v>
      </c>
      <c r="J41" s="33">
        <f>(I41/F41)</f>
        <v>203.28378378378378</v>
      </c>
      <c r="K41" s="38">
        <f t="shared" si="3"/>
        <v>6.699926876287974</v>
      </c>
      <c r="L41" s="35">
        <f>507128.25+345268.5+124291.75+100787</f>
        <v>1077475.5</v>
      </c>
      <c r="M41" s="36">
        <f>53408+37346+14864+15043</f>
        <v>120661</v>
      </c>
      <c r="N41" s="220">
        <f t="shared" si="4"/>
        <v>8.929774326418643</v>
      </c>
      <c r="O41" s="199">
        <v>1</v>
      </c>
    </row>
    <row r="42" spans="1:15" ht="15">
      <c r="A42" s="104">
        <v>39</v>
      </c>
      <c r="B42" s="223" t="s">
        <v>68</v>
      </c>
      <c r="C42" s="62">
        <v>40165</v>
      </c>
      <c r="D42" s="63" t="s">
        <v>163</v>
      </c>
      <c r="E42" s="139">
        <v>74</v>
      </c>
      <c r="F42" s="139">
        <v>53</v>
      </c>
      <c r="G42" s="139">
        <v>5</v>
      </c>
      <c r="H42" s="31">
        <v>70944</v>
      </c>
      <c r="I42" s="40">
        <v>11010</v>
      </c>
      <c r="J42" s="41">
        <f>(I42/F42)</f>
        <v>207.73584905660377</v>
      </c>
      <c r="K42" s="34">
        <f t="shared" si="3"/>
        <v>6.443596730245232</v>
      </c>
      <c r="L42" s="35">
        <f>507128.25+345268.5+124291.75+100787+70944</f>
        <v>1148419.5</v>
      </c>
      <c r="M42" s="42">
        <f>53408+37346+14864+15043+11010</f>
        <v>131671</v>
      </c>
      <c r="N42" s="220">
        <f t="shared" si="4"/>
        <v>8.72188636829674</v>
      </c>
      <c r="O42" s="201">
        <v>1</v>
      </c>
    </row>
    <row r="43" spans="1:15" ht="15">
      <c r="A43" s="104">
        <v>40</v>
      </c>
      <c r="B43" s="222" t="s">
        <v>31</v>
      </c>
      <c r="C43" s="46">
        <v>40165</v>
      </c>
      <c r="D43" s="48" t="s">
        <v>163</v>
      </c>
      <c r="E43" s="138">
        <v>74</v>
      </c>
      <c r="F43" s="138">
        <v>21</v>
      </c>
      <c r="G43" s="138">
        <v>6</v>
      </c>
      <c r="H43" s="44">
        <v>12241</v>
      </c>
      <c r="I43" s="40">
        <v>2268</v>
      </c>
      <c r="J43" s="41">
        <f>(I43/F43)</f>
        <v>108</v>
      </c>
      <c r="K43" s="34">
        <f t="shared" si="3"/>
        <v>5.39726631393298</v>
      </c>
      <c r="L43" s="45">
        <f>507128.25+345268.5+124291.75+100787+70944+12241</f>
        <v>1160660.5</v>
      </c>
      <c r="M43" s="42">
        <f>53408+37346+14864+15043+11010+2268</f>
        <v>133939</v>
      </c>
      <c r="N43" s="220">
        <f t="shared" si="4"/>
        <v>8.665590306034836</v>
      </c>
      <c r="O43" s="201">
        <v>1</v>
      </c>
    </row>
    <row r="44" spans="1:15" ht="15">
      <c r="A44" s="104">
        <v>41</v>
      </c>
      <c r="B44" s="223" t="s">
        <v>116</v>
      </c>
      <c r="C44" s="62">
        <v>40165</v>
      </c>
      <c r="D44" s="63" t="s">
        <v>163</v>
      </c>
      <c r="E44" s="139">
        <v>74</v>
      </c>
      <c r="F44" s="139">
        <v>15</v>
      </c>
      <c r="G44" s="139">
        <v>7</v>
      </c>
      <c r="H44" s="44">
        <v>11639</v>
      </c>
      <c r="I44" s="40">
        <v>2130</v>
      </c>
      <c r="J44" s="41">
        <f>(I44/F44)</f>
        <v>142</v>
      </c>
      <c r="K44" s="51">
        <f>+H44/I44</f>
        <v>5.464319248826291</v>
      </c>
      <c r="L44" s="45">
        <f>507128.25+345268.5+124291.75+100787+70944+12241+11639</f>
        <v>1172299.5</v>
      </c>
      <c r="M44" s="42">
        <f>53408+37346+14864+15043+11010+2268+2130</f>
        <v>136069</v>
      </c>
      <c r="N44" s="220">
        <f t="shared" si="4"/>
        <v>8.615478176513387</v>
      </c>
      <c r="O44" s="202">
        <v>1</v>
      </c>
    </row>
    <row r="45" spans="1:15" ht="15">
      <c r="A45" s="104">
        <v>42</v>
      </c>
      <c r="B45" s="222" t="s">
        <v>68</v>
      </c>
      <c r="C45" s="46">
        <v>40165</v>
      </c>
      <c r="D45" s="37" t="s">
        <v>163</v>
      </c>
      <c r="E45" s="138">
        <v>74</v>
      </c>
      <c r="F45" s="138">
        <v>14</v>
      </c>
      <c r="G45" s="138">
        <v>8</v>
      </c>
      <c r="H45" s="111">
        <v>8352</v>
      </c>
      <c r="I45" s="112">
        <v>1478</v>
      </c>
      <c r="J45" s="101">
        <f>I45/F45</f>
        <v>105.57142857142857</v>
      </c>
      <c r="K45" s="51">
        <f>+H45/I45</f>
        <v>5.650879566982408</v>
      </c>
      <c r="L45" s="78">
        <f>507128.25+345268.5+124291.75+100787+70944+12241+11639+8352</f>
        <v>1180651.5</v>
      </c>
      <c r="M45" s="101">
        <f>53408+37346+14864+15043+11010+2268+2130+1478</f>
        <v>137547</v>
      </c>
      <c r="N45" s="221">
        <f t="shared" si="4"/>
        <v>8.583622325459661</v>
      </c>
      <c r="O45" s="201">
        <v>1</v>
      </c>
    </row>
    <row r="46" spans="1:15" ht="15">
      <c r="A46" s="104">
        <v>43</v>
      </c>
      <c r="B46" s="222" t="s">
        <v>68</v>
      </c>
      <c r="C46" s="46">
        <v>40165</v>
      </c>
      <c r="D46" s="37" t="s">
        <v>163</v>
      </c>
      <c r="E46" s="138">
        <v>74</v>
      </c>
      <c r="F46" s="138">
        <v>2</v>
      </c>
      <c r="G46" s="138">
        <v>10</v>
      </c>
      <c r="H46" s="115">
        <v>3277</v>
      </c>
      <c r="I46" s="116">
        <v>598</v>
      </c>
      <c r="J46" s="122">
        <f>I46/F46</f>
        <v>299</v>
      </c>
      <c r="K46" s="53">
        <f aca="true" t="shared" si="5" ref="K46:K53">H46/I46</f>
        <v>5.4799331103678925</v>
      </c>
      <c r="L46" s="52">
        <f>507128.25+345268.5+124291.75+100787+70944+12241+11639+8352+766+3277</f>
        <v>1184694.5</v>
      </c>
      <c r="M46" s="122">
        <f>53408+37346+14864+15043+11010+2268+2130+1478+133+598</f>
        <v>138278</v>
      </c>
      <c r="N46" s="221">
        <f>+L46/M46</f>
        <v>8.567483619954006</v>
      </c>
      <c r="O46" s="207">
        <v>1</v>
      </c>
    </row>
    <row r="47" spans="1:15" ht="15">
      <c r="A47" s="104">
        <v>44</v>
      </c>
      <c r="B47" s="222" t="s">
        <v>68</v>
      </c>
      <c r="C47" s="46">
        <v>40165</v>
      </c>
      <c r="D47" s="37" t="s">
        <v>163</v>
      </c>
      <c r="E47" s="138">
        <v>74</v>
      </c>
      <c r="F47" s="138">
        <v>1</v>
      </c>
      <c r="G47" s="138">
        <v>9</v>
      </c>
      <c r="H47" s="115">
        <v>766</v>
      </c>
      <c r="I47" s="116">
        <v>133</v>
      </c>
      <c r="J47" s="122">
        <f>(I47/F47)</f>
        <v>133</v>
      </c>
      <c r="K47" s="53">
        <f t="shared" si="5"/>
        <v>5.7593984962406015</v>
      </c>
      <c r="L47" s="52">
        <f>507128.25+345268.5+124291.75+100787+70944+12241+11639+8352+766</f>
        <v>1181417.5</v>
      </c>
      <c r="M47" s="122">
        <f>53408+37346+14864+15043+11010+2268+2130+1478+133</f>
        <v>137680</v>
      </c>
      <c r="N47" s="221">
        <f>L47/M47</f>
        <v>8.580894102266125</v>
      </c>
      <c r="O47" s="199">
        <v>1</v>
      </c>
    </row>
    <row r="48" spans="1:15" ht="15">
      <c r="A48" s="104">
        <v>45</v>
      </c>
      <c r="B48" s="222" t="s">
        <v>68</v>
      </c>
      <c r="C48" s="117">
        <v>40165</v>
      </c>
      <c r="D48" s="37" t="s">
        <v>163</v>
      </c>
      <c r="E48" s="133">
        <v>74</v>
      </c>
      <c r="F48" s="133">
        <v>1</v>
      </c>
      <c r="G48" s="133">
        <v>12</v>
      </c>
      <c r="H48" s="119">
        <v>87</v>
      </c>
      <c r="I48" s="120">
        <v>29</v>
      </c>
      <c r="J48" s="122">
        <f>(I48/F48)</f>
        <v>29</v>
      </c>
      <c r="K48" s="53">
        <f t="shared" si="5"/>
        <v>3</v>
      </c>
      <c r="L48" s="52">
        <f>507128.25+345268.5+124291.75+100787+70944+12241+11639+8352+766+3277+69+87</f>
        <v>1184850.5</v>
      </c>
      <c r="M48" s="122">
        <f>53408+37346+14864+15043+11010+2268+2130+1478+133+598+23+29</f>
        <v>138330</v>
      </c>
      <c r="N48" s="221">
        <f>+L48/M48</f>
        <v>8.565390732306803</v>
      </c>
      <c r="O48" s="203">
        <v>1</v>
      </c>
    </row>
    <row r="49" spans="1:15" ht="15">
      <c r="A49" s="104">
        <v>46</v>
      </c>
      <c r="B49" s="222" t="s">
        <v>68</v>
      </c>
      <c r="C49" s="117">
        <v>40165</v>
      </c>
      <c r="D49" s="37" t="s">
        <v>163</v>
      </c>
      <c r="E49" s="133">
        <v>74</v>
      </c>
      <c r="F49" s="133">
        <v>1</v>
      </c>
      <c r="G49" s="133">
        <v>11</v>
      </c>
      <c r="H49" s="119">
        <v>69</v>
      </c>
      <c r="I49" s="120">
        <v>23</v>
      </c>
      <c r="J49" s="122">
        <f>(I49/F49)</f>
        <v>23</v>
      </c>
      <c r="K49" s="53">
        <f t="shared" si="5"/>
        <v>3</v>
      </c>
      <c r="L49" s="52">
        <f>507128.25+345268.5+124291.75+100787+70944+12241+11639+8352+766+3277+69</f>
        <v>1184763.5</v>
      </c>
      <c r="M49" s="122">
        <f>53408+37346+14864+15043+11010+2268+2130+1478+133+598+23</f>
        <v>138301</v>
      </c>
      <c r="N49" s="221">
        <f>L49/M49</f>
        <v>8.566557725540669</v>
      </c>
      <c r="O49" s="208">
        <v>1</v>
      </c>
    </row>
    <row r="50" spans="1:15" ht="15">
      <c r="A50" s="104">
        <v>47</v>
      </c>
      <c r="B50" s="219" t="s">
        <v>68</v>
      </c>
      <c r="C50" s="46">
        <v>40165</v>
      </c>
      <c r="D50" s="37" t="s">
        <v>163</v>
      </c>
      <c r="E50" s="133">
        <v>74</v>
      </c>
      <c r="F50" s="133">
        <v>1</v>
      </c>
      <c r="G50" s="133">
        <v>13</v>
      </c>
      <c r="H50" s="337">
        <v>2376</v>
      </c>
      <c r="I50" s="338">
        <v>594</v>
      </c>
      <c r="J50" s="122">
        <f>(I50/F50)</f>
        <v>594</v>
      </c>
      <c r="K50" s="53">
        <f t="shared" si="5"/>
        <v>4</v>
      </c>
      <c r="L50" s="52">
        <f>507128.25+345268.5+124291.75+100787+70944+12241+11639+8352+766+3277+69+87+2376</f>
        <v>1187226.5</v>
      </c>
      <c r="M50" s="122">
        <f>53408+37346+14864+15043+11010+2268+2130+1478+133+598+23+29+594</f>
        <v>138924</v>
      </c>
      <c r="N50" s="280">
        <f>L50/M50</f>
        <v>8.545870403961878</v>
      </c>
      <c r="O50" s="203">
        <v>1</v>
      </c>
    </row>
    <row r="51" spans="1:15" ht="15">
      <c r="A51" s="104">
        <v>48</v>
      </c>
      <c r="B51" s="225" t="s">
        <v>200</v>
      </c>
      <c r="C51" s="29">
        <v>40151</v>
      </c>
      <c r="D51" s="64" t="s">
        <v>114</v>
      </c>
      <c r="E51" s="140">
        <v>128</v>
      </c>
      <c r="F51" s="140">
        <v>14</v>
      </c>
      <c r="G51" s="140">
        <v>5</v>
      </c>
      <c r="H51" s="65">
        <v>10820.5</v>
      </c>
      <c r="I51" s="66">
        <v>2203</v>
      </c>
      <c r="J51" s="67">
        <f aca="true" t="shared" si="6" ref="J51:J57">I51/F51</f>
        <v>157.35714285714286</v>
      </c>
      <c r="K51" s="68">
        <f t="shared" si="5"/>
        <v>4.911711302768952</v>
      </c>
      <c r="L51" s="69">
        <v>1602521</v>
      </c>
      <c r="M51" s="70">
        <v>185512</v>
      </c>
      <c r="N51" s="226">
        <f>+L51/M51</f>
        <v>8.638368407434559</v>
      </c>
      <c r="O51" s="199">
        <v>1</v>
      </c>
    </row>
    <row r="52" spans="1:15" ht="15">
      <c r="A52" s="104">
        <v>49</v>
      </c>
      <c r="B52" s="225" t="s">
        <v>200</v>
      </c>
      <c r="C52" s="29">
        <v>40151</v>
      </c>
      <c r="D52" s="71" t="s">
        <v>114</v>
      </c>
      <c r="E52" s="140">
        <v>128</v>
      </c>
      <c r="F52" s="140">
        <v>13</v>
      </c>
      <c r="G52" s="140">
        <v>6</v>
      </c>
      <c r="H52" s="65">
        <v>10811</v>
      </c>
      <c r="I52" s="66">
        <v>1908</v>
      </c>
      <c r="J52" s="67">
        <f t="shared" si="6"/>
        <v>146.76923076923077</v>
      </c>
      <c r="K52" s="72">
        <f t="shared" si="5"/>
        <v>5.666142557651992</v>
      </c>
      <c r="L52" s="69">
        <v>1613332</v>
      </c>
      <c r="M52" s="70">
        <v>187420</v>
      </c>
      <c r="N52" s="224">
        <f>IF(L52&lt;&gt;0,L52/M52,"")</f>
        <v>8.608110126987516</v>
      </c>
      <c r="O52" s="200">
        <v>1</v>
      </c>
    </row>
    <row r="53" spans="1:15" ht="15">
      <c r="A53" s="104">
        <v>50</v>
      </c>
      <c r="B53" s="225" t="s">
        <v>200</v>
      </c>
      <c r="C53" s="29">
        <v>40151</v>
      </c>
      <c r="D53" s="71" t="s">
        <v>114</v>
      </c>
      <c r="E53" s="140">
        <v>128</v>
      </c>
      <c r="F53" s="140">
        <v>7</v>
      </c>
      <c r="G53" s="140">
        <v>7</v>
      </c>
      <c r="H53" s="65">
        <v>8704</v>
      </c>
      <c r="I53" s="73">
        <v>1365</v>
      </c>
      <c r="J53" s="74">
        <f t="shared" si="6"/>
        <v>195</v>
      </c>
      <c r="K53" s="68">
        <f t="shared" si="5"/>
        <v>6.376556776556777</v>
      </c>
      <c r="L53" s="69">
        <v>1622035.5</v>
      </c>
      <c r="M53" s="75">
        <v>188785</v>
      </c>
      <c r="N53" s="224">
        <f>IF(L53&lt;&gt;0,L53/M53,"")</f>
        <v>8.591972349498107</v>
      </c>
      <c r="O53" s="201">
        <v>1</v>
      </c>
    </row>
    <row r="54" spans="1:15" ht="15">
      <c r="A54" s="104">
        <v>51</v>
      </c>
      <c r="B54" s="222" t="s">
        <v>176</v>
      </c>
      <c r="C54" s="46">
        <v>40151</v>
      </c>
      <c r="D54" s="37" t="s">
        <v>114</v>
      </c>
      <c r="E54" s="138">
        <v>128</v>
      </c>
      <c r="F54" s="138">
        <v>8</v>
      </c>
      <c r="G54" s="138">
        <v>10</v>
      </c>
      <c r="H54" s="111">
        <v>6128</v>
      </c>
      <c r="I54" s="112">
        <v>1096</v>
      </c>
      <c r="J54" s="101">
        <f t="shared" si="6"/>
        <v>137</v>
      </c>
      <c r="K54" s="51">
        <f>+H54/I54</f>
        <v>5.591240875912408</v>
      </c>
      <c r="L54" s="78">
        <v>1635532.5</v>
      </c>
      <c r="M54" s="101">
        <v>191618</v>
      </c>
      <c r="N54" s="221">
        <f>+L54/M54</f>
        <v>8.535380287864397</v>
      </c>
      <c r="O54" s="201">
        <v>1</v>
      </c>
    </row>
    <row r="55" spans="1:15" ht="15">
      <c r="A55" s="104">
        <v>52</v>
      </c>
      <c r="B55" s="225" t="s">
        <v>200</v>
      </c>
      <c r="C55" s="46">
        <v>40151</v>
      </c>
      <c r="D55" s="43" t="s">
        <v>114</v>
      </c>
      <c r="E55" s="138">
        <v>128</v>
      </c>
      <c r="F55" s="138">
        <v>6</v>
      </c>
      <c r="G55" s="138">
        <v>8</v>
      </c>
      <c r="H55" s="76">
        <v>5193</v>
      </c>
      <c r="I55" s="77">
        <v>1233</v>
      </c>
      <c r="J55" s="41">
        <f t="shared" si="6"/>
        <v>205.5</v>
      </c>
      <c r="K55" s="34">
        <f>H55/I55</f>
        <v>4.211678832116788</v>
      </c>
      <c r="L55" s="78">
        <v>1627228.5</v>
      </c>
      <c r="M55" s="101">
        <v>190018</v>
      </c>
      <c r="N55" s="220">
        <f>+L55/M55</f>
        <v>8.563549242703322</v>
      </c>
      <c r="O55" s="201">
        <v>1</v>
      </c>
    </row>
    <row r="56" spans="1:15" ht="15">
      <c r="A56" s="104">
        <v>53</v>
      </c>
      <c r="B56" s="225" t="s">
        <v>200</v>
      </c>
      <c r="C56" s="46">
        <v>40151</v>
      </c>
      <c r="D56" s="37" t="s">
        <v>114</v>
      </c>
      <c r="E56" s="138">
        <v>128</v>
      </c>
      <c r="F56" s="138">
        <v>4</v>
      </c>
      <c r="G56" s="138">
        <v>8</v>
      </c>
      <c r="H56" s="76">
        <v>2176</v>
      </c>
      <c r="I56" s="77">
        <v>504</v>
      </c>
      <c r="J56" s="101">
        <f t="shared" si="6"/>
        <v>126</v>
      </c>
      <c r="K56" s="51">
        <f>H56/I56</f>
        <v>4.317460317460317</v>
      </c>
      <c r="L56" s="78">
        <v>1629405.5</v>
      </c>
      <c r="M56" s="101">
        <v>190522</v>
      </c>
      <c r="N56" s="221">
        <f>L56/M56</f>
        <v>8.552322041549008</v>
      </c>
      <c r="O56" s="205">
        <v>1</v>
      </c>
    </row>
    <row r="57" spans="1:15" ht="15">
      <c r="A57" s="104">
        <v>54</v>
      </c>
      <c r="B57" s="222" t="s">
        <v>176</v>
      </c>
      <c r="C57" s="46">
        <v>40151</v>
      </c>
      <c r="D57" s="37" t="s">
        <v>114</v>
      </c>
      <c r="E57" s="138">
        <v>128</v>
      </c>
      <c r="F57" s="138">
        <v>2</v>
      </c>
      <c r="G57" s="138">
        <v>11</v>
      </c>
      <c r="H57" s="115">
        <v>307</v>
      </c>
      <c r="I57" s="116">
        <v>54</v>
      </c>
      <c r="J57" s="122">
        <f t="shared" si="6"/>
        <v>27</v>
      </c>
      <c r="K57" s="53">
        <f>H57/I57</f>
        <v>5.685185185185185</v>
      </c>
      <c r="L57" s="52">
        <v>1635839.5</v>
      </c>
      <c r="M57" s="122">
        <v>191672</v>
      </c>
      <c r="N57" s="221">
        <f>+L57/M57</f>
        <v>8.534577298718645</v>
      </c>
      <c r="O57" s="199">
        <v>1</v>
      </c>
    </row>
    <row r="58" spans="1:15" ht="15">
      <c r="A58" s="104">
        <v>55</v>
      </c>
      <c r="B58" s="223" t="s">
        <v>43</v>
      </c>
      <c r="C58" s="62">
        <v>40067</v>
      </c>
      <c r="D58" s="63" t="s">
        <v>163</v>
      </c>
      <c r="E58" s="139">
        <v>51</v>
      </c>
      <c r="F58" s="139">
        <v>2</v>
      </c>
      <c r="G58" s="139">
        <v>20</v>
      </c>
      <c r="H58" s="44">
        <v>4061</v>
      </c>
      <c r="I58" s="40">
        <v>931</v>
      </c>
      <c r="J58" s="41">
        <f>(I58/F58)</f>
        <v>465.5</v>
      </c>
      <c r="K58" s="51">
        <f>+H58/I58</f>
        <v>4.361976369495166</v>
      </c>
      <c r="L58" s="45">
        <f>182949+180053+29827+20114+26140.5+10395.5+4671+3342+2340+5520+249.5+165+3602+91+952+1264+44+1663+1188+4061</f>
        <v>478631.5</v>
      </c>
      <c r="M58" s="42">
        <f>18625+17802+3355+2859+3903+1800+782+594+465+1366+90+60+905+15+238+316+11+244+297+931</f>
        <v>54658</v>
      </c>
      <c r="N58" s="220">
        <f aca="true" t="shared" si="7" ref="N58:N64">L58/M58</f>
        <v>8.756842548208862</v>
      </c>
      <c r="O58" s="202"/>
    </row>
    <row r="59" spans="1:15" ht="15">
      <c r="A59" s="104">
        <v>56</v>
      </c>
      <c r="B59" s="222" t="s">
        <v>43</v>
      </c>
      <c r="C59" s="46">
        <v>40067</v>
      </c>
      <c r="D59" s="37" t="s">
        <v>163</v>
      </c>
      <c r="E59" s="138">
        <v>51</v>
      </c>
      <c r="F59" s="138">
        <v>2</v>
      </c>
      <c r="G59" s="138">
        <v>21</v>
      </c>
      <c r="H59" s="111">
        <v>2382</v>
      </c>
      <c r="I59" s="112">
        <v>573</v>
      </c>
      <c r="J59" s="101">
        <f>I59/F59</f>
        <v>286.5</v>
      </c>
      <c r="K59" s="51">
        <f>+H59/I59</f>
        <v>4.157068062827225</v>
      </c>
      <c r="L59" s="78">
        <f>182949+180053+29827+20114+26140.5+10395.5+4671+3342+2340+5520+249.5+165+3602+91+952+1264+44+1663+1188+4061+2382</f>
        <v>481013.5</v>
      </c>
      <c r="M59" s="101">
        <f>18625+17802+3355+2859+3903+1800+782+594+465+1366+90+60+905+15+238+316+11+244+297+931+573</f>
        <v>55231</v>
      </c>
      <c r="N59" s="221">
        <f t="shared" si="7"/>
        <v>8.709121688906592</v>
      </c>
      <c r="O59" s="201"/>
    </row>
    <row r="60" spans="1:15" ht="15">
      <c r="A60" s="104">
        <v>57</v>
      </c>
      <c r="B60" s="222" t="s">
        <v>43</v>
      </c>
      <c r="C60" s="46">
        <v>40067</v>
      </c>
      <c r="D60" s="37" t="s">
        <v>163</v>
      </c>
      <c r="E60" s="138">
        <v>51</v>
      </c>
      <c r="F60" s="138">
        <v>1</v>
      </c>
      <c r="G60" s="138">
        <v>22</v>
      </c>
      <c r="H60" s="115">
        <v>2020</v>
      </c>
      <c r="I60" s="116">
        <v>505</v>
      </c>
      <c r="J60" s="122">
        <f>(I60/F60)</f>
        <v>505</v>
      </c>
      <c r="K60" s="53">
        <f>H60/I60</f>
        <v>4</v>
      </c>
      <c r="L60" s="52">
        <f>182949+180053+29827+20114+26140.5+10395.5+4671+3342+2340+5520+249.5+165+3602+91+952+1264+44+1663+1188+4061+2382+2020</f>
        <v>483033.5</v>
      </c>
      <c r="M60" s="122">
        <f>18625+17802+3355+2859+3903+1800+782+594+465+1366+90+60+905+15+238+316+11+244+297+931+573+505</f>
        <v>55736</v>
      </c>
      <c r="N60" s="221">
        <f t="shared" si="7"/>
        <v>8.666454356250897</v>
      </c>
      <c r="O60" s="199"/>
    </row>
    <row r="61" spans="1:15" ht="15">
      <c r="A61" s="104">
        <v>58</v>
      </c>
      <c r="B61" s="222" t="s">
        <v>43</v>
      </c>
      <c r="C61" s="46">
        <v>40067</v>
      </c>
      <c r="D61" s="47" t="s">
        <v>163</v>
      </c>
      <c r="E61" s="138">
        <v>51</v>
      </c>
      <c r="F61" s="138">
        <v>1</v>
      </c>
      <c r="G61" s="138">
        <v>18</v>
      </c>
      <c r="H61" s="31">
        <v>1663</v>
      </c>
      <c r="I61" s="40">
        <v>244</v>
      </c>
      <c r="J61" s="41">
        <f>(I61/F61)</f>
        <v>244</v>
      </c>
      <c r="K61" s="34">
        <f>H61/I61</f>
        <v>6.815573770491803</v>
      </c>
      <c r="L61" s="35">
        <f>182949+180053+29827+20114+26140.5+10395.5+4671+3342+2340+5520+249.5+165+3602+91+952+1264+44+1663</f>
        <v>473382.5</v>
      </c>
      <c r="M61" s="42">
        <f>18625+17802+3355+2859+3903+1800+782+594+465+1366+90+60+905+15+238+316+11+244</f>
        <v>53430</v>
      </c>
      <c r="N61" s="220">
        <f t="shared" si="7"/>
        <v>8.859863372637095</v>
      </c>
      <c r="O61" s="201"/>
    </row>
    <row r="62" spans="1:15" ht="15">
      <c r="A62" s="104">
        <v>59</v>
      </c>
      <c r="B62" s="222" t="s">
        <v>43</v>
      </c>
      <c r="C62" s="46">
        <v>40067</v>
      </c>
      <c r="D62" s="48" t="s">
        <v>163</v>
      </c>
      <c r="E62" s="138">
        <v>51</v>
      </c>
      <c r="F62" s="138">
        <v>2</v>
      </c>
      <c r="G62" s="138">
        <v>16</v>
      </c>
      <c r="H62" s="31">
        <v>1264</v>
      </c>
      <c r="I62" s="32">
        <v>316</v>
      </c>
      <c r="J62" s="33">
        <f>(I62/F62)</f>
        <v>158</v>
      </c>
      <c r="K62" s="34">
        <f>H62/I62</f>
        <v>4</v>
      </c>
      <c r="L62" s="35">
        <f>182949+180053+29827+20114+26140.5+10395.5+4671+3342+2340+5520+249.5+165+3602+91+952+1264</f>
        <v>471675.5</v>
      </c>
      <c r="M62" s="36">
        <f>18625+17802+3355+2859+3903+1800+782+594+465+1366+90+60+905+15+238+316</f>
        <v>53175</v>
      </c>
      <c r="N62" s="220">
        <f t="shared" si="7"/>
        <v>8.870249177244945</v>
      </c>
      <c r="O62" s="199"/>
    </row>
    <row r="63" spans="1:15" ht="15">
      <c r="A63" s="104">
        <v>60</v>
      </c>
      <c r="B63" s="222" t="s">
        <v>43</v>
      </c>
      <c r="C63" s="46">
        <v>40067</v>
      </c>
      <c r="D63" s="48" t="s">
        <v>163</v>
      </c>
      <c r="E63" s="138">
        <v>51</v>
      </c>
      <c r="F63" s="138">
        <v>1</v>
      </c>
      <c r="G63" s="138">
        <v>19</v>
      </c>
      <c r="H63" s="44">
        <v>1188</v>
      </c>
      <c r="I63" s="40">
        <v>297</v>
      </c>
      <c r="J63" s="41">
        <f>(I63/F63)</f>
        <v>297</v>
      </c>
      <c r="K63" s="34">
        <f>H63/I63</f>
        <v>4</v>
      </c>
      <c r="L63" s="45">
        <f>182949+180053+29827+20114+26140.5+10395.5+4671+3342+2340+5520+249.5+165+3602+91+952+1264+44+1663+1188</f>
        <v>474570.5</v>
      </c>
      <c r="M63" s="42">
        <f>18625+17802+3355+2859+3903+1800+782+594+465+1366+90+60+905+15+238+316+11+244+297</f>
        <v>53727</v>
      </c>
      <c r="N63" s="220">
        <f t="shared" si="7"/>
        <v>8.832998306251978</v>
      </c>
      <c r="O63" s="201"/>
    </row>
    <row r="64" spans="1:15" ht="15">
      <c r="A64" s="104">
        <v>61</v>
      </c>
      <c r="B64" s="222" t="s">
        <v>43</v>
      </c>
      <c r="C64" s="46">
        <v>40067</v>
      </c>
      <c r="D64" s="47" t="s">
        <v>163</v>
      </c>
      <c r="E64" s="138">
        <v>51</v>
      </c>
      <c r="F64" s="138">
        <v>1</v>
      </c>
      <c r="G64" s="138">
        <v>17</v>
      </c>
      <c r="H64" s="31">
        <v>44</v>
      </c>
      <c r="I64" s="32">
        <v>11</v>
      </c>
      <c r="J64" s="33">
        <f>(I64/F64)</f>
        <v>11</v>
      </c>
      <c r="K64" s="38">
        <f>H64/I64</f>
        <v>4</v>
      </c>
      <c r="L64" s="35">
        <f>182949+180053+29827+20114+26140.5+10395.5+4671+3342+2340+5520+249.5+165+3602+91+952+1264+44</f>
        <v>471719.5</v>
      </c>
      <c r="M64" s="36">
        <f>18625+17802+3355+2859+3903+1800+782+594+465+1366+90+60+905+15+238+316+11</f>
        <v>53186</v>
      </c>
      <c r="N64" s="220">
        <f t="shared" si="7"/>
        <v>8.869241905764675</v>
      </c>
      <c r="O64" s="199"/>
    </row>
    <row r="65" spans="1:15" ht="15">
      <c r="A65" s="104">
        <v>62</v>
      </c>
      <c r="B65" s="219" t="s">
        <v>43</v>
      </c>
      <c r="C65" s="46">
        <v>40067</v>
      </c>
      <c r="D65" s="37" t="s">
        <v>163</v>
      </c>
      <c r="E65" s="133">
        <v>51</v>
      </c>
      <c r="F65" s="133">
        <v>1</v>
      </c>
      <c r="G65" s="133">
        <v>23</v>
      </c>
      <c r="H65" s="119">
        <v>1780</v>
      </c>
      <c r="I65" s="120">
        <v>445</v>
      </c>
      <c r="J65" s="122">
        <f>I65/F65</f>
        <v>445</v>
      </c>
      <c r="K65" s="53">
        <f>+H65/I65</f>
        <v>4</v>
      </c>
      <c r="L65" s="52">
        <f>182949+180053+29827+20114+26140.5+10395.5+4671+3342+2340+5520+249.5+165+3602+91+952+1264+44+1663+1188+4061+2382+2020+1780</f>
        <v>484813.5</v>
      </c>
      <c r="M65" s="122">
        <f>18625+17802+3355+2859+3903+1800+782+594+465+1366+90+60+905+15+238+316+11+244+297+931+573+505+445</f>
        <v>56181</v>
      </c>
      <c r="N65" s="280">
        <f>+L65/M65</f>
        <v>8.62949217707054</v>
      </c>
      <c r="O65" s="203"/>
    </row>
    <row r="66" spans="1:15" ht="15">
      <c r="A66" s="104">
        <v>63</v>
      </c>
      <c r="B66" s="222" t="s">
        <v>63</v>
      </c>
      <c r="C66" s="46">
        <v>40172</v>
      </c>
      <c r="D66" s="48" t="s">
        <v>163</v>
      </c>
      <c r="E66" s="138">
        <v>60</v>
      </c>
      <c r="F66" s="138">
        <v>8</v>
      </c>
      <c r="G66" s="138">
        <v>19</v>
      </c>
      <c r="H66" s="31">
        <v>1803</v>
      </c>
      <c r="I66" s="32">
        <v>429</v>
      </c>
      <c r="J66" s="33">
        <f>(I66/F66)</f>
        <v>53.625</v>
      </c>
      <c r="K66" s="34">
        <f>H66/I66</f>
        <v>4.2027972027972025</v>
      </c>
      <c r="L66" s="35">
        <f>421775.5+397095.5+287050+215248.5+189819.5+180729.5+86816.5+23840+19148+14942.5+8798.5+9599+13618.5+4298+4028+3310+8547+6712.5+1803</f>
        <v>1897180</v>
      </c>
      <c r="M66" s="36">
        <f>43739+40732+31780+27356+25902+24895+12153+4496+3179+3069+1650+2236+3335+954+829+540+1945+1297+429</f>
        <v>230516</v>
      </c>
      <c r="N66" s="220">
        <f aca="true" t="shared" si="8" ref="N66:N71">L66/M66</f>
        <v>8.230144545281021</v>
      </c>
      <c r="O66" s="203"/>
    </row>
    <row r="67" spans="1:15" ht="15">
      <c r="A67" s="104">
        <v>64</v>
      </c>
      <c r="B67" s="222" t="s">
        <v>63</v>
      </c>
      <c r="C67" s="46">
        <v>40172</v>
      </c>
      <c r="D67" s="48" t="s">
        <v>163</v>
      </c>
      <c r="E67" s="138">
        <v>60</v>
      </c>
      <c r="F67" s="138">
        <v>60</v>
      </c>
      <c r="G67" s="138">
        <v>2</v>
      </c>
      <c r="H67" s="31">
        <v>397159.5</v>
      </c>
      <c r="I67" s="32">
        <v>40733</v>
      </c>
      <c r="J67" s="33">
        <f>(I67/F67)</f>
        <v>678.8833333333333</v>
      </c>
      <c r="K67" s="34">
        <f>H67/I67</f>
        <v>9.750313014018118</v>
      </c>
      <c r="L67" s="35">
        <f>421775.5+397159.5</f>
        <v>818935</v>
      </c>
      <c r="M67" s="36">
        <f>43739+40733</f>
        <v>84472</v>
      </c>
      <c r="N67" s="220">
        <f t="shared" si="8"/>
        <v>9.694750923382896</v>
      </c>
      <c r="O67" s="199"/>
    </row>
    <row r="68" spans="1:15" ht="15">
      <c r="A68" s="104">
        <v>65</v>
      </c>
      <c r="B68" s="222" t="s">
        <v>63</v>
      </c>
      <c r="C68" s="46">
        <v>40172</v>
      </c>
      <c r="D68" s="48" t="s">
        <v>163</v>
      </c>
      <c r="E68" s="138">
        <v>60</v>
      </c>
      <c r="F68" s="138">
        <v>60</v>
      </c>
      <c r="G68" s="138">
        <v>3</v>
      </c>
      <c r="H68" s="31">
        <v>287050</v>
      </c>
      <c r="I68" s="32">
        <v>31780</v>
      </c>
      <c r="J68" s="33">
        <f>(I68/F68)</f>
        <v>529.6666666666666</v>
      </c>
      <c r="K68" s="38">
        <f>H68/I68</f>
        <v>9.032410320956576</v>
      </c>
      <c r="L68" s="35">
        <f>421775.5+397095.5+287050</f>
        <v>1105921</v>
      </c>
      <c r="M68" s="36">
        <f>43739+40732+31780</f>
        <v>116251</v>
      </c>
      <c r="N68" s="220">
        <f t="shared" si="8"/>
        <v>9.513217090605671</v>
      </c>
      <c r="O68" s="199"/>
    </row>
    <row r="69" spans="1:15" ht="15">
      <c r="A69" s="104">
        <v>66</v>
      </c>
      <c r="B69" s="222" t="s">
        <v>63</v>
      </c>
      <c r="C69" s="62">
        <v>40172</v>
      </c>
      <c r="D69" s="63" t="s">
        <v>163</v>
      </c>
      <c r="E69" s="139">
        <v>60</v>
      </c>
      <c r="F69" s="139">
        <v>60</v>
      </c>
      <c r="G69" s="139">
        <v>6</v>
      </c>
      <c r="H69" s="44">
        <v>180729.5</v>
      </c>
      <c r="I69" s="40">
        <v>24895</v>
      </c>
      <c r="J69" s="41">
        <f>(I69/F69)</f>
        <v>414.9166666666667</v>
      </c>
      <c r="K69" s="51">
        <f>+H69/I69</f>
        <v>7.259670616589677</v>
      </c>
      <c r="L69" s="45">
        <f>421775.5+397095.5+287050+215248.5+189819.5+180729.5</f>
        <v>1691718.5</v>
      </c>
      <c r="M69" s="42">
        <f>43739+40732+31780+27356+25902+24895</f>
        <v>194404</v>
      </c>
      <c r="N69" s="220">
        <f t="shared" si="8"/>
        <v>8.702076603362071</v>
      </c>
      <c r="O69" s="202"/>
    </row>
    <row r="70" spans="1:15" ht="15">
      <c r="A70" s="104">
        <v>67</v>
      </c>
      <c r="B70" s="222" t="s">
        <v>63</v>
      </c>
      <c r="C70" s="46">
        <v>40172</v>
      </c>
      <c r="D70" s="37" t="s">
        <v>163</v>
      </c>
      <c r="E70" s="138">
        <v>60</v>
      </c>
      <c r="F70" s="138">
        <v>60</v>
      </c>
      <c r="G70" s="138">
        <v>7</v>
      </c>
      <c r="H70" s="111">
        <v>86816.5</v>
      </c>
      <c r="I70" s="112">
        <v>12153</v>
      </c>
      <c r="J70" s="101">
        <f>I70/F70</f>
        <v>202.55</v>
      </c>
      <c r="K70" s="51">
        <f>+H70/I70</f>
        <v>7.14362708796182</v>
      </c>
      <c r="L70" s="78">
        <f>421775.5+397095.5+287050+215248.5+189819.5+180729.5+86816.5</f>
        <v>1778535</v>
      </c>
      <c r="M70" s="101">
        <f>43739+40732+31780+27356+25902+24895+12153</f>
        <v>206557</v>
      </c>
      <c r="N70" s="221">
        <f t="shared" si="8"/>
        <v>8.610383574509699</v>
      </c>
      <c r="O70" s="201"/>
    </row>
    <row r="71" spans="1:15" ht="15">
      <c r="A71" s="104">
        <v>68</v>
      </c>
      <c r="B71" s="222" t="s">
        <v>63</v>
      </c>
      <c r="C71" s="46">
        <v>40172</v>
      </c>
      <c r="D71" s="37" t="s">
        <v>163</v>
      </c>
      <c r="E71" s="138">
        <v>60</v>
      </c>
      <c r="F71" s="138">
        <v>36</v>
      </c>
      <c r="G71" s="138">
        <v>8</v>
      </c>
      <c r="H71" s="115">
        <v>23840</v>
      </c>
      <c r="I71" s="116">
        <v>4496</v>
      </c>
      <c r="J71" s="122">
        <f>(I71/F71)</f>
        <v>124.88888888888889</v>
      </c>
      <c r="K71" s="53">
        <f aca="true" t="shared" si="9" ref="K71:K78">H71/I71</f>
        <v>5.302491103202847</v>
      </c>
      <c r="L71" s="52">
        <f>421775.5+397095.5+287050+215248.5+189819.5+180729.5+86816.5+23840</f>
        <v>1802375</v>
      </c>
      <c r="M71" s="122">
        <f>43739+40732+31780+27356+25902+24895+12153+4496</f>
        <v>211053</v>
      </c>
      <c r="N71" s="221">
        <f t="shared" si="8"/>
        <v>8.539916513861447</v>
      </c>
      <c r="O71" s="199"/>
    </row>
    <row r="72" spans="1:15" ht="15">
      <c r="A72" s="104">
        <v>69</v>
      </c>
      <c r="B72" s="222" t="s">
        <v>63</v>
      </c>
      <c r="C72" s="46">
        <v>40172</v>
      </c>
      <c r="D72" s="37" t="s">
        <v>163</v>
      </c>
      <c r="E72" s="138">
        <v>60</v>
      </c>
      <c r="F72" s="138">
        <v>29</v>
      </c>
      <c r="G72" s="138">
        <v>9</v>
      </c>
      <c r="H72" s="115">
        <v>19148</v>
      </c>
      <c r="I72" s="116">
        <v>3179</v>
      </c>
      <c r="J72" s="122">
        <f>I72/F72</f>
        <v>109.62068965517241</v>
      </c>
      <c r="K72" s="53">
        <f t="shared" si="9"/>
        <v>6.023277760301982</v>
      </c>
      <c r="L72" s="52">
        <f>421775.5+397095.5+287050+215248.5+189819.5+180729.5+86816.5+23840+19148</f>
        <v>1821523</v>
      </c>
      <c r="M72" s="122">
        <f>43739+40732+31780+27356+25902+24895+12153+4496+3179</f>
        <v>214232</v>
      </c>
      <c r="N72" s="221">
        <f>+L72/M72</f>
        <v>8.502571978042496</v>
      </c>
      <c r="O72" s="207"/>
    </row>
    <row r="73" spans="1:15" ht="15">
      <c r="A73" s="104">
        <v>70</v>
      </c>
      <c r="B73" s="222" t="s">
        <v>63</v>
      </c>
      <c r="C73" s="46">
        <v>40172</v>
      </c>
      <c r="D73" s="37" t="s">
        <v>163</v>
      </c>
      <c r="E73" s="138">
        <v>60</v>
      </c>
      <c r="F73" s="138">
        <v>21</v>
      </c>
      <c r="G73" s="138">
        <v>10</v>
      </c>
      <c r="H73" s="119">
        <v>14942.5</v>
      </c>
      <c r="I73" s="120">
        <v>3069</v>
      </c>
      <c r="J73" s="122">
        <f>I73/F73</f>
        <v>146.14285714285714</v>
      </c>
      <c r="K73" s="53">
        <f t="shared" si="9"/>
        <v>4.868849788204627</v>
      </c>
      <c r="L73" s="52">
        <f>421775.5+397095.5+287050+215248.5+189819.5+180729.5+86816.5+23840+19148+14942.5</f>
        <v>1836465.5</v>
      </c>
      <c r="M73" s="122">
        <f>43739+40732+31780+27356+25902+24895+12153+4496+3179+3069</f>
        <v>217301</v>
      </c>
      <c r="N73" s="221">
        <f>+L73/M73</f>
        <v>8.451251950060055</v>
      </c>
      <c r="O73" s="207"/>
    </row>
    <row r="74" spans="1:15" ht="15">
      <c r="A74" s="104">
        <v>71</v>
      </c>
      <c r="B74" s="222" t="s">
        <v>63</v>
      </c>
      <c r="C74" s="117">
        <v>40172</v>
      </c>
      <c r="D74" s="37" t="s">
        <v>163</v>
      </c>
      <c r="E74" s="133">
        <v>60</v>
      </c>
      <c r="F74" s="133">
        <v>17</v>
      </c>
      <c r="G74" s="133">
        <v>11</v>
      </c>
      <c r="H74" s="119">
        <v>8798.5</v>
      </c>
      <c r="I74" s="120">
        <v>1650</v>
      </c>
      <c r="J74" s="122">
        <f>(I74/F74)</f>
        <v>97.05882352941177</v>
      </c>
      <c r="K74" s="53">
        <f t="shared" si="9"/>
        <v>5.332424242424242</v>
      </c>
      <c r="L74" s="52">
        <f>421775.5+397095.5+287050+215248.5+189819.5+180729.5+86816.5+23840+19148+14942.5+8798.5</f>
        <v>1845264</v>
      </c>
      <c r="M74" s="122">
        <f>43739+40732+31780+27356+25902+24895+12153+4496+3179+3069+1650</f>
        <v>218951</v>
      </c>
      <c r="N74" s="221">
        <f>+L74/M74</f>
        <v>8.427748674360931</v>
      </c>
      <c r="O74" s="203"/>
    </row>
    <row r="75" spans="1:15" ht="15">
      <c r="A75" s="104">
        <v>72</v>
      </c>
      <c r="B75" s="227" t="s">
        <v>63</v>
      </c>
      <c r="C75" s="117">
        <v>40172</v>
      </c>
      <c r="D75" s="37" t="s">
        <v>163</v>
      </c>
      <c r="E75" s="133">
        <v>60</v>
      </c>
      <c r="F75" s="133">
        <v>12</v>
      </c>
      <c r="G75" s="133">
        <v>14</v>
      </c>
      <c r="H75" s="119">
        <v>4298</v>
      </c>
      <c r="I75" s="120">
        <v>954</v>
      </c>
      <c r="J75" s="122">
        <f>(I75/F75)</f>
        <v>79.5</v>
      </c>
      <c r="K75" s="53">
        <f t="shared" si="9"/>
        <v>4.50524109014675</v>
      </c>
      <c r="L75" s="52">
        <f>421775.5+397095.5+287050+215248.5+189819.5+180729.5+86816.5+23840+19148+14942.5+8798.5+9599+13618.5+4298</f>
        <v>1872779.5</v>
      </c>
      <c r="M75" s="122">
        <f>43739+40732+31780+27356+25902+24895+12153+4496+3179+3069+1650+2236+3335+954</f>
        <v>225476</v>
      </c>
      <c r="N75" s="221">
        <f>L75/M75</f>
        <v>8.30589286664656</v>
      </c>
      <c r="O75" s="203"/>
    </row>
    <row r="76" spans="1:15" ht="15">
      <c r="A76" s="104">
        <v>73</v>
      </c>
      <c r="B76" s="227" t="s">
        <v>63</v>
      </c>
      <c r="C76" s="117">
        <v>40172</v>
      </c>
      <c r="D76" s="37" t="s">
        <v>163</v>
      </c>
      <c r="E76" s="133">
        <v>60</v>
      </c>
      <c r="F76" s="133">
        <v>9</v>
      </c>
      <c r="G76" s="133">
        <v>15</v>
      </c>
      <c r="H76" s="119">
        <v>4028</v>
      </c>
      <c r="I76" s="120">
        <v>829</v>
      </c>
      <c r="J76" s="122">
        <f>(I76/F76)</f>
        <v>92.11111111111111</v>
      </c>
      <c r="K76" s="53">
        <f t="shared" si="9"/>
        <v>4.858866103739445</v>
      </c>
      <c r="L76" s="52">
        <f>421775.5+397095.5+287050+215248.5+189819.5+180729.5+86816.5+23840+19148+14942.5+8798.5+9599+13618.5+4298+4028</f>
        <v>1876807.5</v>
      </c>
      <c r="M76" s="122">
        <f>43739+40732+31780+27356+25902+24895+12153+4496+3179+3069+1650+2236+3335+954+829</f>
        <v>226305</v>
      </c>
      <c r="N76" s="221">
        <f>IF(L76&lt;&gt;0,L76/M76,"")</f>
        <v>8.293265725459005</v>
      </c>
      <c r="O76" s="203"/>
    </row>
    <row r="77" spans="1:15" ht="15">
      <c r="A77" s="104">
        <v>74</v>
      </c>
      <c r="B77" s="227" t="s">
        <v>63</v>
      </c>
      <c r="C77" s="46">
        <v>40172</v>
      </c>
      <c r="D77" s="37" t="s">
        <v>163</v>
      </c>
      <c r="E77" s="133">
        <v>60</v>
      </c>
      <c r="F77" s="133">
        <v>8</v>
      </c>
      <c r="G77" s="133">
        <v>16</v>
      </c>
      <c r="H77" s="119">
        <v>3310</v>
      </c>
      <c r="I77" s="120">
        <v>540</v>
      </c>
      <c r="J77" s="122">
        <f>(I77/F77)</f>
        <v>67.5</v>
      </c>
      <c r="K77" s="53">
        <f t="shared" si="9"/>
        <v>6.12962962962963</v>
      </c>
      <c r="L77" s="52">
        <f>421775.5+397095.5+287050+215248.5+189819.5+180729.5+86816.5+23840+19148+14942.5+8798.5+9599+13618.5+4298+4028+3310</f>
        <v>1880117.5</v>
      </c>
      <c r="M77" s="122">
        <f>43739+40732+31780+27356+25902+24895+12153+4496+3179+3069+1650+2236+3335+954+829+540</f>
        <v>226845</v>
      </c>
      <c r="N77" s="280">
        <f>L77/M77</f>
        <v>8.288115232868257</v>
      </c>
      <c r="O77" s="277"/>
    </row>
    <row r="78" spans="1:15" ht="15">
      <c r="A78" s="104">
        <v>75</v>
      </c>
      <c r="B78" s="227" t="s">
        <v>63</v>
      </c>
      <c r="C78" s="46">
        <v>40172</v>
      </c>
      <c r="D78" s="37" t="s">
        <v>163</v>
      </c>
      <c r="E78" s="133">
        <v>60</v>
      </c>
      <c r="F78" s="133">
        <v>9</v>
      </c>
      <c r="G78" s="133">
        <v>17</v>
      </c>
      <c r="H78" s="119">
        <v>8547</v>
      </c>
      <c r="I78" s="120">
        <v>1945</v>
      </c>
      <c r="J78" s="122">
        <f>I78/F78</f>
        <v>216.11111111111111</v>
      </c>
      <c r="K78" s="53">
        <f t="shared" si="9"/>
        <v>4.394344473007712</v>
      </c>
      <c r="L78" s="52">
        <f>421775.5+397095.5+287050+215248.5+189819.5+180729.5+86816.5+23840+19148+14942.5+8798.5+9599+13618.5+4298+4028+3310+8547</f>
        <v>1888664.5</v>
      </c>
      <c r="M78" s="122">
        <f>43739+40732+31780+27356+25902+24895+12153+4496+3179+3069+1650+2236+3335+954+829+540+1945</f>
        <v>228790</v>
      </c>
      <c r="N78" s="280">
        <f>+L78/M78</f>
        <v>8.25501333100223</v>
      </c>
      <c r="O78" s="350"/>
    </row>
    <row r="79" spans="1:15" ht="15">
      <c r="A79" s="104">
        <v>76</v>
      </c>
      <c r="B79" s="219" t="s">
        <v>63</v>
      </c>
      <c r="C79" s="46">
        <v>40172</v>
      </c>
      <c r="D79" s="37" t="s">
        <v>163</v>
      </c>
      <c r="E79" s="133">
        <v>60</v>
      </c>
      <c r="F79" s="133">
        <v>14</v>
      </c>
      <c r="G79" s="133">
        <v>18</v>
      </c>
      <c r="H79" s="119">
        <v>6712.5</v>
      </c>
      <c r="I79" s="120">
        <v>1297</v>
      </c>
      <c r="J79" s="122">
        <f>I79/F79</f>
        <v>92.64285714285714</v>
      </c>
      <c r="K79" s="53">
        <f>+H79/I79</f>
        <v>5.175404780262143</v>
      </c>
      <c r="L79" s="52">
        <f>421775.5+397095.5+287050+215248.5+189819.5+180729.5+86816.5+23840+19148+14942.5+8798.5+9599+13618.5+4298+4028+3310+8547+6712.5</f>
        <v>1895377</v>
      </c>
      <c r="M79" s="122">
        <f>43739+40732+31780+27356+25902+24895+12153+4496+3179+3069+1650+2236+3335+954+829+540+1945+1297</f>
        <v>230087</v>
      </c>
      <c r="N79" s="280">
        <f>+L79/M79</f>
        <v>8.237653583209829</v>
      </c>
      <c r="O79" s="203"/>
    </row>
    <row r="80" spans="1:15" ht="15">
      <c r="A80" s="104">
        <v>77</v>
      </c>
      <c r="B80" s="222" t="s">
        <v>199</v>
      </c>
      <c r="C80" s="46">
        <v>40123</v>
      </c>
      <c r="D80" s="47" t="s">
        <v>163</v>
      </c>
      <c r="E80" s="138">
        <v>144</v>
      </c>
      <c r="F80" s="138">
        <v>8</v>
      </c>
      <c r="G80" s="138">
        <v>10</v>
      </c>
      <c r="H80" s="31">
        <v>13616</v>
      </c>
      <c r="I80" s="32">
        <v>2381</v>
      </c>
      <c r="J80" s="33">
        <f aca="true" t="shared" si="10" ref="J80:J86">(I80/F80)</f>
        <v>297.625</v>
      </c>
      <c r="K80" s="38">
        <f>H80/I80</f>
        <v>5.718605627887443</v>
      </c>
      <c r="L80" s="35">
        <f>909778+593215.5+203934.5+91391+32233.5+29451.5+14597.5+12123.5+12906+13616</f>
        <v>1913247</v>
      </c>
      <c r="M80" s="36">
        <f>103944+67300+25860+13426+5611+5689+2739+1975+2803+2381</f>
        <v>231728</v>
      </c>
      <c r="N80" s="220">
        <f aca="true" t="shared" si="11" ref="N80:N86">L80/M80</f>
        <v>8.256434267762204</v>
      </c>
      <c r="O80" s="199">
        <v>1</v>
      </c>
    </row>
    <row r="81" spans="1:15" ht="15">
      <c r="A81" s="104">
        <v>78</v>
      </c>
      <c r="B81" s="222" t="s">
        <v>199</v>
      </c>
      <c r="C81" s="46">
        <v>40123</v>
      </c>
      <c r="D81" s="48" t="s">
        <v>163</v>
      </c>
      <c r="E81" s="138">
        <v>144</v>
      </c>
      <c r="F81" s="138">
        <v>12</v>
      </c>
      <c r="G81" s="138">
        <v>9</v>
      </c>
      <c r="H81" s="31">
        <v>12906</v>
      </c>
      <c r="I81" s="32">
        <v>2803</v>
      </c>
      <c r="J81" s="33">
        <f t="shared" si="10"/>
        <v>233.58333333333334</v>
      </c>
      <c r="K81" s="34">
        <f>H81/I81</f>
        <v>4.6043524794862645</v>
      </c>
      <c r="L81" s="35">
        <f>909778+593215.5+203934.5+91391+32233.5+29451.5+14597.5+12123.5+12906</f>
        <v>1899631</v>
      </c>
      <c r="M81" s="36">
        <f>103944+67300+25860+13426+5611+5689+2739+1975+2803</f>
        <v>229347</v>
      </c>
      <c r="N81" s="220">
        <f t="shared" si="11"/>
        <v>8.282781113334815</v>
      </c>
      <c r="O81" s="199">
        <v>1</v>
      </c>
    </row>
    <row r="82" spans="1:15" ht="15">
      <c r="A82" s="104">
        <v>79</v>
      </c>
      <c r="B82" s="222" t="s">
        <v>199</v>
      </c>
      <c r="C82" s="46">
        <v>40123</v>
      </c>
      <c r="D82" s="48" t="s">
        <v>163</v>
      </c>
      <c r="E82" s="138">
        <v>144</v>
      </c>
      <c r="F82" s="138">
        <v>7</v>
      </c>
      <c r="G82" s="138">
        <v>12</v>
      </c>
      <c r="H82" s="44">
        <v>7885.5</v>
      </c>
      <c r="I82" s="40">
        <v>1755</v>
      </c>
      <c r="J82" s="41">
        <f t="shared" si="10"/>
        <v>250.71428571428572</v>
      </c>
      <c r="K82" s="34">
        <f>H82/I82</f>
        <v>4.493162393162393</v>
      </c>
      <c r="L82" s="45">
        <f>909778+593215.5+203934.5+91391+32233.5+29451.5+14597.5+12123.5+12906+13616+5350+7885.5</f>
        <v>1926482.5</v>
      </c>
      <c r="M82" s="42">
        <f>103944+67300+25860+13426+5611+5689+2739+1975+2803+2381+1177+1755</f>
        <v>234660</v>
      </c>
      <c r="N82" s="220">
        <f t="shared" si="11"/>
        <v>8.209675701014234</v>
      </c>
      <c r="O82" s="201">
        <v>1</v>
      </c>
    </row>
    <row r="83" spans="1:15" ht="15">
      <c r="A83" s="104">
        <v>80</v>
      </c>
      <c r="B83" s="223" t="s">
        <v>199</v>
      </c>
      <c r="C83" s="62">
        <v>40123</v>
      </c>
      <c r="D83" s="63" t="s">
        <v>163</v>
      </c>
      <c r="E83" s="139">
        <v>144</v>
      </c>
      <c r="F83" s="139">
        <v>2</v>
      </c>
      <c r="G83" s="139">
        <v>11</v>
      </c>
      <c r="H83" s="31">
        <v>5350</v>
      </c>
      <c r="I83" s="40">
        <v>1177</v>
      </c>
      <c r="J83" s="41">
        <f t="shared" si="10"/>
        <v>588.5</v>
      </c>
      <c r="K83" s="34">
        <f>H83/I83</f>
        <v>4.545454545454546</v>
      </c>
      <c r="L83" s="35">
        <f>909778+593215.5+203934.5+91391+32233.5+29451.5+14597.5+12123.5+12906+13616+5350</f>
        <v>1918597</v>
      </c>
      <c r="M83" s="42">
        <f>103944+67300+25860+13426+5611+5689+2739+1975+2803+2381+1177</f>
        <v>232905</v>
      </c>
      <c r="N83" s="220">
        <f t="shared" si="11"/>
        <v>8.237680599386016</v>
      </c>
      <c r="O83" s="201">
        <v>1</v>
      </c>
    </row>
    <row r="84" spans="1:15" ht="15">
      <c r="A84" s="104">
        <v>81</v>
      </c>
      <c r="B84" s="222" t="s">
        <v>199</v>
      </c>
      <c r="C84" s="46">
        <v>40123</v>
      </c>
      <c r="D84" s="37" t="s">
        <v>163</v>
      </c>
      <c r="E84" s="138">
        <v>144</v>
      </c>
      <c r="F84" s="138">
        <v>3</v>
      </c>
      <c r="G84" s="138">
        <v>14</v>
      </c>
      <c r="H84" s="111">
        <v>3662</v>
      </c>
      <c r="I84" s="112">
        <v>881</v>
      </c>
      <c r="J84" s="101">
        <f t="shared" si="10"/>
        <v>293.6666666666667</v>
      </c>
      <c r="K84" s="51">
        <f>(J84/G84)</f>
        <v>20.976190476190478</v>
      </c>
      <c r="L84" s="78">
        <f>909778+593215.5+203934.5+91391+32233.5+29451.5+14597.5+12123.5+12906+13616+5350+7885.5+2130+3662</f>
        <v>1932274.5</v>
      </c>
      <c r="M84" s="101">
        <f>103944+67300+25860+13426+5611+5689+2739+1975+2803+2381+1177+1755+350+881</f>
        <v>235891</v>
      </c>
      <c r="N84" s="221">
        <f t="shared" si="11"/>
        <v>8.191387123713918</v>
      </c>
      <c r="O84" s="201">
        <v>1</v>
      </c>
    </row>
    <row r="85" spans="1:15" ht="15">
      <c r="A85" s="104">
        <v>82</v>
      </c>
      <c r="B85" s="222" t="s">
        <v>199</v>
      </c>
      <c r="C85" s="46">
        <v>40123</v>
      </c>
      <c r="D85" s="37" t="s">
        <v>163</v>
      </c>
      <c r="E85" s="138">
        <v>144</v>
      </c>
      <c r="F85" s="138">
        <v>2</v>
      </c>
      <c r="G85" s="138">
        <v>15</v>
      </c>
      <c r="H85" s="115">
        <v>3564</v>
      </c>
      <c r="I85" s="116">
        <v>891</v>
      </c>
      <c r="J85" s="122">
        <f t="shared" si="10"/>
        <v>445.5</v>
      </c>
      <c r="K85" s="53">
        <f>H85/I85</f>
        <v>4</v>
      </c>
      <c r="L85" s="52">
        <f>909778+593215.5+203934.5+91391+32233.5+29451.5+14597.5+12123.5+12906+13616+5350+7885.5+2130+3662+3564</f>
        <v>1935838.5</v>
      </c>
      <c r="M85" s="122">
        <f>103944+67300+25860+13426+5611+5689+2739+1975+2803+2381+1177+1755+350+881+891</f>
        <v>236782</v>
      </c>
      <c r="N85" s="221">
        <f t="shared" si="11"/>
        <v>8.175615122771157</v>
      </c>
      <c r="O85" s="199">
        <v>1</v>
      </c>
    </row>
    <row r="86" spans="1:15" ht="15">
      <c r="A86" s="104">
        <v>83</v>
      </c>
      <c r="B86" s="223" t="s">
        <v>118</v>
      </c>
      <c r="C86" s="62">
        <v>40123</v>
      </c>
      <c r="D86" s="63" t="s">
        <v>163</v>
      </c>
      <c r="E86" s="139">
        <v>144</v>
      </c>
      <c r="F86" s="139">
        <v>3</v>
      </c>
      <c r="G86" s="139">
        <v>13</v>
      </c>
      <c r="H86" s="44">
        <v>2130</v>
      </c>
      <c r="I86" s="40">
        <v>350</v>
      </c>
      <c r="J86" s="41">
        <f t="shared" si="10"/>
        <v>116.66666666666667</v>
      </c>
      <c r="K86" s="51">
        <f>+H86/I86</f>
        <v>6.085714285714285</v>
      </c>
      <c r="L86" s="45">
        <f>909778+593215.5+203934.5+91391+32233.5+29451.5+14597.5+12123.5+12906+13616+5350+7885.5+2130</f>
        <v>1928612.5</v>
      </c>
      <c r="M86" s="42">
        <f>103944+67300+25860+13426+5611+5689+2739+1975+2803+2381+1177+1755+350</f>
        <v>235010</v>
      </c>
      <c r="N86" s="220">
        <f t="shared" si="11"/>
        <v>8.206512488830263</v>
      </c>
      <c r="O86" s="202">
        <v>1</v>
      </c>
    </row>
    <row r="87" spans="1:15" ht="15">
      <c r="A87" s="104">
        <v>84</v>
      </c>
      <c r="B87" s="227" t="s">
        <v>199</v>
      </c>
      <c r="C87" s="117">
        <v>40123</v>
      </c>
      <c r="D87" s="37" t="s">
        <v>163</v>
      </c>
      <c r="E87" s="133">
        <v>144</v>
      </c>
      <c r="F87" s="133">
        <v>1</v>
      </c>
      <c r="G87" s="133">
        <v>16</v>
      </c>
      <c r="H87" s="119">
        <v>2376</v>
      </c>
      <c r="I87" s="120">
        <v>594</v>
      </c>
      <c r="J87" s="122">
        <f>I87/F87</f>
        <v>594</v>
      </c>
      <c r="K87" s="53">
        <f>H87/I87</f>
        <v>4</v>
      </c>
      <c r="L87" s="52">
        <f>909778+593215.5+203934.5+91391+32233.5+29451.5+14597.5+12123.5+12906+13616+5350+7885.5+2130+3662+3564+2376</f>
        <v>1938214.5</v>
      </c>
      <c r="M87" s="122">
        <f>103944+67300+25860+13426+5611+5689+2739+1975+2803+2381+1177+1755+350+881+891+594</f>
        <v>237376</v>
      </c>
      <c r="N87" s="221">
        <f>+L87/M87</f>
        <v>8.165166234160152</v>
      </c>
      <c r="O87" s="209">
        <v>1</v>
      </c>
    </row>
    <row r="88" spans="1:15" ht="15">
      <c r="A88" s="104">
        <v>85</v>
      </c>
      <c r="B88" s="222" t="s">
        <v>60</v>
      </c>
      <c r="C88" s="46">
        <v>40165</v>
      </c>
      <c r="D88" s="48" t="s">
        <v>163</v>
      </c>
      <c r="E88" s="138">
        <v>125</v>
      </c>
      <c r="F88" s="138">
        <v>156</v>
      </c>
      <c r="G88" s="138">
        <v>3</v>
      </c>
      <c r="H88" s="31">
        <v>3469556.5</v>
      </c>
      <c r="I88" s="32">
        <v>309119</v>
      </c>
      <c r="J88" s="33">
        <f aca="true" t="shared" si="12" ref="J88:J94">(I88/F88)</f>
        <v>1981.5320512820513</v>
      </c>
      <c r="K88" s="34">
        <f>H88/I88</f>
        <v>11.224015670340549</v>
      </c>
      <c r="L88" s="35">
        <f>4033069.5+3582182.5+3469556.5</f>
        <v>11084808.5</v>
      </c>
      <c r="M88" s="36">
        <f>383242+338340+309119</f>
        <v>1030701</v>
      </c>
      <c r="N88" s="220">
        <f aca="true" t="shared" si="13" ref="N88:N94">L88/M88</f>
        <v>10.754630586367918</v>
      </c>
      <c r="O88" s="199"/>
    </row>
    <row r="89" spans="1:15" ht="15">
      <c r="A89" s="104">
        <v>86</v>
      </c>
      <c r="B89" s="223" t="s">
        <v>60</v>
      </c>
      <c r="C89" s="62">
        <v>40165</v>
      </c>
      <c r="D89" s="63" t="s">
        <v>163</v>
      </c>
      <c r="E89" s="139">
        <v>125</v>
      </c>
      <c r="F89" s="139">
        <v>156</v>
      </c>
      <c r="G89" s="139">
        <v>5</v>
      </c>
      <c r="H89" s="31">
        <v>3107541.5</v>
      </c>
      <c r="I89" s="40">
        <v>290779</v>
      </c>
      <c r="J89" s="41">
        <f t="shared" si="12"/>
        <v>1863.9679487179487</v>
      </c>
      <c r="K89" s="34">
        <f>H89/I89</f>
        <v>10.686952978034865</v>
      </c>
      <c r="L89" s="35">
        <f>4033069.5+3582182.5+3469556.5+3099545+3107541.5</f>
        <v>17291895</v>
      </c>
      <c r="M89" s="42">
        <f>383242+338340+309119+280170+290779</f>
        <v>1601650</v>
      </c>
      <c r="N89" s="220">
        <f t="shared" si="13"/>
        <v>10.796300689913526</v>
      </c>
      <c r="O89" s="201"/>
    </row>
    <row r="90" spans="1:15" ht="15">
      <c r="A90" s="104">
        <v>87</v>
      </c>
      <c r="B90" s="222" t="s">
        <v>60</v>
      </c>
      <c r="C90" s="46">
        <v>40165</v>
      </c>
      <c r="D90" s="47" t="s">
        <v>163</v>
      </c>
      <c r="E90" s="138">
        <v>125</v>
      </c>
      <c r="F90" s="138">
        <v>158</v>
      </c>
      <c r="G90" s="138">
        <v>4</v>
      </c>
      <c r="H90" s="31">
        <v>3099545</v>
      </c>
      <c r="I90" s="32">
        <v>280170</v>
      </c>
      <c r="J90" s="33">
        <f t="shared" si="12"/>
        <v>1773.2278481012659</v>
      </c>
      <c r="K90" s="38">
        <f>H90/I90</f>
        <v>11.063086697362316</v>
      </c>
      <c r="L90" s="35">
        <f>4033069.5+3582182.5+3469556.5+3099545</f>
        <v>14184353.5</v>
      </c>
      <c r="M90" s="36">
        <f>383242+338340+309119+280170</f>
        <v>1310871</v>
      </c>
      <c r="N90" s="220">
        <f t="shared" si="13"/>
        <v>10.820556332392737</v>
      </c>
      <c r="O90" s="199"/>
    </row>
    <row r="91" spans="1:16" ht="15">
      <c r="A91" s="104">
        <v>88</v>
      </c>
      <c r="B91" s="222" t="s">
        <v>60</v>
      </c>
      <c r="C91" s="46">
        <v>40165</v>
      </c>
      <c r="D91" s="48" t="s">
        <v>163</v>
      </c>
      <c r="E91" s="138">
        <v>125</v>
      </c>
      <c r="F91" s="138">
        <v>146</v>
      </c>
      <c r="G91" s="138">
        <v>6</v>
      </c>
      <c r="H91" s="44">
        <v>2751160</v>
      </c>
      <c r="I91" s="40">
        <v>261753</v>
      </c>
      <c r="J91" s="41">
        <f t="shared" si="12"/>
        <v>1792.8287671232877</v>
      </c>
      <c r="K91" s="34">
        <f>H91/I91</f>
        <v>10.510519459184804</v>
      </c>
      <c r="L91" s="45">
        <f>4033069.5+3582182.5+3469556.5+3099545+3107521.5+2751160</f>
        <v>20043035</v>
      </c>
      <c r="M91" s="42">
        <f>383242+338340+309119+280170+290777+261753</f>
        <v>1863401</v>
      </c>
      <c r="N91" s="220">
        <f t="shared" si="13"/>
        <v>10.756157692305628</v>
      </c>
      <c r="O91" s="201"/>
      <c r="P91" s="10">
        <v>1</v>
      </c>
    </row>
    <row r="92" spans="1:15" ht="15">
      <c r="A92" s="104">
        <v>89</v>
      </c>
      <c r="B92" s="223" t="s">
        <v>60</v>
      </c>
      <c r="C92" s="62">
        <v>40165</v>
      </c>
      <c r="D92" s="63" t="s">
        <v>163</v>
      </c>
      <c r="E92" s="139">
        <v>125</v>
      </c>
      <c r="F92" s="139">
        <v>147</v>
      </c>
      <c r="G92" s="139">
        <v>7</v>
      </c>
      <c r="H92" s="44">
        <v>2297673.5</v>
      </c>
      <c r="I92" s="40">
        <v>222617</v>
      </c>
      <c r="J92" s="41">
        <f t="shared" si="12"/>
        <v>1514.4013605442176</v>
      </c>
      <c r="K92" s="51">
        <f>+H92/I92</f>
        <v>10.32119514682167</v>
      </c>
      <c r="L92" s="45">
        <f>4033069.5+3582182.5+3469556.5+3099545+3107521.5+2751160+2297673.5</f>
        <v>22340708.5</v>
      </c>
      <c r="M92" s="42">
        <f>383242+338340+309119+280170+290777+261753+222617</f>
        <v>2086018</v>
      </c>
      <c r="N92" s="220">
        <f t="shared" si="13"/>
        <v>10.709739081829591</v>
      </c>
      <c r="O92" s="202"/>
    </row>
    <row r="93" spans="1:15" ht="15">
      <c r="A93" s="104">
        <v>90</v>
      </c>
      <c r="B93" s="222" t="s">
        <v>60</v>
      </c>
      <c r="C93" s="46">
        <v>40165</v>
      </c>
      <c r="D93" s="37" t="s">
        <v>163</v>
      </c>
      <c r="E93" s="138">
        <v>125</v>
      </c>
      <c r="F93" s="138">
        <v>147</v>
      </c>
      <c r="G93" s="138">
        <v>8</v>
      </c>
      <c r="H93" s="111">
        <v>1520298</v>
      </c>
      <c r="I93" s="112">
        <v>140396</v>
      </c>
      <c r="J93" s="101">
        <f t="shared" si="12"/>
        <v>955.0748299319728</v>
      </c>
      <c r="K93" s="51">
        <f>(J93/G93)</f>
        <v>119.3843537414966</v>
      </c>
      <c r="L93" s="78">
        <f>4033069.5+3582182.5+3469556.5+3099545+3107521.5+2751160+2297673.5+1520298</f>
        <v>23861006.5</v>
      </c>
      <c r="M93" s="101">
        <f>383242+338340+309119+280170+290777+261753+222617+140396</f>
        <v>2226414</v>
      </c>
      <c r="N93" s="221">
        <f t="shared" si="13"/>
        <v>10.717237000845305</v>
      </c>
      <c r="O93" s="201"/>
    </row>
    <row r="94" spans="1:15" ht="15">
      <c r="A94" s="104">
        <v>91</v>
      </c>
      <c r="B94" s="222" t="s">
        <v>60</v>
      </c>
      <c r="C94" s="46">
        <v>40165</v>
      </c>
      <c r="D94" s="37" t="s">
        <v>163</v>
      </c>
      <c r="E94" s="138">
        <v>125</v>
      </c>
      <c r="F94" s="138">
        <v>122</v>
      </c>
      <c r="G94" s="138">
        <v>9</v>
      </c>
      <c r="H94" s="115">
        <v>778693.5</v>
      </c>
      <c r="I94" s="116">
        <v>74659</v>
      </c>
      <c r="J94" s="122">
        <f t="shared" si="12"/>
        <v>611.9590163934427</v>
      </c>
      <c r="K94" s="53">
        <f>(J94/G94)</f>
        <v>67.99544626593807</v>
      </c>
      <c r="L94" s="52">
        <f>4033069.5+3582182.5+3469556.5+3099545+3107521.5+2751160+2297667.5+1520298+788693.5</f>
        <v>24649694</v>
      </c>
      <c r="M94" s="122">
        <f>383242+338340+309119+280170+290777+261753+222617+140396+74659</f>
        <v>2301073</v>
      </c>
      <c r="N94" s="221">
        <f t="shared" si="13"/>
        <v>10.712260758350562</v>
      </c>
      <c r="O94" s="199"/>
    </row>
    <row r="95" spans="1:15" ht="15">
      <c r="A95" s="104">
        <v>92</v>
      </c>
      <c r="B95" s="222" t="s">
        <v>60</v>
      </c>
      <c r="C95" s="46">
        <v>40165</v>
      </c>
      <c r="D95" s="37" t="s">
        <v>163</v>
      </c>
      <c r="E95" s="138">
        <v>125</v>
      </c>
      <c r="F95" s="138">
        <v>106</v>
      </c>
      <c r="G95" s="138">
        <v>10</v>
      </c>
      <c r="H95" s="115">
        <v>562184.5</v>
      </c>
      <c r="I95" s="116">
        <v>50484</v>
      </c>
      <c r="J95" s="122">
        <f>I95/F95</f>
        <v>476.2641509433962</v>
      </c>
      <c r="K95" s="53">
        <f aca="true" t="shared" si="14" ref="K95:K103">H95/I95</f>
        <v>11.135894540844625</v>
      </c>
      <c r="L95" s="52">
        <f>4033069.5+3582182.5+3469556.5+3099545+3107521.5+2751160+2297667.5+1520298+788693.5+562184.5</f>
        <v>25211878.5</v>
      </c>
      <c r="M95" s="122">
        <f>383242+338340+309119+280170+290777+261753+222617+140396+74659+50484</f>
        <v>2351557</v>
      </c>
      <c r="N95" s="221">
        <f>+L95/M95</f>
        <v>10.721355467887872</v>
      </c>
      <c r="O95" s="207"/>
    </row>
    <row r="96" spans="1:15" ht="15">
      <c r="A96" s="104">
        <v>93</v>
      </c>
      <c r="B96" s="222" t="s">
        <v>60</v>
      </c>
      <c r="C96" s="117">
        <v>40165</v>
      </c>
      <c r="D96" s="37" t="s">
        <v>163</v>
      </c>
      <c r="E96" s="133">
        <v>125</v>
      </c>
      <c r="F96" s="133">
        <v>64</v>
      </c>
      <c r="G96" s="133">
        <v>11</v>
      </c>
      <c r="H96" s="119">
        <v>348660.5</v>
      </c>
      <c r="I96" s="120">
        <v>29496</v>
      </c>
      <c r="J96" s="122">
        <f>(I96/F96)</f>
        <v>460.875</v>
      </c>
      <c r="K96" s="53">
        <f t="shared" si="14"/>
        <v>11.820602793599132</v>
      </c>
      <c r="L96" s="52">
        <f>4033069.5+3582182.5+3469556.5+3099545+3107521.5+2751160+2297667.5+1520298+788693.5+562184.5+348660.5</f>
        <v>25560539</v>
      </c>
      <c r="M96" s="122">
        <f>383242+338340+309119+280170+290777+261753+222617+140396+74659+50484+29496</f>
        <v>2381053</v>
      </c>
      <c r="N96" s="221">
        <f>L96/M96</f>
        <v>10.73497272005285</v>
      </c>
      <c r="O96" s="208"/>
    </row>
    <row r="97" spans="1:15" ht="15">
      <c r="A97" s="104">
        <v>94</v>
      </c>
      <c r="B97" s="222" t="s">
        <v>60</v>
      </c>
      <c r="C97" s="117">
        <v>40165</v>
      </c>
      <c r="D97" s="37" t="s">
        <v>163</v>
      </c>
      <c r="E97" s="133">
        <v>125</v>
      </c>
      <c r="F97" s="133">
        <v>53</v>
      </c>
      <c r="G97" s="133">
        <v>12</v>
      </c>
      <c r="H97" s="119">
        <v>276467.5</v>
      </c>
      <c r="I97" s="120">
        <v>23353</v>
      </c>
      <c r="J97" s="122">
        <f>(I97/F97)</f>
        <v>440.62264150943395</v>
      </c>
      <c r="K97" s="53">
        <f t="shared" si="14"/>
        <v>11.838628869952469</v>
      </c>
      <c r="L97" s="52">
        <f>4033069.5+3582182.5+3469556.5+3099545+3107521.5+2751160+2297667.5+1520298+788693.5+562184.5+348660.5+276467.5</f>
        <v>25837006.5</v>
      </c>
      <c r="M97" s="122">
        <f>383242+338340+309119+280170+290777+261753+222617+140396+74659+50484+29496+23353</f>
        <v>2404406</v>
      </c>
      <c r="N97" s="221">
        <f>+L97/M97</f>
        <v>10.74569207529843</v>
      </c>
      <c r="O97" s="203"/>
    </row>
    <row r="98" spans="1:15" ht="15">
      <c r="A98" s="104">
        <v>95</v>
      </c>
      <c r="B98" s="227" t="s">
        <v>60</v>
      </c>
      <c r="C98" s="117">
        <v>40165</v>
      </c>
      <c r="D98" s="37" t="s">
        <v>163</v>
      </c>
      <c r="E98" s="133">
        <v>125</v>
      </c>
      <c r="F98" s="133">
        <v>40</v>
      </c>
      <c r="G98" s="133">
        <v>13</v>
      </c>
      <c r="H98" s="119">
        <v>182912.5</v>
      </c>
      <c r="I98" s="120">
        <v>15006</v>
      </c>
      <c r="J98" s="122">
        <f>I98/F98</f>
        <v>375.15</v>
      </c>
      <c r="K98" s="53">
        <f t="shared" si="14"/>
        <v>12.189290950286551</v>
      </c>
      <c r="L98" s="52">
        <f>4033069.5+3582182.5+3469556.5+3099545+3107521.5+2751160+2297667.5+1520298+788693.5+562184.5+348660.5+276467.5+182912.5</f>
        <v>26019919</v>
      </c>
      <c r="M98" s="122">
        <f>383242+338340+309119+280170+290777+261753+222617+140396+74659+50484+29496+23353+15006</f>
        <v>2419412</v>
      </c>
      <c r="N98" s="221">
        <f>+L98/M98</f>
        <v>10.754645756902917</v>
      </c>
      <c r="O98" s="200">
        <v>1</v>
      </c>
    </row>
    <row r="99" spans="1:15" ht="15">
      <c r="A99" s="104">
        <v>96</v>
      </c>
      <c r="B99" s="227" t="s">
        <v>60</v>
      </c>
      <c r="C99" s="117">
        <v>40165</v>
      </c>
      <c r="D99" s="37" t="s">
        <v>163</v>
      </c>
      <c r="E99" s="133">
        <v>125</v>
      </c>
      <c r="F99" s="133">
        <v>7</v>
      </c>
      <c r="G99" s="133">
        <v>14</v>
      </c>
      <c r="H99" s="119">
        <v>83992.5</v>
      </c>
      <c r="I99" s="120">
        <v>11893</v>
      </c>
      <c r="J99" s="122">
        <f>I99/F99</f>
        <v>1699</v>
      </c>
      <c r="K99" s="53">
        <f t="shared" si="14"/>
        <v>7.062347599428235</v>
      </c>
      <c r="L99" s="52">
        <f>4033069.5+3582182.5+3469556.5+3099545+3107521.5+2751160+2297667.5+1520298+788693.5+562184.5+348660.5+276467.5+182912.5+83992.5</f>
        <v>26103911.5</v>
      </c>
      <c r="M99" s="122">
        <f>383242+338340+309119+280170+290777+261753+222617+140396+74659+50484+29496+23353+15006+11893</f>
        <v>2431305</v>
      </c>
      <c r="N99" s="221">
        <f>+L99/M99</f>
        <v>10.736584468012035</v>
      </c>
      <c r="O99" s="210"/>
    </row>
    <row r="100" spans="1:15" ht="15">
      <c r="A100" s="104">
        <v>97</v>
      </c>
      <c r="B100" s="219" t="s">
        <v>60</v>
      </c>
      <c r="C100" s="29">
        <v>40165</v>
      </c>
      <c r="D100" s="39" t="s">
        <v>163</v>
      </c>
      <c r="E100" s="137">
        <v>125</v>
      </c>
      <c r="F100" s="137">
        <v>5</v>
      </c>
      <c r="G100" s="137">
        <v>15</v>
      </c>
      <c r="H100" s="31">
        <v>49671.5</v>
      </c>
      <c r="I100" s="40">
        <v>4985</v>
      </c>
      <c r="J100" s="41">
        <f>(I100/F100)</f>
        <v>997</v>
      </c>
      <c r="K100" s="34">
        <f t="shared" si="14"/>
        <v>9.964192577733199</v>
      </c>
      <c r="L100" s="35">
        <f>4033069.5+3582182.5+3469556.5+3099545+3107521.5+2751160+2297667.5+1520298+788693.5+562184.5+348660.5+276467.5+182912.5+83992.5+49671.5</f>
        <v>26153583</v>
      </c>
      <c r="M100" s="42">
        <f>383242+338340+309119+280170+290777+261753+222617+140396+74659+50484+29496+23353+15006+11893+4985</f>
        <v>2436290</v>
      </c>
      <c r="N100" s="220">
        <f>L100/M100</f>
        <v>10.735004043032644</v>
      </c>
      <c r="O100" s="203"/>
    </row>
    <row r="101" spans="1:15" ht="15">
      <c r="A101" s="104">
        <v>98</v>
      </c>
      <c r="B101" s="219" t="s">
        <v>60</v>
      </c>
      <c r="C101" s="29">
        <v>40165</v>
      </c>
      <c r="D101" s="39" t="s">
        <v>163</v>
      </c>
      <c r="E101" s="137">
        <v>125</v>
      </c>
      <c r="F101" s="137">
        <v>6</v>
      </c>
      <c r="G101" s="137">
        <v>16</v>
      </c>
      <c r="H101" s="31">
        <v>34864</v>
      </c>
      <c r="I101" s="40">
        <v>3244</v>
      </c>
      <c r="J101" s="41">
        <f>(I101/F101)</f>
        <v>540.6666666666666</v>
      </c>
      <c r="K101" s="34">
        <f t="shared" si="14"/>
        <v>10.747225647348952</v>
      </c>
      <c r="L101" s="35">
        <f>4033069.5+3582182.5+3469556.5+3099545+3107521.5+2751160+2297667.5+1520298+788693.5+562184.5+348660.5+276467.5+182912.5+83992.5+49671.5+34864</f>
        <v>26188447</v>
      </c>
      <c r="M101" s="42">
        <f>383242+338340+309119+280170+290777+261753+222617+140396+74659+50484+29496+23353+15006+11893+4985+3244</f>
        <v>2439534</v>
      </c>
      <c r="N101" s="220">
        <f>IF(L101&lt;&gt;0,L101/M101,"")</f>
        <v>10.735020294859591</v>
      </c>
      <c r="O101" s="203">
        <f>IF(L102&lt;&gt;0,L102/M102,"")</f>
        <v>10.734324254098546</v>
      </c>
    </row>
    <row r="102" spans="1:15" ht="15">
      <c r="A102" s="104">
        <v>99</v>
      </c>
      <c r="B102" s="227" t="s">
        <v>60</v>
      </c>
      <c r="C102" s="46">
        <v>40165</v>
      </c>
      <c r="D102" s="37" t="s">
        <v>163</v>
      </c>
      <c r="E102" s="133">
        <v>125</v>
      </c>
      <c r="F102" s="133">
        <v>7</v>
      </c>
      <c r="G102" s="133">
        <v>17</v>
      </c>
      <c r="H102" s="119">
        <v>44685</v>
      </c>
      <c r="I102" s="120">
        <v>4321</v>
      </c>
      <c r="J102" s="122">
        <f>(I102/F102)</f>
        <v>617.2857142857143</v>
      </c>
      <c r="K102" s="53">
        <f t="shared" si="14"/>
        <v>10.341356167553807</v>
      </c>
      <c r="L102" s="52">
        <f>4033069.5+3582182.5+3469556.5+3099545+3107521.5+2751160+2297667.5+1520298+788693.5+562184.5+348660.5+276467.5+182912.5+83992.5+49671.5+34864+44685</f>
        <v>26233132</v>
      </c>
      <c r="M102" s="122">
        <f>383242+338340+309119+280170+290777+261753+222617+140396+74659+50484+29496+23353+15006+11893+4985+3244+4321</f>
        <v>2443855</v>
      </c>
      <c r="N102" s="280">
        <f>L102/M102</f>
        <v>10.734324254098546</v>
      </c>
      <c r="O102" s="277"/>
    </row>
    <row r="103" spans="1:15" ht="15">
      <c r="A103" s="104">
        <v>100</v>
      </c>
      <c r="B103" s="227" t="s">
        <v>60</v>
      </c>
      <c r="C103" s="46">
        <v>40165</v>
      </c>
      <c r="D103" s="37" t="s">
        <v>163</v>
      </c>
      <c r="E103" s="133">
        <v>125</v>
      </c>
      <c r="F103" s="133">
        <v>5</v>
      </c>
      <c r="G103" s="133">
        <v>18</v>
      </c>
      <c r="H103" s="119">
        <v>34334</v>
      </c>
      <c r="I103" s="120">
        <v>2421</v>
      </c>
      <c r="J103" s="122">
        <f>I103/F103</f>
        <v>484.2</v>
      </c>
      <c r="K103" s="53">
        <f t="shared" si="14"/>
        <v>14.181743081371334</v>
      </c>
      <c r="L103" s="52">
        <f>4033069.5+3582182.5+3469556.5+3099545+3107521.5+2751160+2297667.5+1520298+788693.5+562184.5+348660.5+276467.5+182912.5+83992.5+49671.5+36300+44685+34334</f>
        <v>26268902</v>
      </c>
      <c r="M103" s="122">
        <f>383242+338340+309119+280170+290777+261753+222617+140396+74659+50484+29496+23353+15006+11893+4985+3385+4321+2421</f>
        <v>2446417</v>
      </c>
      <c r="N103" s="280">
        <f>+L103/M103</f>
        <v>10.73770416081968</v>
      </c>
      <c r="O103" s="350"/>
    </row>
    <row r="104" spans="1:15" ht="15">
      <c r="A104" s="104">
        <v>101</v>
      </c>
      <c r="B104" s="219" t="s">
        <v>60</v>
      </c>
      <c r="C104" s="46">
        <v>40165</v>
      </c>
      <c r="D104" s="37" t="s">
        <v>163</v>
      </c>
      <c r="E104" s="133">
        <v>125</v>
      </c>
      <c r="F104" s="133">
        <v>4</v>
      </c>
      <c r="G104" s="133">
        <v>19</v>
      </c>
      <c r="H104" s="119">
        <v>3879.5</v>
      </c>
      <c r="I104" s="120">
        <v>508</v>
      </c>
      <c r="J104" s="122">
        <f>I104/F104</f>
        <v>127</v>
      </c>
      <c r="K104" s="53">
        <f>+H104/I104</f>
        <v>7.636811023622047</v>
      </c>
      <c r="L104" s="52">
        <f>4033069.5+3582182.5+3469556.5+3099545+3107521.5+2751160+2297667.5+1520298+788693.5+562184.5+348660.5+276467.5+182912.5+83992.5+49671.5+36300+44685+34334+3879.5</f>
        <v>26272781.5</v>
      </c>
      <c r="M104" s="122">
        <f>383242+338340+309119+280170+290777+261753+222617+140396+74659+50484+29496+23353+15006+11893+4985+3385+4321+2421+508</f>
        <v>2446925</v>
      </c>
      <c r="N104" s="280">
        <f>+L104/M104</f>
        <v>10.73706039212481</v>
      </c>
      <c r="O104" s="203"/>
    </row>
    <row r="105" spans="1:15" ht="15">
      <c r="A105" s="104">
        <v>102</v>
      </c>
      <c r="B105" s="219" t="s">
        <v>60</v>
      </c>
      <c r="C105" s="46">
        <v>40165</v>
      </c>
      <c r="D105" s="37" t="s">
        <v>163</v>
      </c>
      <c r="E105" s="133">
        <v>125</v>
      </c>
      <c r="F105" s="133">
        <v>2</v>
      </c>
      <c r="G105" s="133">
        <v>20</v>
      </c>
      <c r="H105" s="337">
        <v>2808.5</v>
      </c>
      <c r="I105" s="338">
        <v>237</v>
      </c>
      <c r="J105" s="122">
        <f>(I105/F105)</f>
        <v>118.5</v>
      </c>
      <c r="K105" s="53">
        <f>H105/I105</f>
        <v>11.850210970464135</v>
      </c>
      <c r="L105" s="52">
        <f>4033069.5+3582182.5+3469556.5+3099545+3107521.5+2751160+2297667.5+1520298+788693.5+562184.5+348660.5+276467.5+182912.5+83992.5+49671.5+36300+44685+34334+3879.5+2808.5</f>
        <v>26275590</v>
      </c>
      <c r="M105" s="122">
        <f>383242+338340+309119+280170+290777+261753+222617+140396+74659+50484+29496+23353+15006+11893+4985+3385+4321+2421+508+237</f>
        <v>2447162</v>
      </c>
      <c r="N105" s="280">
        <f>L105/M105</f>
        <v>10.73716819728322</v>
      </c>
      <c r="O105" s="203"/>
    </row>
    <row r="106" spans="1:15" ht="15">
      <c r="A106" s="104">
        <v>103</v>
      </c>
      <c r="B106" s="219" t="s">
        <v>67</v>
      </c>
      <c r="C106" s="29">
        <v>40165</v>
      </c>
      <c r="D106" s="37" t="s">
        <v>165</v>
      </c>
      <c r="E106" s="137">
        <v>38</v>
      </c>
      <c r="F106" s="137">
        <v>40</v>
      </c>
      <c r="G106" s="137">
        <v>4</v>
      </c>
      <c r="H106" s="54">
        <v>118129</v>
      </c>
      <c r="I106" s="59">
        <v>14601</v>
      </c>
      <c r="J106" s="60">
        <f>IF(H106&lt;&gt;0,I106/F106,"")</f>
        <v>365.025</v>
      </c>
      <c r="K106" s="61">
        <f>IF(H106&lt;&gt;0,H106/I106,"")</f>
        <v>8.090473255256489</v>
      </c>
      <c r="L106" s="58">
        <v>736893.5</v>
      </c>
      <c r="M106" s="122">
        <v>81207</v>
      </c>
      <c r="N106" s="224">
        <f>IF(L107&lt;&gt;0,L107/M107,"")</f>
        <v>8.780278434192951</v>
      </c>
      <c r="O106" s="199">
        <v>1</v>
      </c>
    </row>
    <row r="107" spans="1:15" ht="15">
      <c r="A107" s="104">
        <v>104</v>
      </c>
      <c r="B107" s="219" t="s">
        <v>0</v>
      </c>
      <c r="C107" s="29">
        <v>40165</v>
      </c>
      <c r="D107" s="37" t="s">
        <v>165</v>
      </c>
      <c r="E107" s="137">
        <v>38</v>
      </c>
      <c r="F107" s="137">
        <v>39</v>
      </c>
      <c r="G107" s="137">
        <v>5</v>
      </c>
      <c r="H107" s="54">
        <v>117691</v>
      </c>
      <c r="I107" s="55">
        <v>16123</v>
      </c>
      <c r="J107" s="56">
        <f>IF(H107&lt;&gt;0,I107/F107,"")</f>
        <v>413.4102564102564</v>
      </c>
      <c r="K107" s="57">
        <f>IF(H107&lt;&gt;0,H107/I107,"")</f>
        <v>7.299572039942938</v>
      </c>
      <c r="L107" s="58">
        <v>854584.5</v>
      </c>
      <c r="M107" s="101">
        <v>97330</v>
      </c>
      <c r="N107" s="224">
        <f>IF(L108&lt;&gt;0,L108/M108,"")</f>
        <v>9.289921328408852</v>
      </c>
      <c r="O107" s="202">
        <v>1</v>
      </c>
    </row>
    <row r="108" spans="1:15" ht="15">
      <c r="A108" s="104">
        <v>105</v>
      </c>
      <c r="B108" s="219" t="s">
        <v>0</v>
      </c>
      <c r="C108" s="29">
        <v>40165</v>
      </c>
      <c r="D108" s="43" t="s">
        <v>165</v>
      </c>
      <c r="E108" s="137">
        <v>38</v>
      </c>
      <c r="F108" s="137">
        <v>29</v>
      </c>
      <c r="G108" s="137">
        <v>3</v>
      </c>
      <c r="H108" s="54">
        <v>96495.25</v>
      </c>
      <c r="I108" s="59">
        <v>11131</v>
      </c>
      <c r="J108" s="60">
        <f>IF(H108&lt;&gt;0,I108/F108,"")</f>
        <v>383.82758620689657</v>
      </c>
      <c r="K108" s="57">
        <f>IF(H108&lt;&gt;0,H108/I108,"")</f>
        <v>8.669054891743778</v>
      </c>
      <c r="L108" s="58">
        <v>618764.5</v>
      </c>
      <c r="M108" s="122">
        <v>66606</v>
      </c>
      <c r="N108" s="221">
        <f>L109/M109</f>
        <v>8.562424341286263</v>
      </c>
      <c r="O108" s="201">
        <v>1</v>
      </c>
    </row>
    <row r="109" spans="1:15" ht="15">
      <c r="A109" s="104">
        <v>106</v>
      </c>
      <c r="B109" s="222" t="s">
        <v>67</v>
      </c>
      <c r="C109" s="46">
        <v>40165</v>
      </c>
      <c r="D109" s="37" t="s">
        <v>165</v>
      </c>
      <c r="E109" s="138">
        <v>38</v>
      </c>
      <c r="F109" s="138">
        <v>39</v>
      </c>
      <c r="G109" s="138">
        <v>7</v>
      </c>
      <c r="H109" s="76">
        <v>75701.5</v>
      </c>
      <c r="I109" s="77">
        <v>9938</v>
      </c>
      <c r="J109" s="101">
        <f>I109/F109</f>
        <v>254.82051282051282</v>
      </c>
      <c r="K109" s="51">
        <f>H109/I109</f>
        <v>7.617377742000403</v>
      </c>
      <c r="L109" s="78">
        <v>997325.5</v>
      </c>
      <c r="M109" s="101">
        <v>116477</v>
      </c>
      <c r="N109" s="220">
        <f>IF(L110&lt;&gt;0,L110/M110,"")</f>
        <v>8.650578661335286</v>
      </c>
      <c r="O109" s="201">
        <v>1</v>
      </c>
    </row>
    <row r="110" spans="1:15" ht="15">
      <c r="A110" s="104">
        <v>107</v>
      </c>
      <c r="B110" s="222" t="s">
        <v>67</v>
      </c>
      <c r="C110" s="46">
        <v>40165</v>
      </c>
      <c r="D110" s="48" t="s">
        <v>165</v>
      </c>
      <c r="E110" s="138">
        <v>38</v>
      </c>
      <c r="F110" s="138">
        <v>40</v>
      </c>
      <c r="G110" s="138">
        <v>6</v>
      </c>
      <c r="H110" s="44">
        <v>67039.5</v>
      </c>
      <c r="I110" s="40">
        <v>9209</v>
      </c>
      <c r="J110" s="41">
        <f>IF(H110&lt;&gt;0,I110/F110,"")</f>
        <v>230.225</v>
      </c>
      <c r="K110" s="34">
        <f>IF(H110&lt;&gt;0,H110/I110,"")</f>
        <v>7.279780649364752</v>
      </c>
      <c r="L110" s="45">
        <v>921624</v>
      </c>
      <c r="M110" s="42">
        <v>106539</v>
      </c>
      <c r="N110" s="221">
        <f>IF(L111&lt;&gt;0,L111/M111,"")</f>
        <v>8.473079284052726</v>
      </c>
      <c r="O110" s="199">
        <v>1</v>
      </c>
    </row>
    <row r="111" spans="1:15" ht="15">
      <c r="A111" s="104">
        <v>108</v>
      </c>
      <c r="B111" s="222" t="s">
        <v>0</v>
      </c>
      <c r="C111" s="46">
        <v>40165</v>
      </c>
      <c r="D111" s="37" t="s">
        <v>165</v>
      </c>
      <c r="E111" s="138">
        <v>38</v>
      </c>
      <c r="F111" s="138">
        <v>39</v>
      </c>
      <c r="G111" s="138">
        <v>8</v>
      </c>
      <c r="H111" s="111">
        <v>51709.5</v>
      </c>
      <c r="I111" s="112">
        <v>7331</v>
      </c>
      <c r="J111" s="101">
        <f>I111/F111</f>
        <v>187.97435897435898</v>
      </c>
      <c r="K111" s="51">
        <f>+H111/I111</f>
        <v>7.053539762651753</v>
      </c>
      <c r="L111" s="78">
        <v>1049035</v>
      </c>
      <c r="M111" s="101">
        <v>123808</v>
      </c>
      <c r="N111" s="221">
        <f>IF(L112&lt;&gt;0,L112/M112,"")</f>
        <v>8.390757320083747</v>
      </c>
      <c r="O111" s="204">
        <v>1</v>
      </c>
    </row>
    <row r="112" spans="1:15" ht="15">
      <c r="A112" s="104">
        <v>109</v>
      </c>
      <c r="B112" s="222" t="s">
        <v>0</v>
      </c>
      <c r="C112" s="46">
        <v>40165</v>
      </c>
      <c r="D112" s="37" t="s">
        <v>165</v>
      </c>
      <c r="E112" s="138">
        <v>38</v>
      </c>
      <c r="F112" s="138">
        <v>17</v>
      </c>
      <c r="G112" s="138">
        <v>9</v>
      </c>
      <c r="H112" s="115">
        <v>25015.5</v>
      </c>
      <c r="I112" s="116">
        <v>4196</v>
      </c>
      <c r="J112" s="122">
        <f>IF(H112&lt;&gt;0,I112/F112,"")</f>
        <v>246.8235294117647</v>
      </c>
      <c r="K112" s="53">
        <f>IF(H112&lt;&gt;0,H112/I112,"")</f>
        <v>5.961749285033365</v>
      </c>
      <c r="L112" s="52">
        <v>1074050.5</v>
      </c>
      <c r="M112" s="122">
        <v>128004</v>
      </c>
      <c r="N112" s="221">
        <f>+L113/M113</f>
        <v>8.353917733704122</v>
      </c>
      <c r="O112" s="203">
        <v>1</v>
      </c>
    </row>
    <row r="113" spans="1:15" ht="15">
      <c r="A113" s="104">
        <v>110</v>
      </c>
      <c r="B113" s="222" t="s">
        <v>0</v>
      </c>
      <c r="C113" s="46">
        <v>40165</v>
      </c>
      <c r="D113" s="37" t="s">
        <v>165</v>
      </c>
      <c r="E113" s="138">
        <v>38</v>
      </c>
      <c r="F113" s="138">
        <v>14</v>
      </c>
      <c r="G113" s="138">
        <v>10</v>
      </c>
      <c r="H113" s="115">
        <v>19410.5</v>
      </c>
      <c r="I113" s="116">
        <v>2888</v>
      </c>
      <c r="J113" s="122">
        <f>I113/F113</f>
        <v>206.28571428571428</v>
      </c>
      <c r="K113" s="53">
        <f>H113/I113</f>
        <v>6.721087257617729</v>
      </c>
      <c r="L113" s="52">
        <v>1093461</v>
      </c>
      <c r="M113" s="122">
        <v>130892</v>
      </c>
      <c r="N113" s="221">
        <f>+L114/M114</f>
        <v>8.217427508197929</v>
      </c>
      <c r="O113" s="208">
        <v>1</v>
      </c>
    </row>
    <row r="114" spans="1:15" ht="15">
      <c r="A114" s="104">
        <v>111</v>
      </c>
      <c r="B114" s="222" t="s">
        <v>0</v>
      </c>
      <c r="C114" s="117">
        <v>40165</v>
      </c>
      <c r="D114" s="118" t="s">
        <v>165</v>
      </c>
      <c r="E114" s="133">
        <v>38</v>
      </c>
      <c r="F114" s="133">
        <v>8</v>
      </c>
      <c r="G114" s="133">
        <v>12</v>
      </c>
      <c r="H114" s="119">
        <v>12339</v>
      </c>
      <c r="I114" s="120">
        <v>2784</v>
      </c>
      <c r="J114" s="122">
        <f>IF(H114&lt;&gt;0,I114/F114,"")</f>
        <v>348</v>
      </c>
      <c r="K114" s="53">
        <f>H114/I114</f>
        <v>4.432112068965517</v>
      </c>
      <c r="L114" s="52">
        <v>1115146</v>
      </c>
      <c r="M114" s="122">
        <v>135705</v>
      </c>
      <c r="N114" s="221">
        <f>+L115/M115</f>
        <v>8.29671007590975</v>
      </c>
      <c r="O114" s="200"/>
    </row>
    <row r="115" spans="1:15" ht="15">
      <c r="A115" s="104">
        <v>112</v>
      </c>
      <c r="B115" s="222" t="s">
        <v>0</v>
      </c>
      <c r="C115" s="117">
        <v>40165</v>
      </c>
      <c r="D115" s="37" t="s">
        <v>165</v>
      </c>
      <c r="E115" s="133">
        <v>38</v>
      </c>
      <c r="F115" s="133">
        <v>7</v>
      </c>
      <c r="G115" s="133">
        <v>11</v>
      </c>
      <c r="H115" s="119">
        <v>9346</v>
      </c>
      <c r="I115" s="120">
        <v>2029</v>
      </c>
      <c r="J115" s="122">
        <f>I115/F115</f>
        <v>289.85714285714283</v>
      </c>
      <c r="K115" s="53">
        <f>H115/I115</f>
        <v>4.606209955643174</v>
      </c>
      <c r="L115" s="52">
        <v>1102807</v>
      </c>
      <c r="M115" s="122">
        <v>132921</v>
      </c>
      <c r="N115" s="221">
        <f>+L116/M116</f>
        <v>8.216771778851822</v>
      </c>
      <c r="O115" s="202"/>
    </row>
    <row r="116" spans="1:15" ht="15">
      <c r="A116" s="104">
        <v>113</v>
      </c>
      <c r="B116" s="227" t="s">
        <v>0</v>
      </c>
      <c r="C116" s="117">
        <v>40165</v>
      </c>
      <c r="D116" s="118" t="s">
        <v>165</v>
      </c>
      <c r="E116" s="133">
        <v>38</v>
      </c>
      <c r="F116" s="133">
        <v>1</v>
      </c>
      <c r="G116" s="133">
        <v>13</v>
      </c>
      <c r="H116" s="119">
        <v>100</v>
      </c>
      <c r="I116" s="120">
        <v>23</v>
      </c>
      <c r="J116" s="122">
        <f>I116/F116</f>
        <v>23</v>
      </c>
      <c r="K116" s="53">
        <f>H116/I116</f>
        <v>4.3478260869565215</v>
      </c>
      <c r="L116" s="52">
        <v>1115246</v>
      </c>
      <c r="M116" s="122">
        <v>135728</v>
      </c>
      <c r="N116" s="221">
        <f>+L117/M117</f>
        <v>8.21569623982617</v>
      </c>
      <c r="O116" s="211">
        <v>1</v>
      </c>
    </row>
    <row r="117" spans="1:15" ht="15">
      <c r="A117" s="104">
        <v>114</v>
      </c>
      <c r="B117" s="227" t="s">
        <v>0</v>
      </c>
      <c r="C117" s="117">
        <v>40165</v>
      </c>
      <c r="D117" s="37" t="s">
        <v>165</v>
      </c>
      <c r="E117" s="133">
        <v>38</v>
      </c>
      <c r="F117" s="133">
        <v>2</v>
      </c>
      <c r="G117" s="133">
        <v>14</v>
      </c>
      <c r="H117" s="119">
        <v>158</v>
      </c>
      <c r="I117" s="120">
        <v>37</v>
      </c>
      <c r="J117" s="122">
        <f>I117/F117</f>
        <v>18.5</v>
      </c>
      <c r="K117" s="53">
        <f>H117/I117</f>
        <v>4.27027027027027</v>
      </c>
      <c r="L117" s="52">
        <f>1115246+158</f>
        <v>1115404</v>
      </c>
      <c r="M117" s="122">
        <f>135728+37</f>
        <v>135765</v>
      </c>
      <c r="N117" s="220">
        <f>IF(L118&lt;&gt;0,L118/M118,"")</f>
        <v>8.208025836998933</v>
      </c>
      <c r="O117" s="203">
        <v>1</v>
      </c>
    </row>
    <row r="118" spans="1:15" ht="15">
      <c r="A118" s="104">
        <v>115</v>
      </c>
      <c r="B118" s="219" t="s">
        <v>0</v>
      </c>
      <c r="C118" s="29">
        <v>40165</v>
      </c>
      <c r="D118" s="39" t="s">
        <v>165</v>
      </c>
      <c r="E118" s="137">
        <v>38</v>
      </c>
      <c r="F118" s="137">
        <v>3</v>
      </c>
      <c r="G118" s="137">
        <v>15</v>
      </c>
      <c r="H118" s="31">
        <v>7930</v>
      </c>
      <c r="I118" s="40">
        <v>1093</v>
      </c>
      <c r="J118" s="41">
        <f>IF(H118&lt;&gt;0,I118/F118,"")</f>
        <v>364.3333333333333</v>
      </c>
      <c r="K118" s="34">
        <f>IF(H118&lt;&gt;0,H118/I118,"")</f>
        <v>7.255260750228728</v>
      </c>
      <c r="L118" s="35">
        <v>1123334</v>
      </c>
      <c r="M118" s="42">
        <v>136858</v>
      </c>
      <c r="N118" s="221">
        <f>+L119/M119</f>
        <v>8.204997264271384</v>
      </c>
      <c r="O118" s="199">
        <v>1</v>
      </c>
    </row>
    <row r="119" spans="1:15" ht="15">
      <c r="A119" s="104">
        <v>116</v>
      </c>
      <c r="B119" s="227" t="s">
        <v>67</v>
      </c>
      <c r="C119" s="46">
        <v>40165</v>
      </c>
      <c r="D119" s="118" t="s">
        <v>165</v>
      </c>
      <c r="E119" s="138">
        <v>38</v>
      </c>
      <c r="F119" s="138">
        <v>1</v>
      </c>
      <c r="G119" s="133">
        <v>16</v>
      </c>
      <c r="H119" s="119">
        <v>1366</v>
      </c>
      <c r="I119" s="120">
        <v>217</v>
      </c>
      <c r="J119" s="122">
        <f>I119/F119</f>
        <v>217</v>
      </c>
      <c r="K119" s="53">
        <f>H119/I119</f>
        <v>6.2949308755760365</v>
      </c>
      <c r="L119" s="52">
        <v>1124700</v>
      </c>
      <c r="M119" s="122">
        <v>137075</v>
      </c>
      <c r="N119" s="280">
        <f>+L119/M119</f>
        <v>8.204997264271384</v>
      </c>
      <c r="O119" s="278">
        <v>1</v>
      </c>
    </row>
    <row r="120" spans="1:15" ht="15">
      <c r="A120" s="104">
        <v>117</v>
      </c>
      <c r="B120" s="227" t="s">
        <v>67</v>
      </c>
      <c r="C120" s="46">
        <v>40165</v>
      </c>
      <c r="D120" s="118" t="s">
        <v>165</v>
      </c>
      <c r="E120" s="133">
        <v>38</v>
      </c>
      <c r="F120" s="133">
        <v>1</v>
      </c>
      <c r="G120" s="133">
        <v>17</v>
      </c>
      <c r="H120" s="119">
        <v>1256</v>
      </c>
      <c r="I120" s="120">
        <v>198</v>
      </c>
      <c r="J120" s="122">
        <f>I120/F120</f>
        <v>198</v>
      </c>
      <c r="K120" s="53">
        <f>H120/I120</f>
        <v>6.343434343434343</v>
      </c>
      <c r="L120" s="52">
        <v>1125956</v>
      </c>
      <c r="M120" s="122">
        <v>137273</v>
      </c>
      <c r="N120" s="280">
        <f>+L120/M120</f>
        <v>8.202312180836726</v>
      </c>
      <c r="O120" s="351">
        <v>1</v>
      </c>
    </row>
    <row r="121" spans="1:15" ht="15">
      <c r="A121" s="104">
        <v>118</v>
      </c>
      <c r="B121" s="219" t="s">
        <v>67</v>
      </c>
      <c r="C121" s="46">
        <v>40165</v>
      </c>
      <c r="D121" s="118" t="s">
        <v>165</v>
      </c>
      <c r="E121" s="133">
        <v>38</v>
      </c>
      <c r="F121" s="133">
        <v>2</v>
      </c>
      <c r="G121" s="133">
        <v>18</v>
      </c>
      <c r="H121" s="337">
        <v>1330</v>
      </c>
      <c r="I121" s="338">
        <v>186</v>
      </c>
      <c r="J121" s="122">
        <f>IF(H121&lt;&gt;0,I121/F121,"")</f>
        <v>93</v>
      </c>
      <c r="K121" s="53">
        <f>IF(H121&lt;&gt;0,H121/I121,"")</f>
        <v>7.150537634408602</v>
      </c>
      <c r="L121" s="52">
        <v>1127286</v>
      </c>
      <c r="M121" s="122">
        <v>137459</v>
      </c>
      <c r="N121" s="280">
        <f>IF(L121&lt;&gt;0,L121/M121,"")</f>
        <v>8.200888992354084</v>
      </c>
      <c r="O121" s="203">
        <v>1</v>
      </c>
    </row>
    <row r="122" spans="1:15" ht="15">
      <c r="A122" s="104">
        <v>119</v>
      </c>
      <c r="B122" s="222" t="s">
        <v>26</v>
      </c>
      <c r="C122" s="46">
        <v>39850</v>
      </c>
      <c r="D122" s="79" t="s">
        <v>162</v>
      </c>
      <c r="E122" s="138">
        <v>78</v>
      </c>
      <c r="F122" s="138">
        <v>1</v>
      </c>
      <c r="G122" s="138">
        <v>48</v>
      </c>
      <c r="H122" s="49">
        <v>609</v>
      </c>
      <c r="I122" s="50">
        <v>280</v>
      </c>
      <c r="J122" s="122">
        <f>I122/F122</f>
        <v>280</v>
      </c>
      <c r="K122" s="53">
        <f>+H122/I122</f>
        <v>2.175</v>
      </c>
      <c r="L122" s="52">
        <v>905076</v>
      </c>
      <c r="M122" s="122">
        <v>98834</v>
      </c>
      <c r="N122" s="220">
        <f>IF(L123&lt;&gt;0,L123/M123,"")</f>
        <v>8.236520191910527</v>
      </c>
      <c r="O122" s="203"/>
    </row>
    <row r="123" spans="1:15" ht="15">
      <c r="A123" s="104">
        <v>120</v>
      </c>
      <c r="B123" s="219" t="s">
        <v>240</v>
      </c>
      <c r="C123" s="29">
        <v>40053</v>
      </c>
      <c r="D123" s="37" t="s">
        <v>162</v>
      </c>
      <c r="E123" s="137">
        <v>82</v>
      </c>
      <c r="F123" s="137">
        <v>1</v>
      </c>
      <c r="G123" s="137">
        <v>32</v>
      </c>
      <c r="H123" s="31">
        <v>609</v>
      </c>
      <c r="I123" s="32">
        <v>280</v>
      </c>
      <c r="J123" s="33">
        <f>I123/F123</f>
        <v>280</v>
      </c>
      <c r="K123" s="38">
        <f>+H123/I123</f>
        <v>2.175</v>
      </c>
      <c r="L123" s="35">
        <v>518456</v>
      </c>
      <c r="M123" s="36">
        <v>62946</v>
      </c>
      <c r="N123" s="221">
        <f>+L124/M124</f>
        <v>8.219108239913863</v>
      </c>
      <c r="O123" s="201">
        <v>1</v>
      </c>
    </row>
    <row r="124" spans="1:15" ht="15">
      <c r="A124" s="104">
        <v>121</v>
      </c>
      <c r="B124" s="219" t="s">
        <v>240</v>
      </c>
      <c r="C124" s="46">
        <v>40053</v>
      </c>
      <c r="D124" s="39" t="s">
        <v>162</v>
      </c>
      <c r="E124" s="133">
        <v>82</v>
      </c>
      <c r="F124" s="133">
        <v>1</v>
      </c>
      <c r="G124" s="133">
        <v>34</v>
      </c>
      <c r="H124" s="119">
        <v>630</v>
      </c>
      <c r="I124" s="120">
        <v>210</v>
      </c>
      <c r="J124" s="122">
        <f>I124/F124</f>
        <v>210</v>
      </c>
      <c r="K124" s="53">
        <f>H124/I124</f>
        <v>3</v>
      </c>
      <c r="L124" s="52">
        <v>519086</v>
      </c>
      <c r="M124" s="122">
        <v>63156</v>
      </c>
      <c r="N124" s="280">
        <f>+L124/M124</f>
        <v>8.219108239913863</v>
      </c>
      <c r="O124" s="352"/>
    </row>
    <row r="125" spans="1:15" ht="15">
      <c r="A125" s="104">
        <v>122</v>
      </c>
      <c r="B125" s="222" t="s">
        <v>125</v>
      </c>
      <c r="C125" s="46">
        <v>39808</v>
      </c>
      <c r="D125" s="37" t="s">
        <v>162</v>
      </c>
      <c r="E125" s="138">
        <v>112</v>
      </c>
      <c r="F125" s="138">
        <v>1</v>
      </c>
      <c r="G125" s="138">
        <v>58</v>
      </c>
      <c r="H125" s="76">
        <v>608</v>
      </c>
      <c r="I125" s="77">
        <v>280</v>
      </c>
      <c r="J125" s="101">
        <f>I125/F125</f>
        <v>280</v>
      </c>
      <c r="K125" s="51">
        <f>+H125/I125</f>
        <v>2.1714285714285713</v>
      </c>
      <c r="L125" s="78">
        <v>2069368</v>
      </c>
      <c r="M125" s="101">
        <v>218919</v>
      </c>
      <c r="N125" s="220">
        <f>L126/M126</f>
        <v>8.797656619851665</v>
      </c>
      <c r="O125" s="199">
        <v>1</v>
      </c>
    </row>
    <row r="126" spans="1:15" ht="15">
      <c r="A126" s="104">
        <v>123</v>
      </c>
      <c r="B126" s="222" t="s">
        <v>95</v>
      </c>
      <c r="C126" s="46">
        <v>40130</v>
      </c>
      <c r="D126" s="47" t="s">
        <v>163</v>
      </c>
      <c r="E126" s="138">
        <v>13</v>
      </c>
      <c r="F126" s="138">
        <v>4</v>
      </c>
      <c r="G126" s="138">
        <v>9</v>
      </c>
      <c r="H126" s="31">
        <v>1678.5</v>
      </c>
      <c r="I126" s="32">
        <v>334</v>
      </c>
      <c r="J126" s="33">
        <f>(I126/F126)</f>
        <v>83.5</v>
      </c>
      <c r="K126" s="38">
        <f>H126/I126</f>
        <v>5.025449101796407</v>
      </c>
      <c r="L126" s="35">
        <f>61012+24426+6122+10040+4081+228+2698+1216+1678.5</f>
        <v>111501.5</v>
      </c>
      <c r="M126" s="36">
        <f>5982+2401+678+1620+879+42+433+305+334</f>
        <v>12674</v>
      </c>
      <c r="N126" s="220">
        <f>L127/M127</f>
        <v>8.680434949665718</v>
      </c>
      <c r="O126" s="208">
        <v>1</v>
      </c>
    </row>
    <row r="127" spans="1:15" ht="15">
      <c r="A127" s="104">
        <v>124</v>
      </c>
      <c r="B127" s="223" t="s">
        <v>95</v>
      </c>
      <c r="C127" s="62">
        <v>40130</v>
      </c>
      <c r="D127" s="63" t="s">
        <v>163</v>
      </c>
      <c r="E127" s="139">
        <v>13</v>
      </c>
      <c r="F127" s="139">
        <v>2</v>
      </c>
      <c r="G127" s="139">
        <v>10</v>
      </c>
      <c r="H127" s="31">
        <v>1457</v>
      </c>
      <c r="I127" s="40">
        <v>339</v>
      </c>
      <c r="J127" s="41">
        <f>(I127/F127)</f>
        <v>169.5</v>
      </c>
      <c r="K127" s="34">
        <f>H127/I127</f>
        <v>4.297935103244837</v>
      </c>
      <c r="L127" s="35">
        <f>61012+24426+6122+10040+4081+228+2698+1216+1678.5+1457</f>
        <v>112958.5</v>
      </c>
      <c r="M127" s="42">
        <f>5982+2401+678+1620+879+42+433+305+334+339</f>
        <v>13013</v>
      </c>
      <c r="N127" s="220">
        <f>L128/M128</f>
        <v>8.899756888168557</v>
      </c>
      <c r="O127" s="201">
        <v>1</v>
      </c>
    </row>
    <row r="128" spans="1:15" ht="15">
      <c r="A128" s="104">
        <v>125</v>
      </c>
      <c r="B128" s="222" t="s">
        <v>95</v>
      </c>
      <c r="C128" s="46">
        <v>40130</v>
      </c>
      <c r="D128" s="48" t="s">
        <v>163</v>
      </c>
      <c r="E128" s="138">
        <v>13</v>
      </c>
      <c r="F128" s="138">
        <v>2</v>
      </c>
      <c r="G128" s="138">
        <v>8</v>
      </c>
      <c r="H128" s="31">
        <v>1216</v>
      </c>
      <c r="I128" s="32">
        <v>305</v>
      </c>
      <c r="J128" s="33">
        <f>(I128/F128)</f>
        <v>152.5</v>
      </c>
      <c r="K128" s="34">
        <f>H128/I128</f>
        <v>3.9868852459016395</v>
      </c>
      <c r="L128" s="35">
        <f>61012+24426+6122+10040+4081+228+2698+1216</f>
        <v>109823</v>
      </c>
      <c r="M128" s="36">
        <f>5982+2401+678+1620+879+42+433+305</f>
        <v>12340</v>
      </c>
      <c r="N128" s="221">
        <f>L129/M129</f>
        <v>8.566458552730555</v>
      </c>
      <c r="O128" s="200"/>
    </row>
    <row r="129" spans="1:15" ht="15">
      <c r="A129" s="104">
        <v>126</v>
      </c>
      <c r="B129" s="222" t="s">
        <v>95</v>
      </c>
      <c r="C129" s="117">
        <v>40130</v>
      </c>
      <c r="D129" s="37" t="s">
        <v>163</v>
      </c>
      <c r="E129" s="133">
        <v>13</v>
      </c>
      <c r="F129" s="133">
        <v>1</v>
      </c>
      <c r="G129" s="133">
        <v>12</v>
      </c>
      <c r="H129" s="119">
        <v>472</v>
      </c>
      <c r="I129" s="120">
        <v>86</v>
      </c>
      <c r="J129" s="122">
        <f>(I129/F129)</f>
        <v>86</v>
      </c>
      <c r="K129" s="53">
        <f>H129/I129</f>
        <v>5.488372093023256</v>
      </c>
      <c r="L129" s="52">
        <f>61012+24426+6122+10040+4081+228+2698+1216+1678.5+1457+452+472</f>
        <v>113882.5</v>
      </c>
      <c r="M129" s="122">
        <f>5982+2401+678+1620+879+42+433+305+334+339+195+86</f>
        <v>13294</v>
      </c>
      <c r="N129" s="220">
        <f>L130/M130</f>
        <v>8.58650060569352</v>
      </c>
      <c r="O129" s="204"/>
    </row>
    <row r="130" spans="1:15" ht="15">
      <c r="A130" s="104">
        <v>127</v>
      </c>
      <c r="B130" s="222" t="s">
        <v>95</v>
      </c>
      <c r="C130" s="46">
        <v>40130</v>
      </c>
      <c r="D130" s="48" t="s">
        <v>163</v>
      </c>
      <c r="E130" s="138">
        <v>13</v>
      </c>
      <c r="F130" s="138">
        <v>1</v>
      </c>
      <c r="G130" s="138">
        <v>11</v>
      </c>
      <c r="H130" s="44">
        <v>452</v>
      </c>
      <c r="I130" s="40">
        <v>195</v>
      </c>
      <c r="J130" s="41">
        <f>(I130/F130)</f>
        <v>195</v>
      </c>
      <c r="K130" s="34">
        <f>H130/I130</f>
        <v>2.317948717948718</v>
      </c>
      <c r="L130" s="45">
        <f>61012+24426+6122+10040+4081+228+2698+1216+1678.5+1457+452</f>
        <v>113410.5</v>
      </c>
      <c r="M130" s="42">
        <f>5982+2401+678+1620+879+42+433+305+334+339+195</f>
        <v>13208</v>
      </c>
      <c r="N130" s="224">
        <f>IF(L131&lt;&gt;0,L131/M131,"")</f>
        <v>8.493867158671586</v>
      </c>
      <c r="O130" s="201"/>
    </row>
    <row r="131" spans="1:15" ht="15">
      <c r="A131" s="104">
        <v>128</v>
      </c>
      <c r="B131" s="219" t="s">
        <v>95</v>
      </c>
      <c r="C131" s="46">
        <v>40130</v>
      </c>
      <c r="D131" s="37" t="s">
        <v>163</v>
      </c>
      <c r="E131" s="133">
        <v>13</v>
      </c>
      <c r="F131" s="133">
        <v>1</v>
      </c>
      <c r="G131" s="133">
        <v>13</v>
      </c>
      <c r="H131" s="119">
        <v>1209.4</v>
      </c>
      <c r="I131" s="120">
        <v>256</v>
      </c>
      <c r="J131" s="122">
        <f>I131/F131</f>
        <v>256</v>
      </c>
      <c r="K131" s="53">
        <f>+H131/I131</f>
        <v>4.72421875</v>
      </c>
      <c r="L131" s="52">
        <f>61012+24426+6122+10040+4081+228+2698+1216+1678.5+1457+452+472+1209.4</f>
        <v>115091.9</v>
      </c>
      <c r="M131" s="122">
        <f>5982+2401+678+1620+879+42+433+305+334+339+195+86+256</f>
        <v>13550</v>
      </c>
      <c r="N131" s="280">
        <f>+L131/M131</f>
        <v>8.493867158671586</v>
      </c>
      <c r="O131" s="203">
        <v>1</v>
      </c>
    </row>
    <row r="132" spans="1:15" ht="15">
      <c r="A132" s="104">
        <v>129</v>
      </c>
      <c r="B132" s="219" t="s">
        <v>95</v>
      </c>
      <c r="C132" s="46">
        <v>40130</v>
      </c>
      <c r="D132" s="37" t="s">
        <v>163</v>
      </c>
      <c r="E132" s="133">
        <v>13</v>
      </c>
      <c r="F132" s="133">
        <v>1</v>
      </c>
      <c r="G132" s="133">
        <v>14</v>
      </c>
      <c r="H132" s="337">
        <v>1001.04</v>
      </c>
      <c r="I132" s="338">
        <v>229</v>
      </c>
      <c r="J132" s="122">
        <f>(I132/F132)</f>
        <v>229</v>
      </c>
      <c r="K132" s="53">
        <f>H132/I132</f>
        <v>4.371353711790393</v>
      </c>
      <c r="L132" s="52">
        <f>61012+24426+6122+10040+4081+228+2698+1216+1678.5+1457+452+472+1209.4+1001.04</f>
        <v>116092.93999999999</v>
      </c>
      <c r="M132" s="122">
        <f>5982+2401+678+1620+879+42+433+305+334+339+195+86+256+229</f>
        <v>13779</v>
      </c>
      <c r="N132" s="280">
        <f>L132/M132</f>
        <v>8.425353073517671</v>
      </c>
      <c r="O132" s="203">
        <v>1</v>
      </c>
    </row>
    <row r="133" spans="1:15" ht="15">
      <c r="A133" s="104">
        <v>130</v>
      </c>
      <c r="B133" s="219" t="s">
        <v>101</v>
      </c>
      <c r="C133" s="29">
        <v>40158</v>
      </c>
      <c r="D133" s="37" t="s">
        <v>165</v>
      </c>
      <c r="E133" s="137">
        <v>6</v>
      </c>
      <c r="F133" s="137">
        <v>3</v>
      </c>
      <c r="G133" s="137">
        <v>4</v>
      </c>
      <c r="H133" s="54">
        <v>1098</v>
      </c>
      <c r="I133" s="59">
        <v>177</v>
      </c>
      <c r="J133" s="60">
        <f>IF(H133&lt;&gt;0,I133/F133,"")</f>
        <v>59</v>
      </c>
      <c r="K133" s="61">
        <f>IF(H133&lt;&gt;0,H133/I133,"")</f>
        <v>6.203389830508475</v>
      </c>
      <c r="L133" s="58">
        <v>48973</v>
      </c>
      <c r="M133" s="122">
        <v>4330</v>
      </c>
      <c r="N133" s="221">
        <f>+L134/M134</f>
        <v>10.9223818854779</v>
      </c>
      <c r="O133" s="201"/>
    </row>
    <row r="134" spans="1:15" ht="15">
      <c r="A134" s="104">
        <v>131</v>
      </c>
      <c r="B134" s="222" t="s">
        <v>101</v>
      </c>
      <c r="C134" s="46">
        <v>40158</v>
      </c>
      <c r="D134" s="37" t="s">
        <v>165</v>
      </c>
      <c r="E134" s="138">
        <v>6</v>
      </c>
      <c r="F134" s="138">
        <v>1</v>
      </c>
      <c r="G134" s="138">
        <v>7</v>
      </c>
      <c r="H134" s="115">
        <v>629.5</v>
      </c>
      <c r="I134" s="116">
        <v>173</v>
      </c>
      <c r="J134" s="122">
        <f>I134/F134</f>
        <v>173</v>
      </c>
      <c r="K134" s="53">
        <f>H134/I134</f>
        <v>3.638728323699422</v>
      </c>
      <c r="L134" s="52">
        <v>50166.5</v>
      </c>
      <c r="M134" s="122">
        <v>4593</v>
      </c>
      <c r="N134" s="224">
        <f>IF(L135&lt;&gt;0,L135/M135,"")</f>
        <v>11.23323482609684</v>
      </c>
      <c r="O134" s="201"/>
    </row>
    <row r="135" spans="1:15" ht="15">
      <c r="A135" s="104">
        <v>132</v>
      </c>
      <c r="B135" s="219" t="s">
        <v>101</v>
      </c>
      <c r="C135" s="29">
        <v>40158</v>
      </c>
      <c r="D135" s="37" t="s">
        <v>165</v>
      </c>
      <c r="E135" s="137">
        <v>6</v>
      </c>
      <c r="F135" s="137">
        <v>4</v>
      </c>
      <c r="G135" s="137">
        <v>5</v>
      </c>
      <c r="H135" s="54">
        <v>442</v>
      </c>
      <c r="I135" s="55">
        <v>69</v>
      </c>
      <c r="J135" s="56">
        <f>IF(H135&lt;&gt;0,I135/F135,"")</f>
        <v>17.25</v>
      </c>
      <c r="K135" s="57">
        <f>IF(H135&lt;&gt;0,H135/I135,"")</f>
        <v>6.405797101449275</v>
      </c>
      <c r="L135" s="58">
        <v>49415</v>
      </c>
      <c r="M135" s="101">
        <v>4399</v>
      </c>
      <c r="N135" s="221">
        <f>IF(L136&lt;&gt;0,L136/M136,"")</f>
        <v>11.207466063348416</v>
      </c>
      <c r="O135" s="199"/>
    </row>
    <row r="136" spans="1:15" ht="15">
      <c r="A136" s="104">
        <v>133</v>
      </c>
      <c r="B136" s="222" t="s">
        <v>101</v>
      </c>
      <c r="C136" s="46">
        <v>40158</v>
      </c>
      <c r="D136" s="37" t="s">
        <v>165</v>
      </c>
      <c r="E136" s="138">
        <v>6</v>
      </c>
      <c r="F136" s="138">
        <v>1</v>
      </c>
      <c r="G136" s="138">
        <v>6</v>
      </c>
      <c r="H136" s="111">
        <v>122</v>
      </c>
      <c r="I136" s="112">
        <v>21</v>
      </c>
      <c r="J136" s="101">
        <f>IF(H136&lt;&gt;0,I136/F136,"")</f>
        <v>21</v>
      </c>
      <c r="K136" s="51">
        <f>IF(H136&lt;&gt;0,H136/I136,"")</f>
        <v>5.809523809523809</v>
      </c>
      <c r="L136" s="78">
        <v>49537</v>
      </c>
      <c r="M136" s="101">
        <v>4420</v>
      </c>
      <c r="N136" s="221">
        <f>+L137/M137</f>
        <v>10.791966935142009</v>
      </c>
      <c r="O136" s="200"/>
    </row>
    <row r="137" spans="1:15" ht="15">
      <c r="A137" s="104">
        <v>134</v>
      </c>
      <c r="B137" s="227" t="s">
        <v>101</v>
      </c>
      <c r="C137" s="117">
        <v>40158</v>
      </c>
      <c r="D137" s="118" t="s">
        <v>165</v>
      </c>
      <c r="E137" s="133">
        <v>6</v>
      </c>
      <c r="F137" s="133">
        <v>1</v>
      </c>
      <c r="G137" s="133">
        <v>8</v>
      </c>
      <c r="H137" s="119">
        <v>750</v>
      </c>
      <c r="I137" s="120">
        <v>125</v>
      </c>
      <c r="J137" s="122">
        <f>I137/F137</f>
        <v>125</v>
      </c>
      <c r="K137" s="53">
        <f>H137/I137</f>
        <v>6</v>
      </c>
      <c r="L137" s="52">
        <v>50916.5</v>
      </c>
      <c r="M137" s="122">
        <v>4718</v>
      </c>
      <c r="N137" s="224">
        <f>IF(L138&lt;&gt;0,L138/M138,"")</f>
        <v>8.973155655454764</v>
      </c>
      <c r="O137" s="201"/>
    </row>
    <row r="138" spans="1:15" ht="15">
      <c r="A138" s="104">
        <v>135</v>
      </c>
      <c r="B138" s="219" t="s">
        <v>21</v>
      </c>
      <c r="C138" s="29">
        <v>40074</v>
      </c>
      <c r="D138" s="37" t="s">
        <v>165</v>
      </c>
      <c r="E138" s="137">
        <v>65</v>
      </c>
      <c r="F138" s="137">
        <v>2</v>
      </c>
      <c r="G138" s="137">
        <v>11</v>
      </c>
      <c r="H138" s="54">
        <v>448</v>
      </c>
      <c r="I138" s="55">
        <v>83</v>
      </c>
      <c r="J138" s="56">
        <f>IF(H138&lt;&gt;0,I138/F138,"")</f>
        <v>41.5</v>
      </c>
      <c r="K138" s="57">
        <f>IF(H138&lt;&gt;0,H138/I138,"")</f>
        <v>5.397590361445783</v>
      </c>
      <c r="L138" s="58">
        <v>558893</v>
      </c>
      <c r="M138" s="101">
        <v>62285</v>
      </c>
      <c r="N138" s="221">
        <f>IF(L139&lt;&gt;0,L139/M139,"")</f>
        <v>8.970302427760496</v>
      </c>
      <c r="O138" s="199"/>
    </row>
    <row r="139" spans="1:15" ht="15">
      <c r="A139" s="104">
        <v>136</v>
      </c>
      <c r="B139" s="222" t="s">
        <v>21</v>
      </c>
      <c r="C139" s="46">
        <v>40074</v>
      </c>
      <c r="D139" s="37" t="s">
        <v>165</v>
      </c>
      <c r="E139" s="138">
        <v>65</v>
      </c>
      <c r="F139" s="138">
        <v>1</v>
      </c>
      <c r="G139" s="138">
        <v>12</v>
      </c>
      <c r="H139" s="115">
        <v>433</v>
      </c>
      <c r="I139" s="116">
        <v>61</v>
      </c>
      <c r="J139" s="122">
        <f>IF(H139&lt;&gt;0,I139/F139,"")</f>
        <v>61</v>
      </c>
      <c r="K139" s="53">
        <f>IF(H139&lt;&gt;0,H139/I139,"")</f>
        <v>7.098360655737705</v>
      </c>
      <c r="L139" s="52">
        <v>559406</v>
      </c>
      <c r="M139" s="122">
        <v>62362</v>
      </c>
      <c r="N139" s="221">
        <f>+L140/M140</f>
        <v>8.968447185072476</v>
      </c>
      <c r="O139" s="202"/>
    </row>
    <row r="140" spans="1:15" ht="15">
      <c r="A140" s="104">
        <v>137</v>
      </c>
      <c r="B140" s="219" t="s">
        <v>21</v>
      </c>
      <c r="C140" s="46">
        <v>40074</v>
      </c>
      <c r="D140" s="118" t="s">
        <v>165</v>
      </c>
      <c r="E140" s="133">
        <v>65</v>
      </c>
      <c r="F140" s="133">
        <v>1</v>
      </c>
      <c r="G140" s="133">
        <v>13</v>
      </c>
      <c r="H140" s="119">
        <v>539</v>
      </c>
      <c r="I140" s="120">
        <v>73</v>
      </c>
      <c r="J140" s="122">
        <f aca="true" t="shared" si="15" ref="J140:J163">I140/F140</f>
        <v>73</v>
      </c>
      <c r="K140" s="53">
        <f>+H140/I140</f>
        <v>7.383561643835616</v>
      </c>
      <c r="L140" s="52">
        <v>559945</v>
      </c>
      <c r="M140" s="122">
        <v>62435</v>
      </c>
      <c r="N140" s="280">
        <f>+L140/M140</f>
        <v>8.968447185072476</v>
      </c>
      <c r="O140" s="203"/>
    </row>
    <row r="141" spans="1:15" ht="15">
      <c r="A141" s="104">
        <v>138</v>
      </c>
      <c r="B141" s="227" t="s">
        <v>255</v>
      </c>
      <c r="C141" s="46">
        <v>39682</v>
      </c>
      <c r="D141" s="47" t="s">
        <v>49</v>
      </c>
      <c r="E141" s="133"/>
      <c r="F141" s="133">
        <v>2</v>
      </c>
      <c r="G141" s="133">
        <v>16</v>
      </c>
      <c r="H141" s="119">
        <v>4320</v>
      </c>
      <c r="I141" s="120">
        <v>783</v>
      </c>
      <c r="J141" s="122">
        <f t="shared" si="15"/>
        <v>391.5</v>
      </c>
      <c r="K141" s="53">
        <f>H141/I141</f>
        <v>5.517241379310345</v>
      </c>
      <c r="L141" s="52">
        <f>111737+37434.5+11042+9412+0.5+6921+5282+0.5+1449+105+269+162+117+442+7259+305+4320</f>
        <v>196257.5</v>
      </c>
      <c r="M141" s="122">
        <f>13345+4357+1377+1694+1346+1248+225+18+64+40+37+108+2420+61+783</f>
        <v>27123</v>
      </c>
      <c r="N141" s="280">
        <f>+L141/M141</f>
        <v>7.235833056815249</v>
      </c>
      <c r="O141" s="353"/>
    </row>
    <row r="142" spans="1:15" ht="15">
      <c r="A142" s="104">
        <v>139</v>
      </c>
      <c r="B142" s="222" t="s">
        <v>54</v>
      </c>
      <c r="C142" s="46">
        <v>40137</v>
      </c>
      <c r="D142" s="79" t="s">
        <v>162</v>
      </c>
      <c r="E142" s="138">
        <v>61</v>
      </c>
      <c r="F142" s="138">
        <v>4</v>
      </c>
      <c r="G142" s="138">
        <v>8</v>
      </c>
      <c r="H142" s="49">
        <v>2148</v>
      </c>
      <c r="I142" s="50">
        <v>594</v>
      </c>
      <c r="J142" s="122">
        <f t="shared" si="15"/>
        <v>148.5</v>
      </c>
      <c r="K142" s="53">
        <f>+H142/I142</f>
        <v>3.6161616161616164</v>
      </c>
      <c r="L142" s="52">
        <v>458401</v>
      </c>
      <c r="M142" s="122">
        <v>42433</v>
      </c>
      <c r="N142" s="221">
        <f aca="true" t="shared" si="16" ref="N142:N156">+L143/M143</f>
        <v>10.786334820380372</v>
      </c>
      <c r="O142" s="201"/>
    </row>
    <row r="143" spans="1:15" ht="15">
      <c r="A143" s="104">
        <v>140</v>
      </c>
      <c r="B143" s="222" t="s">
        <v>54</v>
      </c>
      <c r="C143" s="46">
        <v>40137</v>
      </c>
      <c r="D143" s="79" t="s">
        <v>162</v>
      </c>
      <c r="E143" s="138">
        <v>61</v>
      </c>
      <c r="F143" s="138">
        <v>1</v>
      </c>
      <c r="G143" s="138">
        <v>9</v>
      </c>
      <c r="H143" s="49">
        <v>989</v>
      </c>
      <c r="I143" s="77">
        <v>157</v>
      </c>
      <c r="J143" s="101">
        <f t="shared" si="15"/>
        <v>157</v>
      </c>
      <c r="K143" s="51">
        <f>+H143/I143</f>
        <v>6.2993630573248405</v>
      </c>
      <c r="L143" s="52">
        <v>459390</v>
      </c>
      <c r="M143" s="101">
        <v>42590</v>
      </c>
      <c r="N143" s="229">
        <f t="shared" si="16"/>
        <v>10.9049690480174</v>
      </c>
      <c r="O143" s="201"/>
    </row>
    <row r="144" spans="1:15" ht="15">
      <c r="A144" s="104">
        <v>141</v>
      </c>
      <c r="B144" s="228" t="s">
        <v>54</v>
      </c>
      <c r="C144" s="80">
        <v>40137</v>
      </c>
      <c r="D144" s="81" t="s">
        <v>162</v>
      </c>
      <c r="E144" s="141">
        <v>61</v>
      </c>
      <c r="F144" s="141">
        <v>1</v>
      </c>
      <c r="G144" s="141">
        <v>7</v>
      </c>
      <c r="H144" s="82">
        <v>768</v>
      </c>
      <c r="I144" s="98">
        <v>63</v>
      </c>
      <c r="J144" s="83">
        <f t="shared" si="15"/>
        <v>63</v>
      </c>
      <c r="K144" s="85">
        <f>+H144/I144</f>
        <v>12.19047619047619</v>
      </c>
      <c r="L144" s="84">
        <v>456253</v>
      </c>
      <c r="M144" s="83">
        <v>41839</v>
      </c>
      <c r="N144" s="221">
        <f t="shared" si="16"/>
        <v>12.07937714967594</v>
      </c>
      <c r="O144" s="199"/>
    </row>
    <row r="145" spans="1:15" ht="15">
      <c r="A145" s="104">
        <v>142</v>
      </c>
      <c r="B145" s="219" t="s">
        <v>55</v>
      </c>
      <c r="C145" s="46">
        <v>40137</v>
      </c>
      <c r="D145" s="37" t="s">
        <v>161</v>
      </c>
      <c r="E145" s="138">
        <v>20</v>
      </c>
      <c r="F145" s="138">
        <v>2</v>
      </c>
      <c r="G145" s="138">
        <v>11</v>
      </c>
      <c r="H145" s="76">
        <v>12778</v>
      </c>
      <c r="I145" s="77">
        <v>1094</v>
      </c>
      <c r="J145" s="101">
        <f t="shared" si="15"/>
        <v>547</v>
      </c>
      <c r="K145" s="51">
        <f aca="true" t="shared" si="17" ref="K145:K160">H145/I145</f>
        <v>11.680073126142595</v>
      </c>
      <c r="L145" s="78">
        <f>997860+4193+617+10063+7010+12778</f>
        <v>1032521</v>
      </c>
      <c r="M145" s="101">
        <f>81544+595+106+1265+874+1094</f>
        <v>85478</v>
      </c>
      <c r="N145" s="220">
        <f t="shared" si="16"/>
        <v>12.12708657645791</v>
      </c>
      <c r="O145" s="203"/>
    </row>
    <row r="146" spans="1:15" ht="15">
      <c r="A146" s="104">
        <v>143</v>
      </c>
      <c r="B146" s="219" t="s">
        <v>55</v>
      </c>
      <c r="C146" s="29">
        <v>40137</v>
      </c>
      <c r="D146" s="39" t="s">
        <v>161</v>
      </c>
      <c r="E146" s="137">
        <v>20</v>
      </c>
      <c r="F146" s="137">
        <v>2</v>
      </c>
      <c r="G146" s="137">
        <v>9</v>
      </c>
      <c r="H146" s="31">
        <v>10063</v>
      </c>
      <c r="I146" s="40">
        <v>1265</v>
      </c>
      <c r="J146" s="41">
        <f t="shared" si="15"/>
        <v>632.5</v>
      </c>
      <c r="K146" s="34">
        <f t="shared" si="17"/>
        <v>7.95494071146245</v>
      </c>
      <c r="L146" s="35">
        <f>997860+4193+617+10063</f>
        <v>1012733</v>
      </c>
      <c r="M146" s="42">
        <f>81544+595+106+1265</f>
        <v>83510</v>
      </c>
      <c r="N146" s="220">
        <f t="shared" si="16"/>
        <v>12.084553943875616</v>
      </c>
      <c r="O146" s="203"/>
    </row>
    <row r="147" spans="1:15" ht="15">
      <c r="A147" s="104">
        <v>144</v>
      </c>
      <c r="B147" s="219" t="s">
        <v>55</v>
      </c>
      <c r="C147" s="29">
        <v>40137</v>
      </c>
      <c r="D147" s="43" t="s">
        <v>161</v>
      </c>
      <c r="E147" s="137">
        <v>20</v>
      </c>
      <c r="F147" s="137">
        <v>2</v>
      </c>
      <c r="G147" s="137">
        <v>10</v>
      </c>
      <c r="H147" s="44">
        <v>7010</v>
      </c>
      <c r="I147" s="40">
        <v>874</v>
      </c>
      <c r="J147" s="41">
        <f t="shared" si="15"/>
        <v>437</v>
      </c>
      <c r="K147" s="34">
        <f t="shared" si="17"/>
        <v>8.020594965675057</v>
      </c>
      <c r="L147" s="45">
        <f>997860+4193+617+10063+7010</f>
        <v>1019743</v>
      </c>
      <c r="M147" s="42">
        <f>81544+595+106+1265+874</f>
        <v>84384</v>
      </c>
      <c r="N147" s="220">
        <f t="shared" si="16"/>
        <v>12.1994789320542</v>
      </c>
      <c r="O147" s="200"/>
    </row>
    <row r="148" spans="1:15" ht="15">
      <c r="A148" s="104">
        <v>145</v>
      </c>
      <c r="B148" s="219" t="s">
        <v>55</v>
      </c>
      <c r="C148" s="29">
        <v>40137</v>
      </c>
      <c r="D148" s="30" t="s">
        <v>161</v>
      </c>
      <c r="E148" s="137">
        <v>20</v>
      </c>
      <c r="F148" s="137">
        <v>1</v>
      </c>
      <c r="G148" s="137">
        <v>7</v>
      </c>
      <c r="H148" s="31">
        <v>4193</v>
      </c>
      <c r="I148" s="32">
        <v>595</v>
      </c>
      <c r="J148" s="33">
        <f t="shared" si="15"/>
        <v>595</v>
      </c>
      <c r="K148" s="34">
        <f t="shared" si="17"/>
        <v>7.047058823529412</v>
      </c>
      <c r="L148" s="35">
        <f>997860+4193</f>
        <v>1002053</v>
      </c>
      <c r="M148" s="36">
        <f>81544+595</f>
        <v>82139</v>
      </c>
      <c r="N148" s="221">
        <f t="shared" si="16"/>
        <v>12.03598517847394</v>
      </c>
      <c r="O148" s="199"/>
    </row>
    <row r="149" spans="1:15" ht="15">
      <c r="A149" s="104">
        <v>146</v>
      </c>
      <c r="B149" s="222" t="s">
        <v>55</v>
      </c>
      <c r="C149" s="117">
        <v>40137</v>
      </c>
      <c r="D149" s="37" t="s">
        <v>161</v>
      </c>
      <c r="E149" s="133">
        <v>20</v>
      </c>
      <c r="F149" s="133">
        <v>1</v>
      </c>
      <c r="G149" s="133">
        <v>16</v>
      </c>
      <c r="H149" s="119">
        <v>1595</v>
      </c>
      <c r="I149" s="120">
        <v>247</v>
      </c>
      <c r="J149" s="122">
        <f t="shared" si="15"/>
        <v>247</v>
      </c>
      <c r="K149" s="53">
        <f t="shared" si="17"/>
        <v>6.4574898785425106</v>
      </c>
      <c r="L149" s="52">
        <f>1034595+1595</f>
        <v>1036190</v>
      </c>
      <c r="M149" s="122">
        <f>85844+247</f>
        <v>86091</v>
      </c>
      <c r="N149" s="221">
        <f t="shared" si="16"/>
        <v>12.053447833888747</v>
      </c>
      <c r="O149" s="201"/>
    </row>
    <row r="150" spans="1:15" ht="15">
      <c r="A150" s="104">
        <v>147</v>
      </c>
      <c r="B150" s="222" t="s">
        <v>55</v>
      </c>
      <c r="C150" s="46">
        <v>40137</v>
      </c>
      <c r="D150" s="37" t="s">
        <v>161</v>
      </c>
      <c r="E150" s="138">
        <v>20</v>
      </c>
      <c r="F150" s="138">
        <v>1</v>
      </c>
      <c r="G150" s="138">
        <v>14</v>
      </c>
      <c r="H150" s="115">
        <v>1190</v>
      </c>
      <c r="I150" s="116">
        <v>238</v>
      </c>
      <c r="J150" s="122">
        <f t="shared" si="15"/>
        <v>238</v>
      </c>
      <c r="K150" s="53">
        <f t="shared" si="17"/>
        <v>5</v>
      </c>
      <c r="L150" s="52">
        <v>1034451</v>
      </c>
      <c r="M150" s="122">
        <v>85822</v>
      </c>
      <c r="N150" s="220">
        <f t="shared" si="16"/>
        <v>12.19125782722354</v>
      </c>
      <c r="O150" s="208"/>
    </row>
    <row r="151" spans="1:15" ht="15">
      <c r="A151" s="104">
        <v>148</v>
      </c>
      <c r="B151" s="219" t="s">
        <v>55</v>
      </c>
      <c r="C151" s="29">
        <v>40137</v>
      </c>
      <c r="D151" s="37" t="s">
        <v>161</v>
      </c>
      <c r="E151" s="137">
        <v>20</v>
      </c>
      <c r="F151" s="137">
        <v>1</v>
      </c>
      <c r="G151" s="137">
        <v>8</v>
      </c>
      <c r="H151" s="31">
        <v>617</v>
      </c>
      <c r="I151" s="32">
        <v>106</v>
      </c>
      <c r="J151" s="33">
        <f t="shared" si="15"/>
        <v>106</v>
      </c>
      <c r="K151" s="38">
        <f t="shared" si="17"/>
        <v>5.820754716981132</v>
      </c>
      <c r="L151" s="35">
        <f>997860+4193+617</f>
        <v>1002670</v>
      </c>
      <c r="M151" s="36">
        <f>81544+595+106</f>
        <v>82245</v>
      </c>
      <c r="N151" s="221">
        <f t="shared" si="16"/>
        <v>12.073086090858105</v>
      </c>
      <c r="O151" s="199"/>
    </row>
    <row r="152" spans="1:15" ht="15">
      <c r="A152" s="104">
        <v>149</v>
      </c>
      <c r="B152" s="222" t="s">
        <v>55</v>
      </c>
      <c r="C152" s="46">
        <v>40137</v>
      </c>
      <c r="D152" s="37" t="s">
        <v>161</v>
      </c>
      <c r="E152" s="138">
        <v>20</v>
      </c>
      <c r="F152" s="138">
        <v>1</v>
      </c>
      <c r="G152" s="138">
        <v>13</v>
      </c>
      <c r="H152" s="115">
        <v>441</v>
      </c>
      <c r="I152" s="116">
        <v>63</v>
      </c>
      <c r="J152" s="122">
        <f t="shared" si="15"/>
        <v>63</v>
      </c>
      <c r="K152" s="53">
        <f t="shared" si="17"/>
        <v>7</v>
      </c>
      <c r="L152" s="52">
        <v>1033263</v>
      </c>
      <c r="M152" s="122">
        <v>85584</v>
      </c>
      <c r="N152" s="221">
        <f t="shared" si="16"/>
        <v>12.076823236398077</v>
      </c>
      <c r="O152" s="199"/>
    </row>
    <row r="153" spans="1:15" ht="15">
      <c r="A153" s="104">
        <v>150</v>
      </c>
      <c r="B153" s="222" t="s">
        <v>55</v>
      </c>
      <c r="C153" s="46">
        <v>40137</v>
      </c>
      <c r="D153" s="37" t="s">
        <v>161</v>
      </c>
      <c r="E153" s="138">
        <v>20</v>
      </c>
      <c r="F153" s="138">
        <v>1</v>
      </c>
      <c r="G153" s="138">
        <v>12</v>
      </c>
      <c r="H153" s="111">
        <v>301</v>
      </c>
      <c r="I153" s="112">
        <v>43</v>
      </c>
      <c r="J153" s="101">
        <f t="shared" si="15"/>
        <v>43</v>
      </c>
      <c r="K153" s="51">
        <f t="shared" si="17"/>
        <v>7</v>
      </c>
      <c r="L153" s="78">
        <f>1032521+301</f>
        <v>1032822</v>
      </c>
      <c r="M153" s="101">
        <f>85478+43</f>
        <v>85521</v>
      </c>
      <c r="N153" s="221">
        <f t="shared" si="16"/>
        <v>12.052036251805601</v>
      </c>
      <c r="O153" s="201"/>
    </row>
    <row r="154" spans="1:15" ht="15">
      <c r="A154" s="104">
        <v>151</v>
      </c>
      <c r="B154" s="222" t="s">
        <v>55</v>
      </c>
      <c r="C154" s="117">
        <v>40137</v>
      </c>
      <c r="D154" s="37" t="s">
        <v>161</v>
      </c>
      <c r="E154" s="133">
        <v>20</v>
      </c>
      <c r="F154" s="133">
        <v>1</v>
      </c>
      <c r="G154" s="133">
        <v>15</v>
      </c>
      <c r="H154" s="119">
        <v>144</v>
      </c>
      <c r="I154" s="120">
        <v>22</v>
      </c>
      <c r="J154" s="122">
        <f t="shared" si="15"/>
        <v>22</v>
      </c>
      <c r="K154" s="53">
        <f t="shared" si="17"/>
        <v>6.545454545454546</v>
      </c>
      <c r="L154" s="52">
        <v>1034595</v>
      </c>
      <c r="M154" s="122">
        <v>85844</v>
      </c>
      <c r="N154" s="221">
        <f t="shared" si="16"/>
        <v>12.032536273940801</v>
      </c>
      <c r="O154" s="199"/>
    </row>
    <row r="155" spans="1:15" ht="15">
      <c r="A155" s="104">
        <v>152</v>
      </c>
      <c r="B155" s="227" t="s">
        <v>55</v>
      </c>
      <c r="C155" s="117">
        <v>40137</v>
      </c>
      <c r="D155" s="37" t="s">
        <v>161</v>
      </c>
      <c r="E155" s="133">
        <v>20</v>
      </c>
      <c r="F155" s="133">
        <v>1</v>
      </c>
      <c r="G155" s="133">
        <v>17</v>
      </c>
      <c r="H155" s="119">
        <v>413</v>
      </c>
      <c r="I155" s="120">
        <v>59</v>
      </c>
      <c r="J155" s="122">
        <f t="shared" si="15"/>
        <v>59</v>
      </c>
      <c r="K155" s="53">
        <f t="shared" si="17"/>
        <v>7</v>
      </c>
      <c r="L155" s="52">
        <f>1034595+1595+413</f>
        <v>1036603</v>
      </c>
      <c r="M155" s="122">
        <f>85844+247+59</f>
        <v>86150</v>
      </c>
      <c r="N155" s="221">
        <f t="shared" si="16"/>
        <v>12.030573410994824</v>
      </c>
      <c r="O155" s="211"/>
    </row>
    <row r="156" spans="1:15" ht="15">
      <c r="A156" s="104">
        <v>153</v>
      </c>
      <c r="B156" s="227" t="s">
        <v>55</v>
      </c>
      <c r="C156" s="117">
        <v>40137</v>
      </c>
      <c r="D156" s="37" t="s">
        <v>161</v>
      </c>
      <c r="E156" s="133">
        <v>20</v>
      </c>
      <c r="F156" s="133">
        <v>1</v>
      </c>
      <c r="G156" s="133">
        <v>18</v>
      </c>
      <c r="H156" s="119">
        <v>264</v>
      </c>
      <c r="I156" s="120">
        <v>36</v>
      </c>
      <c r="J156" s="122">
        <f t="shared" si="15"/>
        <v>36</v>
      </c>
      <c r="K156" s="53">
        <f t="shared" si="17"/>
        <v>7.333333333333333</v>
      </c>
      <c r="L156" s="52">
        <f>1034595+1595+413+264</f>
        <v>1036867</v>
      </c>
      <c r="M156" s="122">
        <f>85844+247+59+36</f>
        <v>86186</v>
      </c>
      <c r="N156" s="220">
        <f t="shared" si="16"/>
        <v>12.016898148148147</v>
      </c>
      <c r="O156" s="203"/>
    </row>
    <row r="157" spans="1:15" ht="15">
      <c r="A157" s="104">
        <v>154</v>
      </c>
      <c r="B157" s="219" t="s">
        <v>55</v>
      </c>
      <c r="C157" s="29">
        <v>40137</v>
      </c>
      <c r="D157" s="39" t="s">
        <v>161</v>
      </c>
      <c r="E157" s="137">
        <v>20</v>
      </c>
      <c r="F157" s="137">
        <v>2</v>
      </c>
      <c r="G157" s="137">
        <v>19</v>
      </c>
      <c r="H157" s="31">
        <v>1393</v>
      </c>
      <c r="I157" s="40">
        <v>214</v>
      </c>
      <c r="J157" s="41">
        <f t="shared" si="15"/>
        <v>107</v>
      </c>
      <c r="K157" s="34">
        <f t="shared" si="17"/>
        <v>6.509345794392523</v>
      </c>
      <c r="L157" s="35">
        <f>1034595+1595+413+264+1393</f>
        <v>1038260</v>
      </c>
      <c r="M157" s="42">
        <f>85844+247+59+36+214</f>
        <v>86400</v>
      </c>
      <c r="N157" s="220">
        <f>IF(L158&lt;&gt;0,L158/M158,"")</f>
        <v>12.013664236954762</v>
      </c>
      <c r="O157" s="203"/>
    </row>
    <row r="158" spans="1:15" ht="15">
      <c r="A158" s="104">
        <v>155</v>
      </c>
      <c r="B158" s="219" t="s">
        <v>55</v>
      </c>
      <c r="C158" s="29">
        <v>40137</v>
      </c>
      <c r="D158" s="37" t="s">
        <v>161</v>
      </c>
      <c r="E158" s="137">
        <v>20</v>
      </c>
      <c r="F158" s="137">
        <v>1</v>
      </c>
      <c r="G158" s="137">
        <v>20</v>
      </c>
      <c r="H158" s="31">
        <v>81</v>
      </c>
      <c r="I158" s="32">
        <v>30</v>
      </c>
      <c r="J158" s="33">
        <f t="shared" si="15"/>
        <v>30</v>
      </c>
      <c r="K158" s="38">
        <f t="shared" si="17"/>
        <v>2.7</v>
      </c>
      <c r="L158" s="35">
        <f>1034595+1595+413+264+1393+81</f>
        <v>1038341</v>
      </c>
      <c r="M158" s="36">
        <f>85844+247+59+36+214+30</f>
        <v>86430</v>
      </c>
      <c r="N158" s="221">
        <f>L159/M159</f>
        <v>11.994403932247197</v>
      </c>
      <c r="O158" s="200"/>
    </row>
    <row r="159" spans="1:15" ht="15">
      <c r="A159" s="104">
        <v>156</v>
      </c>
      <c r="B159" s="227" t="s">
        <v>55</v>
      </c>
      <c r="C159" s="46">
        <v>40137</v>
      </c>
      <c r="D159" s="37" t="s">
        <v>161</v>
      </c>
      <c r="E159" s="133">
        <v>20</v>
      </c>
      <c r="F159" s="133">
        <v>1</v>
      </c>
      <c r="G159" s="133">
        <v>21</v>
      </c>
      <c r="H159" s="119">
        <v>1190</v>
      </c>
      <c r="I159" s="120">
        <v>238</v>
      </c>
      <c r="J159" s="122">
        <f t="shared" si="15"/>
        <v>238</v>
      </c>
      <c r="K159" s="53">
        <f t="shared" si="17"/>
        <v>5</v>
      </c>
      <c r="L159" s="52">
        <f>1034595+1595+413+264+1393+81+1190</f>
        <v>1039531</v>
      </c>
      <c r="M159" s="122">
        <f>85844+247+59+36+214+30+238</f>
        <v>86668</v>
      </c>
      <c r="N159" s="280">
        <f>+L159/M159</f>
        <v>11.994403932247197</v>
      </c>
      <c r="O159" s="277"/>
    </row>
    <row r="160" spans="1:15" ht="15">
      <c r="A160" s="104">
        <v>157</v>
      </c>
      <c r="B160" s="227" t="s">
        <v>55</v>
      </c>
      <c r="C160" s="46">
        <v>40137</v>
      </c>
      <c r="D160" s="37" t="s">
        <v>161</v>
      </c>
      <c r="E160" s="133">
        <v>20</v>
      </c>
      <c r="F160" s="133">
        <v>1</v>
      </c>
      <c r="G160" s="133">
        <v>22</v>
      </c>
      <c r="H160" s="119">
        <v>1190</v>
      </c>
      <c r="I160" s="120">
        <v>238</v>
      </c>
      <c r="J160" s="122">
        <f t="shared" si="15"/>
        <v>238</v>
      </c>
      <c r="K160" s="53">
        <f t="shared" si="17"/>
        <v>5</v>
      </c>
      <c r="L160" s="52">
        <f>1034595+1595+413+264+1393+81+1190+1190</f>
        <v>1040721</v>
      </c>
      <c r="M160" s="122">
        <f>85844+247+59+36+214+30+238+238</f>
        <v>86906</v>
      </c>
      <c r="N160" s="280">
        <f>+L160/M160</f>
        <v>11.975249119738567</v>
      </c>
      <c r="O160" s="350"/>
    </row>
    <row r="161" spans="1:15" ht="15">
      <c r="A161" s="104">
        <v>158</v>
      </c>
      <c r="B161" s="219" t="s">
        <v>55</v>
      </c>
      <c r="C161" s="46">
        <v>40137</v>
      </c>
      <c r="D161" s="37" t="s">
        <v>161</v>
      </c>
      <c r="E161" s="133">
        <v>20</v>
      </c>
      <c r="F161" s="133">
        <v>1</v>
      </c>
      <c r="G161" s="133">
        <v>23</v>
      </c>
      <c r="H161" s="119">
        <v>1659</v>
      </c>
      <c r="I161" s="120">
        <v>215</v>
      </c>
      <c r="J161" s="122">
        <f t="shared" si="15"/>
        <v>215</v>
      </c>
      <c r="K161" s="53">
        <f>+H161/I161</f>
        <v>7.716279069767442</v>
      </c>
      <c r="L161" s="52">
        <f>1034595+1595+413+264+1393+81+1190+1190+1659</f>
        <v>1042380</v>
      </c>
      <c r="M161" s="122">
        <f>85844+247+59+36+214+30+238+238+215</f>
        <v>87121</v>
      </c>
      <c r="N161" s="280">
        <f>+L161/M161</f>
        <v>11.964738696755088</v>
      </c>
      <c r="O161" s="203"/>
    </row>
    <row r="162" spans="1:15" ht="15">
      <c r="A162" s="104">
        <v>159</v>
      </c>
      <c r="B162" s="219" t="s">
        <v>55</v>
      </c>
      <c r="C162" s="46">
        <v>40137</v>
      </c>
      <c r="D162" s="37" t="s">
        <v>161</v>
      </c>
      <c r="E162" s="133">
        <v>20</v>
      </c>
      <c r="F162" s="133">
        <v>1</v>
      </c>
      <c r="G162" s="133">
        <v>24</v>
      </c>
      <c r="H162" s="337">
        <v>245</v>
      </c>
      <c r="I162" s="338">
        <v>43</v>
      </c>
      <c r="J162" s="122">
        <f t="shared" si="15"/>
        <v>43</v>
      </c>
      <c r="K162" s="53">
        <f>H162/I162</f>
        <v>5.6976744186046515</v>
      </c>
      <c r="L162" s="52">
        <f>1034595+1595+413+264+1393+81+1190+1190+1659+245</f>
        <v>1042625</v>
      </c>
      <c r="M162" s="122">
        <f>85844+247+59+36+214+30+238+238+215+43</f>
        <v>87164</v>
      </c>
      <c r="N162" s="280">
        <f>+L162/M162</f>
        <v>11.961647010233582</v>
      </c>
      <c r="O162" s="203"/>
    </row>
    <row r="163" spans="1:15" ht="15">
      <c r="A163" s="104">
        <v>160</v>
      </c>
      <c r="B163" s="222" t="s">
        <v>180</v>
      </c>
      <c r="C163" s="46">
        <v>40123</v>
      </c>
      <c r="D163" s="37" t="s">
        <v>168</v>
      </c>
      <c r="E163" s="138">
        <v>25</v>
      </c>
      <c r="F163" s="138">
        <v>1</v>
      </c>
      <c r="G163" s="138">
        <v>9</v>
      </c>
      <c r="H163" s="115">
        <v>1423</v>
      </c>
      <c r="I163" s="116">
        <v>285</v>
      </c>
      <c r="J163" s="122">
        <f t="shared" si="15"/>
        <v>285</v>
      </c>
      <c r="K163" s="53">
        <f>H163/I163</f>
        <v>4.992982456140351</v>
      </c>
      <c r="L163" s="52">
        <v>272726</v>
      </c>
      <c r="M163" s="122">
        <v>22531</v>
      </c>
      <c r="N163" s="220">
        <f>L164/M164</f>
        <v>11.677457214800905</v>
      </c>
      <c r="O163" s="201"/>
    </row>
    <row r="164" spans="1:15" ht="15">
      <c r="A164" s="104">
        <v>161</v>
      </c>
      <c r="B164" s="222" t="s">
        <v>103</v>
      </c>
      <c r="C164" s="46">
        <v>40102</v>
      </c>
      <c r="D164" s="47" t="s">
        <v>163</v>
      </c>
      <c r="E164" s="138">
        <v>22</v>
      </c>
      <c r="F164" s="138">
        <v>1</v>
      </c>
      <c r="G164" s="138">
        <v>6</v>
      </c>
      <c r="H164" s="31">
        <v>1081.5</v>
      </c>
      <c r="I164" s="32">
        <v>369</v>
      </c>
      <c r="J164" s="33">
        <f>(I164/F164)</f>
        <v>369</v>
      </c>
      <c r="K164" s="38">
        <f>H164/I164</f>
        <v>2.930894308943089</v>
      </c>
      <c r="L164" s="35">
        <f>129717.5+110957+18478+6527+6853.5+1081.5</f>
        <v>273614.5</v>
      </c>
      <c r="M164" s="36">
        <f>10402+8975+1885+691+1109+369</f>
        <v>23431</v>
      </c>
      <c r="N164" s="220">
        <f>L165/M165</f>
        <v>11.579496053686743</v>
      </c>
      <c r="O164" s="201"/>
    </row>
    <row r="165" spans="1:15" ht="15">
      <c r="A165" s="104">
        <v>162</v>
      </c>
      <c r="B165" s="223" t="s">
        <v>103</v>
      </c>
      <c r="C165" s="62">
        <v>40102</v>
      </c>
      <c r="D165" s="63" t="s">
        <v>163</v>
      </c>
      <c r="E165" s="139">
        <v>22</v>
      </c>
      <c r="F165" s="139">
        <v>2</v>
      </c>
      <c r="G165" s="139">
        <v>7</v>
      </c>
      <c r="H165" s="31">
        <v>738.5</v>
      </c>
      <c r="I165" s="40">
        <v>262</v>
      </c>
      <c r="J165" s="41">
        <f>(I165/F165)</f>
        <v>131</v>
      </c>
      <c r="K165" s="34">
        <f>H165/I165</f>
        <v>2.818702290076336</v>
      </c>
      <c r="L165" s="35">
        <f>129717.5+110957+18478+6527+6853.5+1081.5+738.5</f>
        <v>274353</v>
      </c>
      <c r="M165" s="42">
        <f>10402+8975+1885+691+1109+369+262</f>
        <v>23693</v>
      </c>
      <c r="N165" s="229">
        <f>+L166/M166</f>
        <v>11.35795253276656</v>
      </c>
      <c r="O165" s="199">
        <v>1</v>
      </c>
    </row>
    <row r="166" spans="1:15" ht="15">
      <c r="A166" s="104">
        <v>163</v>
      </c>
      <c r="B166" s="228" t="s">
        <v>61</v>
      </c>
      <c r="C166" s="80">
        <v>40172</v>
      </c>
      <c r="D166" s="81" t="s">
        <v>162</v>
      </c>
      <c r="E166" s="141">
        <v>51</v>
      </c>
      <c r="F166" s="141">
        <v>51</v>
      </c>
      <c r="G166" s="141">
        <v>2</v>
      </c>
      <c r="H166" s="82">
        <v>175309</v>
      </c>
      <c r="I166" s="98">
        <v>14721</v>
      </c>
      <c r="J166" s="83">
        <f>I166/F166</f>
        <v>288.6470588235294</v>
      </c>
      <c r="K166" s="85">
        <f>+H166/I166</f>
        <v>11.908769784661368</v>
      </c>
      <c r="L166" s="84">
        <v>448889</v>
      </c>
      <c r="M166" s="83">
        <v>39522</v>
      </c>
      <c r="N166" s="221">
        <f>+L167/M167</f>
        <v>11.335329864906221</v>
      </c>
      <c r="O166" s="200">
        <v>1</v>
      </c>
    </row>
    <row r="167" spans="1:15" ht="15">
      <c r="A167" s="104">
        <v>164</v>
      </c>
      <c r="B167" s="222" t="s">
        <v>61</v>
      </c>
      <c r="C167" s="46">
        <v>40172</v>
      </c>
      <c r="D167" s="79" t="s">
        <v>162</v>
      </c>
      <c r="E167" s="138">
        <v>51</v>
      </c>
      <c r="F167" s="138">
        <v>38</v>
      </c>
      <c r="G167" s="138">
        <v>3</v>
      </c>
      <c r="H167" s="49">
        <v>69657</v>
      </c>
      <c r="I167" s="50">
        <v>6224</v>
      </c>
      <c r="J167" s="122">
        <f>I167/F167</f>
        <v>163.78947368421052</v>
      </c>
      <c r="K167" s="53">
        <f>+H167/I167</f>
        <v>11.19167737789203</v>
      </c>
      <c r="L167" s="52">
        <v>518546</v>
      </c>
      <c r="M167" s="122">
        <v>45746</v>
      </c>
      <c r="N167" s="221">
        <f>+L168/M168</f>
        <v>11.211845296345148</v>
      </c>
      <c r="O167" s="201">
        <v>1</v>
      </c>
    </row>
    <row r="168" spans="1:15" ht="15">
      <c r="A168" s="104">
        <v>165</v>
      </c>
      <c r="B168" s="222" t="s">
        <v>61</v>
      </c>
      <c r="C168" s="46">
        <v>40172</v>
      </c>
      <c r="D168" s="79" t="s">
        <v>162</v>
      </c>
      <c r="E168" s="138">
        <v>51</v>
      </c>
      <c r="F168" s="138">
        <v>12</v>
      </c>
      <c r="G168" s="138">
        <v>4</v>
      </c>
      <c r="H168" s="49">
        <v>8478</v>
      </c>
      <c r="I168" s="77">
        <v>1260</v>
      </c>
      <c r="J168" s="101">
        <f>I168/F168</f>
        <v>105</v>
      </c>
      <c r="K168" s="51">
        <f>+H168/I168</f>
        <v>6.728571428571429</v>
      </c>
      <c r="L168" s="52">
        <v>527024</v>
      </c>
      <c r="M168" s="101">
        <v>47006</v>
      </c>
      <c r="N168" s="221">
        <f>+L169/M169</f>
        <v>11.19604518576606</v>
      </c>
      <c r="O168" s="201">
        <v>1</v>
      </c>
    </row>
    <row r="169" spans="1:15" ht="15">
      <c r="A169" s="104">
        <v>166</v>
      </c>
      <c r="B169" s="222" t="s">
        <v>61</v>
      </c>
      <c r="C169" s="46">
        <v>40172</v>
      </c>
      <c r="D169" s="86" t="s">
        <v>162</v>
      </c>
      <c r="E169" s="138">
        <v>51</v>
      </c>
      <c r="F169" s="138">
        <v>1</v>
      </c>
      <c r="G169" s="138">
        <v>5</v>
      </c>
      <c r="H169" s="76">
        <v>1239</v>
      </c>
      <c r="I169" s="77">
        <v>177</v>
      </c>
      <c r="J169" s="101">
        <f>I169/F169</f>
        <v>177</v>
      </c>
      <c r="K169" s="51">
        <f>+H169/I169</f>
        <v>7</v>
      </c>
      <c r="L169" s="78">
        <v>528263</v>
      </c>
      <c r="M169" s="101">
        <v>47183</v>
      </c>
      <c r="N169" s="224">
        <f>IF(L170&lt;&gt;0,L170/M170,"")</f>
        <v>7.746052661375242</v>
      </c>
      <c r="O169" s="202">
        <v>1</v>
      </c>
    </row>
    <row r="170" spans="1:15" ht="15">
      <c r="A170" s="104">
        <v>167</v>
      </c>
      <c r="B170" s="222" t="s">
        <v>141</v>
      </c>
      <c r="C170" s="46">
        <v>40172</v>
      </c>
      <c r="D170" s="48" t="s">
        <v>49</v>
      </c>
      <c r="E170" s="138">
        <v>196</v>
      </c>
      <c r="F170" s="138">
        <v>196</v>
      </c>
      <c r="G170" s="138">
        <v>2</v>
      </c>
      <c r="H170" s="49">
        <v>546264.5</v>
      </c>
      <c r="I170" s="50">
        <v>66898</v>
      </c>
      <c r="J170" s="60">
        <f>IF(H170&lt;&gt;0,I170/F170,"")</f>
        <v>341.31632653061223</v>
      </c>
      <c r="K170" s="57">
        <f>IF(H170&lt;&gt;0,H170/I170,"")</f>
        <v>8.165632754342433</v>
      </c>
      <c r="L170" s="52">
        <f>821982.75+546264.5</f>
        <v>1368247.25</v>
      </c>
      <c r="M170" s="122">
        <f>109740+66898</f>
        <v>176638</v>
      </c>
      <c r="N170" s="221">
        <f>+L171/M171</f>
        <v>7.722250372509278</v>
      </c>
      <c r="O170" s="201">
        <v>1</v>
      </c>
    </row>
    <row r="171" spans="1:15" ht="15">
      <c r="A171" s="104">
        <v>168</v>
      </c>
      <c r="B171" s="222" t="s">
        <v>64</v>
      </c>
      <c r="C171" s="46">
        <v>40172</v>
      </c>
      <c r="D171" s="47" t="s">
        <v>49</v>
      </c>
      <c r="E171" s="138">
        <v>196</v>
      </c>
      <c r="F171" s="138">
        <v>183</v>
      </c>
      <c r="G171" s="138">
        <v>3</v>
      </c>
      <c r="H171" s="49">
        <v>300546.5</v>
      </c>
      <c r="I171" s="50">
        <v>39464</v>
      </c>
      <c r="J171" s="122">
        <f>I171/F171</f>
        <v>215.65027322404373</v>
      </c>
      <c r="K171" s="53">
        <f>+H171/I171</f>
        <v>7.615713054936144</v>
      </c>
      <c r="L171" s="52">
        <f>821982.75+546264.5+300546.5</f>
        <v>1668793.75</v>
      </c>
      <c r="M171" s="122">
        <f>109740+66898+39464</f>
        <v>216102</v>
      </c>
      <c r="N171" s="221">
        <f>+L172/M172</f>
        <v>7.609086968792839</v>
      </c>
      <c r="O171" s="212">
        <v>1</v>
      </c>
    </row>
    <row r="172" spans="1:15" ht="15">
      <c r="A172" s="104">
        <v>169</v>
      </c>
      <c r="B172" s="222" t="s">
        <v>141</v>
      </c>
      <c r="C172" s="46">
        <v>40172</v>
      </c>
      <c r="D172" s="47" t="s">
        <v>49</v>
      </c>
      <c r="E172" s="138">
        <v>196</v>
      </c>
      <c r="F172" s="138">
        <v>148</v>
      </c>
      <c r="G172" s="138">
        <v>4</v>
      </c>
      <c r="H172" s="49">
        <v>218412</v>
      </c>
      <c r="I172" s="77">
        <v>31918</v>
      </c>
      <c r="J172" s="56">
        <f>+I172/F172</f>
        <v>215.66216216216216</v>
      </c>
      <c r="K172" s="57">
        <f>+H172/I172</f>
        <v>6.842909956764208</v>
      </c>
      <c r="L172" s="52">
        <f>821982.75+546264.5+300546.5+218412</f>
        <v>1887205.75</v>
      </c>
      <c r="M172" s="101">
        <f>109740+66898+39464+31918</f>
        <v>248020</v>
      </c>
      <c r="N172" s="220">
        <f>+L173/M173</f>
        <v>7.565782635876998</v>
      </c>
      <c r="O172" s="203">
        <v>1</v>
      </c>
    </row>
    <row r="173" spans="1:15" ht="15">
      <c r="A173" s="104">
        <v>170</v>
      </c>
      <c r="B173" s="222" t="s">
        <v>141</v>
      </c>
      <c r="C173" s="46">
        <v>40172</v>
      </c>
      <c r="D173" s="43" t="s">
        <v>49</v>
      </c>
      <c r="E173" s="138">
        <v>196</v>
      </c>
      <c r="F173" s="138">
        <v>25</v>
      </c>
      <c r="G173" s="138">
        <v>5</v>
      </c>
      <c r="H173" s="76">
        <v>49105</v>
      </c>
      <c r="I173" s="77">
        <v>7919</v>
      </c>
      <c r="J173" s="41">
        <f>I173/F173</f>
        <v>316.76</v>
      </c>
      <c r="K173" s="34">
        <f>H173/I173</f>
        <v>6.2009092057077915</v>
      </c>
      <c r="L173" s="78">
        <f>821982.75+546264.5+300546.5+218412+49105</f>
        <v>1936310.75</v>
      </c>
      <c r="M173" s="101">
        <f>109740+66898+39464+31918+7910</f>
        <v>255930</v>
      </c>
      <c r="N173" s="221">
        <f>L174/M174</f>
        <v>7.535274251708787</v>
      </c>
      <c r="O173" s="199">
        <v>1</v>
      </c>
    </row>
    <row r="174" spans="1:15" ht="15">
      <c r="A174" s="104">
        <v>171</v>
      </c>
      <c r="B174" s="222" t="s">
        <v>141</v>
      </c>
      <c r="C174" s="46">
        <v>40172</v>
      </c>
      <c r="D174" s="37" t="s">
        <v>49</v>
      </c>
      <c r="E174" s="138">
        <v>196</v>
      </c>
      <c r="F174" s="138">
        <v>16</v>
      </c>
      <c r="G174" s="138">
        <v>6</v>
      </c>
      <c r="H174" s="76">
        <v>23614</v>
      </c>
      <c r="I174" s="77">
        <v>4204</v>
      </c>
      <c r="J174" s="101">
        <f>I174/F174</f>
        <v>262.75</v>
      </c>
      <c r="K174" s="51">
        <f>H174/I174</f>
        <v>5.617031398667935</v>
      </c>
      <c r="L174" s="78">
        <f>821982.75+546264.5+300546.5+218412+49105+23614+196</f>
        <v>1960120.75</v>
      </c>
      <c r="M174" s="101">
        <f>109740+66898+39464+31918+7910+4204-8</f>
        <v>260126</v>
      </c>
      <c r="N174" s="221">
        <f>L175/M175</f>
        <v>7.525182116485792</v>
      </c>
      <c r="O174" s="201">
        <v>1</v>
      </c>
    </row>
    <row r="175" spans="1:15" ht="15">
      <c r="A175" s="104">
        <v>172</v>
      </c>
      <c r="B175" s="222" t="s">
        <v>141</v>
      </c>
      <c r="C175" s="46">
        <v>40172</v>
      </c>
      <c r="D175" s="37" t="s">
        <v>49</v>
      </c>
      <c r="E175" s="138">
        <v>196</v>
      </c>
      <c r="F175" s="138">
        <v>14</v>
      </c>
      <c r="G175" s="138">
        <v>7</v>
      </c>
      <c r="H175" s="111">
        <v>9844</v>
      </c>
      <c r="I175" s="112">
        <v>1658</v>
      </c>
      <c r="J175" s="101">
        <f>(I175/F175)</f>
        <v>118.42857142857143</v>
      </c>
      <c r="K175" s="51">
        <f>(J175/G175)</f>
        <v>16.918367346938776</v>
      </c>
      <c r="L175" s="78">
        <f>821982.75+546264.5+300546.5+218412+49105+23614+196+9844</f>
        <v>1969964.75</v>
      </c>
      <c r="M175" s="101">
        <f>109740+66898+39464+31918+7910+4204-8+1658-1</f>
        <v>261783</v>
      </c>
      <c r="N175" s="221">
        <f>+L176/M176</f>
        <v>7.521269558653084</v>
      </c>
      <c r="O175" s="199"/>
    </row>
    <row r="176" spans="1:15" ht="15">
      <c r="A176" s="104">
        <v>173</v>
      </c>
      <c r="B176" s="230" t="s">
        <v>181</v>
      </c>
      <c r="C176" s="46">
        <v>40172</v>
      </c>
      <c r="D176" s="118" t="s">
        <v>49</v>
      </c>
      <c r="E176" s="138">
        <v>196</v>
      </c>
      <c r="F176" s="138">
        <v>2</v>
      </c>
      <c r="G176" s="138">
        <v>9</v>
      </c>
      <c r="H176" s="115">
        <v>2445</v>
      </c>
      <c r="I176" s="116">
        <v>431</v>
      </c>
      <c r="J176" s="122">
        <f>I176/F176</f>
        <v>215.5</v>
      </c>
      <c r="K176" s="53">
        <f>H176/I176</f>
        <v>5.672853828306264</v>
      </c>
      <c r="L176" s="52">
        <f>821982.75+546264.5+300546.5+218412+49105+23614+196+9844+340-11+2445</f>
        <v>1972738.75</v>
      </c>
      <c r="M176" s="122">
        <f>109740+66898+39464+31918+7910+4204-8+1658-1+56+431+18</f>
        <v>262288</v>
      </c>
      <c r="N176" s="221">
        <f>+L177/M177</f>
        <v>7.520241429905296</v>
      </c>
      <c r="O176" s="199"/>
    </row>
    <row r="177" spans="1:15" ht="15">
      <c r="A177" s="104">
        <v>174</v>
      </c>
      <c r="B177" s="222" t="s">
        <v>64</v>
      </c>
      <c r="C177" s="117">
        <v>40172</v>
      </c>
      <c r="D177" s="118" t="s">
        <v>49</v>
      </c>
      <c r="E177" s="133">
        <v>196</v>
      </c>
      <c r="F177" s="133">
        <v>1</v>
      </c>
      <c r="G177" s="133">
        <v>10</v>
      </c>
      <c r="H177" s="119">
        <v>535</v>
      </c>
      <c r="I177" s="120">
        <v>107</v>
      </c>
      <c r="J177" s="122">
        <f>I177/F177</f>
        <v>107</v>
      </c>
      <c r="K177" s="53">
        <f>H177/I177</f>
        <v>5</v>
      </c>
      <c r="L177" s="52">
        <f>821982.75+546264.5+300546.5+218412+49105+23614+196+9844+340-11+2445+535</f>
        <v>1973273.75</v>
      </c>
      <c r="M177" s="122">
        <f>109740+66898+39464+31918+7910+4204-8+1658-1+56+431+18+107</f>
        <v>262395</v>
      </c>
      <c r="N177" s="221">
        <f>+L178/M178</f>
        <v>7.524829188929075</v>
      </c>
      <c r="O177" s="201"/>
    </row>
    <row r="178" spans="1:15" ht="15">
      <c r="A178" s="104">
        <v>175</v>
      </c>
      <c r="B178" s="230" t="s">
        <v>181</v>
      </c>
      <c r="C178" s="117">
        <v>40172</v>
      </c>
      <c r="D178" s="118" t="s">
        <v>49</v>
      </c>
      <c r="E178" s="133">
        <v>196</v>
      </c>
      <c r="F178" s="133">
        <v>2</v>
      </c>
      <c r="G178" s="133">
        <v>8</v>
      </c>
      <c r="H178" s="119">
        <v>340</v>
      </c>
      <c r="I178" s="120">
        <v>56</v>
      </c>
      <c r="J178" s="122">
        <f>+I178/F178</f>
        <v>28</v>
      </c>
      <c r="K178" s="53">
        <f>+H178/I178</f>
        <v>6.071428571428571</v>
      </c>
      <c r="L178" s="121">
        <f>821982.75+546264.5+300546.5+218412+49105+23614+196+9844+340-11</f>
        <v>1970293.75</v>
      </c>
      <c r="M178" s="123">
        <f>109740+66898+39464+31918+7910+4204-8+1658-1+56</f>
        <v>261839</v>
      </c>
      <c r="N178" s="221">
        <f>+L179/M179</f>
        <v>7.518698519807617</v>
      </c>
      <c r="O178" s="213">
        <v>1</v>
      </c>
    </row>
    <row r="179" spans="1:15" ht="15">
      <c r="A179" s="104">
        <v>176</v>
      </c>
      <c r="B179" s="227" t="s">
        <v>141</v>
      </c>
      <c r="C179" s="46">
        <v>40172</v>
      </c>
      <c r="D179" s="47" t="s">
        <v>49</v>
      </c>
      <c r="E179" s="133">
        <v>196</v>
      </c>
      <c r="F179" s="133">
        <v>1</v>
      </c>
      <c r="G179" s="133">
        <v>11</v>
      </c>
      <c r="H179" s="119">
        <v>1144</v>
      </c>
      <c r="I179" s="120">
        <v>206</v>
      </c>
      <c r="J179" s="122">
        <f>I179/F179</f>
        <v>206</v>
      </c>
      <c r="K179" s="53">
        <f>H179/I179</f>
        <v>5.553398058252427</v>
      </c>
      <c r="L179" s="52">
        <f>821982.75+546264.5+300546.5+218412+49105+23614+196+9844+340-11+2445+535+1144</f>
        <v>1974417.75</v>
      </c>
      <c r="M179" s="122">
        <f>109740+66898+39464+31918+7910+4204-8+1658-1+56+431+18+107+206</f>
        <v>262601</v>
      </c>
      <c r="N179" s="224">
        <f>+L180/M180</f>
        <v>7.507124639925309</v>
      </c>
      <c r="O179" s="200"/>
    </row>
    <row r="180" spans="1:15" ht="15">
      <c r="A180" s="104">
        <v>177</v>
      </c>
      <c r="B180" s="227" t="s">
        <v>141</v>
      </c>
      <c r="C180" s="46">
        <v>40172</v>
      </c>
      <c r="D180" s="47" t="s">
        <v>49</v>
      </c>
      <c r="E180" s="133">
        <v>196</v>
      </c>
      <c r="F180" s="133">
        <v>1</v>
      </c>
      <c r="G180" s="133">
        <v>12</v>
      </c>
      <c r="H180" s="119">
        <v>3612</v>
      </c>
      <c r="I180" s="120">
        <v>886</v>
      </c>
      <c r="J180" s="122">
        <f>I180/F180</f>
        <v>886</v>
      </c>
      <c r="K180" s="53">
        <f>H180/I180</f>
        <v>4.076749435665914</v>
      </c>
      <c r="L180" s="52">
        <f>821982.75+546264.5+300546.5+218412+49105+23614+196+9844+340-11+2445+535+1144+3612</f>
        <v>1978029.75</v>
      </c>
      <c r="M180" s="122">
        <f>109740+66898+39464+31918+7910+4204-8+1658-1+56+431+18+107+206+886</f>
        <v>263487</v>
      </c>
      <c r="N180" s="280">
        <f>+L180/M180</f>
        <v>7.507124639925309</v>
      </c>
      <c r="O180" s="279">
        <v>1</v>
      </c>
    </row>
    <row r="181" spans="1:15" ht="15">
      <c r="A181" s="104">
        <v>178</v>
      </c>
      <c r="B181" s="225" t="s">
        <v>7</v>
      </c>
      <c r="C181" s="29">
        <v>39920</v>
      </c>
      <c r="D181" s="87" t="s">
        <v>112</v>
      </c>
      <c r="E181" s="140">
        <v>132</v>
      </c>
      <c r="F181" s="140">
        <v>3</v>
      </c>
      <c r="G181" s="140">
        <v>19</v>
      </c>
      <c r="H181" s="88">
        <v>2655</v>
      </c>
      <c r="I181" s="89">
        <v>531</v>
      </c>
      <c r="J181" s="56">
        <f>+I181/F181</f>
        <v>177</v>
      </c>
      <c r="K181" s="57">
        <f>+H181/I181</f>
        <v>5</v>
      </c>
      <c r="L181" s="90">
        <v>914710</v>
      </c>
      <c r="M181" s="91">
        <v>117082</v>
      </c>
      <c r="N181" s="220">
        <f>L182/M182</f>
        <v>6.991483706592853</v>
      </c>
      <c r="O181" s="202"/>
    </row>
    <row r="182" spans="1:15" ht="15">
      <c r="A182" s="104">
        <v>179</v>
      </c>
      <c r="B182" s="222" t="s">
        <v>22</v>
      </c>
      <c r="C182" s="46">
        <v>39926</v>
      </c>
      <c r="D182" s="97" t="s">
        <v>163</v>
      </c>
      <c r="E182" s="138">
        <v>40</v>
      </c>
      <c r="F182" s="138">
        <v>2</v>
      </c>
      <c r="G182" s="138">
        <v>30</v>
      </c>
      <c r="H182" s="31">
        <v>1280</v>
      </c>
      <c r="I182" s="32">
        <v>182</v>
      </c>
      <c r="J182" s="33">
        <f>(I182/F182)</f>
        <v>91</v>
      </c>
      <c r="K182" s="34">
        <f aca="true" t="shared" si="18" ref="K182:K187">H182/I182</f>
        <v>7.032967032967033</v>
      </c>
      <c r="L182" s="35">
        <f>35864.5+53058.5+35303.5+15734.5+12778.5+9687.5+8045+13953.5+10307+6140.75+1296+667+231+755+1970+2246+752.5+591.5+130+445+2051+750+1477+2060+1816+47+72+84+378+2301+1280</f>
        <v>222273.25</v>
      </c>
      <c r="M182" s="36">
        <f>3971+5771+3969+2398+2257+2131+1634+2509+1783+912+230+126+48+181+472+311+114+91+20+78+493+183+365+462+452+9+24+28+94+494+182</f>
        <v>31792</v>
      </c>
      <c r="N182" s="220">
        <f>L183/M183</f>
        <v>6.988223587300593</v>
      </c>
      <c r="O182" s="201"/>
    </row>
    <row r="183" spans="1:15" ht="15">
      <c r="A183" s="104">
        <v>180</v>
      </c>
      <c r="B183" s="222" t="s">
        <v>22</v>
      </c>
      <c r="C183" s="46">
        <v>39926</v>
      </c>
      <c r="D183" s="87" t="s">
        <v>163</v>
      </c>
      <c r="E183" s="138">
        <v>40</v>
      </c>
      <c r="F183" s="138">
        <v>2</v>
      </c>
      <c r="G183" s="138">
        <v>31</v>
      </c>
      <c r="H183" s="31">
        <v>700</v>
      </c>
      <c r="I183" s="32">
        <v>115</v>
      </c>
      <c r="J183" s="33">
        <f>(I183/F183)</f>
        <v>57.5</v>
      </c>
      <c r="K183" s="38">
        <f t="shared" si="18"/>
        <v>6.086956521739131</v>
      </c>
      <c r="L183" s="35">
        <f>35864.5+53058.5+35303.5+15734.5+12778.5+9687.5+8045+13953.5+10307+6140.75+1296+667+231+755+1970+2246+752.5+591.5+130+445+2051+750+1477+2060+1816+47+72+84+378+2301+1280+700</f>
        <v>222973.25</v>
      </c>
      <c r="M183" s="36">
        <f>3971+5771+3969+2398+2257+2131+1634+2509+1783+912+230+126+48+181+472+311+114+91+20+78+493+183+365+462+452+9+24+28+94+494+182+115</f>
        <v>31907</v>
      </c>
      <c r="N183" s="220">
        <f>L184/M184</f>
        <v>6.982241719057896</v>
      </c>
      <c r="O183" s="201"/>
    </row>
    <row r="184" spans="1:15" ht="15">
      <c r="A184" s="104">
        <v>181</v>
      </c>
      <c r="B184" s="222" t="s">
        <v>22</v>
      </c>
      <c r="C184" s="46">
        <v>39926</v>
      </c>
      <c r="D184" s="87" t="s">
        <v>163</v>
      </c>
      <c r="E184" s="138">
        <v>40</v>
      </c>
      <c r="F184" s="138">
        <v>1</v>
      </c>
      <c r="G184" s="138">
        <v>32</v>
      </c>
      <c r="H184" s="31">
        <v>256</v>
      </c>
      <c r="I184" s="40">
        <v>64</v>
      </c>
      <c r="J184" s="41">
        <f>(I184/F184)</f>
        <v>64</v>
      </c>
      <c r="K184" s="34">
        <f t="shared" si="18"/>
        <v>4</v>
      </c>
      <c r="L184" s="35">
        <f>35864.5+53058.5+35303.5+15734.5+12778.5+9687.5+8045+13953.5+10307+6140.75+1296+667+231+755+1970+2246+752.5+591.5+130+445+2051+750+1477+2060+1816+47+72+84+378+2301+1280+700+256</f>
        <v>223229.25</v>
      </c>
      <c r="M184" s="42">
        <f>3971+5771+3969+2398+2257+2131+1634+2509+1783+912+230+126+48+181+472+311+114+91+20+78+493+183+365+462+452+9+24+28+94+494+182+115+64</f>
        <v>31971</v>
      </c>
      <c r="N184" s="221">
        <f>+L185/M185</f>
        <v>6.941302134748272</v>
      </c>
      <c r="O184" s="199"/>
    </row>
    <row r="185" spans="1:15" ht="15">
      <c r="A185" s="104">
        <v>182</v>
      </c>
      <c r="B185" s="227" t="s">
        <v>22</v>
      </c>
      <c r="C185" s="117">
        <v>39926</v>
      </c>
      <c r="D185" s="37" t="s">
        <v>163</v>
      </c>
      <c r="E185" s="133">
        <v>40</v>
      </c>
      <c r="F185" s="133">
        <v>1</v>
      </c>
      <c r="G185" s="133">
        <v>33</v>
      </c>
      <c r="H185" s="119">
        <v>1780</v>
      </c>
      <c r="I185" s="120">
        <v>445</v>
      </c>
      <c r="J185" s="122">
        <f>I185/F185</f>
        <v>445</v>
      </c>
      <c r="K185" s="53">
        <f t="shared" si="18"/>
        <v>4</v>
      </c>
      <c r="L185" s="52">
        <f>35864.5+53058.5+35303.5+15734.5+12778.5+9687.5+8045+13953.5+10307+6140.75+1296+667+231+755+1970+2246+752.5+591.5+130+445+2051+750+1477+2060+1816+47+72+84+378+2301+1280+700+256+1780</f>
        <v>225009.25</v>
      </c>
      <c r="M185" s="122">
        <f>3971+5771+3969+2398+2257+2131+1634+2509+1783+912+230+126+48+181+472+311+114+91+20+78+493+183+365+462+452+9+24+28+94+494+182+115+64+445</f>
        <v>32416</v>
      </c>
      <c r="N185" s="224">
        <f>IF(L186&lt;&gt;0,L186/M186,"")</f>
        <v>6.936650642507165</v>
      </c>
      <c r="O185" s="199"/>
    </row>
    <row r="186" spans="1:15" ht="15">
      <c r="A186" s="104">
        <v>183</v>
      </c>
      <c r="B186" s="227" t="s">
        <v>22</v>
      </c>
      <c r="C186" s="46">
        <v>39926</v>
      </c>
      <c r="D186" s="37" t="s">
        <v>163</v>
      </c>
      <c r="E186" s="133">
        <v>40</v>
      </c>
      <c r="F186" s="133">
        <v>1</v>
      </c>
      <c r="G186" s="133">
        <v>34</v>
      </c>
      <c r="H186" s="119">
        <v>92</v>
      </c>
      <c r="I186" s="120">
        <v>35</v>
      </c>
      <c r="J186" s="122">
        <f>(I186/F186)</f>
        <v>35</v>
      </c>
      <c r="K186" s="53">
        <f t="shared" si="18"/>
        <v>2.6285714285714286</v>
      </c>
      <c r="L186" s="52">
        <f>35864.5+53058.5+35303.5+15734.5+12778.5+9687.5+8045+13953.5+10307+6140.75+1296+667+231+755+1970+2246+752.5+591.5+130+445+2051+750+1477+2060+1816+47+72+84+378+2301+1280+700+256+1780+92</f>
        <v>225101.25</v>
      </c>
      <c r="M186" s="122">
        <f>3971+5771+3969+2398+2257+2131+1634+2509+1783+912+230+126+48+181+472+311+114+91+20+78+493+183+365+462+452+9+24+28+94+494+182+115+64+445+35</f>
        <v>32451</v>
      </c>
      <c r="N186" s="280">
        <f>L186/M186</f>
        <v>6.936650642507165</v>
      </c>
      <c r="O186" s="277"/>
    </row>
    <row r="187" spans="1:15" ht="15">
      <c r="A187" s="104">
        <v>184</v>
      </c>
      <c r="B187" s="227" t="s">
        <v>22</v>
      </c>
      <c r="C187" s="46">
        <v>39926</v>
      </c>
      <c r="D187" s="37" t="s">
        <v>163</v>
      </c>
      <c r="E187" s="133">
        <v>40</v>
      </c>
      <c r="F187" s="133">
        <v>1</v>
      </c>
      <c r="G187" s="133">
        <v>35</v>
      </c>
      <c r="H187" s="119">
        <v>200</v>
      </c>
      <c r="I187" s="120">
        <v>80</v>
      </c>
      <c r="J187" s="122">
        <f>I187/F187</f>
        <v>80</v>
      </c>
      <c r="K187" s="53">
        <f t="shared" si="18"/>
        <v>2.5</v>
      </c>
      <c r="L187" s="52">
        <f>35864.5+53058.5+35303.5+15734.5+12778.5+9687.5+8045+13953.5+10307+6140.75+1296+667+231+755+1970+2246+752.5+591.5+130+445+2051+750+1477+2060+1816+47+72+84+378+2301+1280+700+256+1780+92+200</f>
        <v>225301.25</v>
      </c>
      <c r="M187" s="122">
        <f>3971+5771+3969+2398+2257+2131+1634+2509+1783+912+230+126+48+181+472+311+114+91+20+78+493+183+365+462+452+9+24+28+94+494+182+115+64+445+35+80</f>
        <v>32531</v>
      </c>
      <c r="N187" s="280">
        <f>+L187/M187</f>
        <v>6.925740063324214</v>
      </c>
      <c r="O187" s="350"/>
    </row>
    <row r="188" spans="1:15" ht="15">
      <c r="A188" s="104">
        <v>185</v>
      </c>
      <c r="B188" s="219" t="s">
        <v>22</v>
      </c>
      <c r="C188" s="46">
        <v>39926</v>
      </c>
      <c r="D188" s="37" t="s">
        <v>163</v>
      </c>
      <c r="E188" s="133">
        <v>40</v>
      </c>
      <c r="F188" s="133">
        <v>1</v>
      </c>
      <c r="G188" s="133">
        <v>36</v>
      </c>
      <c r="H188" s="119">
        <v>187</v>
      </c>
      <c r="I188" s="120">
        <v>73</v>
      </c>
      <c r="J188" s="122">
        <f>I188/F188</f>
        <v>73</v>
      </c>
      <c r="K188" s="53">
        <f>+H188/I188</f>
        <v>2.5616438356164384</v>
      </c>
      <c r="L188" s="52">
        <f>35864.5+53058.5+35303.5+15734.5+12778.5+9687.5+8045+13953.5+10307+6140.75+1296+667+231+755+1970+2246+752.5+591.5+130+445+2051+750+1477+2060+1816+47+72+84+378+2301+1280+700+256+1780+92+200+187</f>
        <v>225488.25</v>
      </c>
      <c r="M188" s="122">
        <f>3971+5771+3969+2398+2257+2131+1634+2509+1783+912+230+126+48+181+472+311+114+91+20+78+493+183+365+462+452+9+24+28+94+494+182+115+64+445+35+80+73</f>
        <v>32604</v>
      </c>
      <c r="N188" s="280">
        <f>+L188/M188</f>
        <v>6.915968899521531</v>
      </c>
      <c r="O188" s="203"/>
    </row>
    <row r="189" spans="1:15" ht="15">
      <c r="A189" s="104">
        <v>186</v>
      </c>
      <c r="B189" s="219" t="s">
        <v>22</v>
      </c>
      <c r="C189" s="46">
        <v>39926</v>
      </c>
      <c r="D189" s="37" t="s">
        <v>163</v>
      </c>
      <c r="E189" s="133">
        <v>40</v>
      </c>
      <c r="F189" s="133">
        <v>5</v>
      </c>
      <c r="G189" s="133">
        <v>37</v>
      </c>
      <c r="H189" s="337">
        <v>6592.5</v>
      </c>
      <c r="I189" s="338">
        <v>1697</v>
      </c>
      <c r="J189" s="122">
        <f>(I189/F189)</f>
        <v>339.4</v>
      </c>
      <c r="K189" s="53">
        <f>H189/I189</f>
        <v>3.8847967000589274</v>
      </c>
      <c r="L189" s="52">
        <f>35864.5+53058.5+35303.5+15734.5+12778.5+9687.5+8045+13953.5+10307+6140.75+1296+667+231+755+1970+2246+752.5+591.5+130+445+2051+750+1477+2060+1816+47+72+84+378+2301+1280+700+256+1780+92+200+187+6592.5</f>
        <v>232080.75</v>
      </c>
      <c r="M189" s="122">
        <f>3971+5771+3969+2398+2257+2131+1634+2509+1783+912+230+126+48+181+472+311+114+91+20+78+493+183+365+462+452+9+24+28+94+494+182+115+64+445+35+80+73+1697</f>
        <v>34301</v>
      </c>
      <c r="N189" s="280">
        <f>L189/M189</f>
        <v>6.766005364275094</v>
      </c>
      <c r="O189" s="203"/>
    </row>
    <row r="190" spans="1:15" ht="15">
      <c r="A190" s="104">
        <v>187</v>
      </c>
      <c r="B190" s="219" t="s">
        <v>51</v>
      </c>
      <c r="C190" s="29">
        <v>40123</v>
      </c>
      <c r="D190" s="37" t="s">
        <v>165</v>
      </c>
      <c r="E190" s="137">
        <v>58</v>
      </c>
      <c r="F190" s="137">
        <v>7</v>
      </c>
      <c r="G190" s="137">
        <v>9</v>
      </c>
      <c r="H190" s="54">
        <v>2843</v>
      </c>
      <c r="I190" s="59">
        <v>406</v>
      </c>
      <c r="J190" s="60">
        <f>IF(H190&lt;&gt;0,I190/F190,"")</f>
        <v>58</v>
      </c>
      <c r="K190" s="61">
        <f>IF(H190&lt;&gt;0,H190/I190,"")</f>
        <v>7.002463054187192</v>
      </c>
      <c r="L190" s="58">
        <v>471356.75</v>
      </c>
      <c r="M190" s="122">
        <v>45156</v>
      </c>
      <c r="N190" s="221">
        <f>L191/M191</f>
        <v>10.370201545986548</v>
      </c>
      <c r="O190" s="201"/>
    </row>
    <row r="191" spans="1:15" ht="15">
      <c r="A191" s="104">
        <v>188</v>
      </c>
      <c r="B191" s="222" t="s">
        <v>51</v>
      </c>
      <c r="C191" s="46">
        <v>40123</v>
      </c>
      <c r="D191" s="37" t="s">
        <v>165</v>
      </c>
      <c r="E191" s="138">
        <v>58</v>
      </c>
      <c r="F191" s="138">
        <v>3</v>
      </c>
      <c r="G191" s="138">
        <v>12</v>
      </c>
      <c r="H191" s="76">
        <v>2007</v>
      </c>
      <c r="I191" s="77">
        <v>364</v>
      </c>
      <c r="J191" s="101">
        <f>I191/F191</f>
        <v>121.33333333333333</v>
      </c>
      <c r="K191" s="51">
        <f>H191/I191</f>
        <v>5.513736263736264</v>
      </c>
      <c r="L191" s="78">
        <v>474913.75</v>
      </c>
      <c r="M191" s="101">
        <v>45796</v>
      </c>
      <c r="N191" s="224">
        <f>IF(L192&lt;&gt;0,L192/M192,"")</f>
        <v>10.417936196481326</v>
      </c>
      <c r="O191" s="208"/>
    </row>
    <row r="192" spans="1:15" ht="15">
      <c r="A192" s="104">
        <v>189</v>
      </c>
      <c r="B192" s="219" t="s">
        <v>51</v>
      </c>
      <c r="C192" s="29">
        <v>40123</v>
      </c>
      <c r="D192" s="37" t="s">
        <v>165</v>
      </c>
      <c r="E192" s="137">
        <v>58</v>
      </c>
      <c r="F192" s="137">
        <v>4</v>
      </c>
      <c r="G192" s="137">
        <v>10</v>
      </c>
      <c r="H192" s="54">
        <v>1180</v>
      </c>
      <c r="I192" s="55">
        <v>202</v>
      </c>
      <c r="J192" s="56">
        <f>IF(H192&lt;&gt;0,I192/F192,"")</f>
        <v>50.5</v>
      </c>
      <c r="K192" s="57">
        <f>IF(H192&lt;&gt;0,H192/I192,"")</f>
        <v>5.841584158415841</v>
      </c>
      <c r="L192" s="58">
        <v>472536.75</v>
      </c>
      <c r="M192" s="101">
        <v>45358</v>
      </c>
      <c r="N192" s="221">
        <f>L193/M193</f>
        <v>10.36151509873506</v>
      </c>
      <c r="O192" s="199"/>
    </row>
    <row r="193" spans="1:15" ht="15">
      <c r="A193" s="104">
        <v>190</v>
      </c>
      <c r="B193" s="222" t="s">
        <v>51</v>
      </c>
      <c r="C193" s="46">
        <v>40123</v>
      </c>
      <c r="D193" s="37" t="s">
        <v>165</v>
      </c>
      <c r="E193" s="138">
        <v>58</v>
      </c>
      <c r="F193" s="138">
        <v>2</v>
      </c>
      <c r="G193" s="138">
        <v>13</v>
      </c>
      <c r="H193" s="111">
        <v>1001</v>
      </c>
      <c r="I193" s="112">
        <v>135</v>
      </c>
      <c r="J193" s="101">
        <f>(I193/F193)</f>
        <v>67.5</v>
      </c>
      <c r="K193" s="51">
        <f>(J193/G193)</f>
        <v>5.1923076923076925</v>
      </c>
      <c r="L193" s="78">
        <v>475914.75</v>
      </c>
      <c r="M193" s="101">
        <v>45931</v>
      </c>
      <c r="N193" s="221">
        <f>IF(L194&lt;&gt;0,L194/M194,"")</f>
        <v>10.351685893675727</v>
      </c>
      <c r="O193" s="201"/>
    </row>
    <row r="194" spans="1:15" ht="15">
      <c r="A194" s="104">
        <v>191</v>
      </c>
      <c r="B194" s="222" t="s">
        <v>51</v>
      </c>
      <c r="C194" s="46">
        <v>40123</v>
      </c>
      <c r="D194" s="37" t="s">
        <v>165</v>
      </c>
      <c r="E194" s="138">
        <v>58</v>
      </c>
      <c r="F194" s="138">
        <v>1</v>
      </c>
      <c r="G194" s="138">
        <v>14</v>
      </c>
      <c r="H194" s="115">
        <v>563</v>
      </c>
      <c r="I194" s="116">
        <v>98</v>
      </c>
      <c r="J194" s="122">
        <f>IF(H194&lt;&gt;0,I194/F194,"")</f>
        <v>98</v>
      </c>
      <c r="K194" s="53">
        <f>IF(H194&lt;&gt;0,H194/I194,"")</f>
        <v>5.744897959183674</v>
      </c>
      <c r="L194" s="52">
        <v>476477.75</v>
      </c>
      <c r="M194" s="122">
        <v>46029</v>
      </c>
      <c r="N194" s="224">
        <f>IF(L195&lt;&gt;0,L195/M195,"")</f>
        <v>10.469581005586592</v>
      </c>
      <c r="O194" s="201"/>
    </row>
    <row r="195" spans="1:15" ht="15">
      <c r="A195" s="104">
        <v>192</v>
      </c>
      <c r="B195" s="219" t="s">
        <v>51</v>
      </c>
      <c r="C195" s="29">
        <v>40123</v>
      </c>
      <c r="D195" s="43" t="s">
        <v>165</v>
      </c>
      <c r="E195" s="137">
        <v>58</v>
      </c>
      <c r="F195" s="137">
        <v>1</v>
      </c>
      <c r="G195" s="137">
        <v>8</v>
      </c>
      <c r="H195" s="54">
        <v>414</v>
      </c>
      <c r="I195" s="59">
        <v>83</v>
      </c>
      <c r="J195" s="60">
        <f>IF(H195&lt;&gt;0,I195/F195,"")</f>
        <v>83</v>
      </c>
      <c r="K195" s="57">
        <f>IF(H195&lt;&gt;0,H195/I195,"")</f>
        <v>4.9879518072289155</v>
      </c>
      <c r="L195" s="58">
        <v>468513.75</v>
      </c>
      <c r="M195" s="122">
        <v>44750</v>
      </c>
      <c r="N195" s="220">
        <f>IF(L196&lt;&gt;0,L196/M196,"")</f>
        <v>10.409111419263954</v>
      </c>
      <c r="O195" s="199"/>
    </row>
    <row r="196" spans="1:15" ht="15">
      <c r="A196" s="104">
        <v>193</v>
      </c>
      <c r="B196" s="222" t="s">
        <v>51</v>
      </c>
      <c r="C196" s="46">
        <v>40123</v>
      </c>
      <c r="D196" s="48" t="s">
        <v>165</v>
      </c>
      <c r="E196" s="138">
        <v>58</v>
      </c>
      <c r="F196" s="138">
        <v>4</v>
      </c>
      <c r="G196" s="138">
        <v>11</v>
      </c>
      <c r="H196" s="44">
        <v>370</v>
      </c>
      <c r="I196" s="40">
        <v>74</v>
      </c>
      <c r="J196" s="41">
        <f>IF(H196&lt;&gt;0,I196/F196,"")</f>
        <v>18.5</v>
      </c>
      <c r="K196" s="34">
        <f>IF(H196&lt;&gt;0,H196/I196,"")</f>
        <v>5</v>
      </c>
      <c r="L196" s="45">
        <v>472906.75</v>
      </c>
      <c r="M196" s="42">
        <v>45432</v>
      </c>
      <c r="N196" s="221">
        <f>+L197/M197</f>
        <v>10.34702901538662</v>
      </c>
      <c r="O196" s="202"/>
    </row>
    <row r="197" spans="1:15" ht="15">
      <c r="A197" s="104">
        <v>194</v>
      </c>
      <c r="B197" s="222" t="s">
        <v>51</v>
      </c>
      <c r="C197" s="117">
        <v>40123</v>
      </c>
      <c r="D197" s="37" t="s">
        <v>165</v>
      </c>
      <c r="E197" s="133">
        <v>58</v>
      </c>
      <c r="F197" s="133">
        <v>2</v>
      </c>
      <c r="G197" s="133">
        <v>15</v>
      </c>
      <c r="H197" s="119">
        <v>303</v>
      </c>
      <c r="I197" s="120">
        <v>50</v>
      </c>
      <c r="J197" s="122">
        <f>I197/F197</f>
        <v>25</v>
      </c>
      <c r="K197" s="53">
        <f>H197/I197</f>
        <v>6.06</v>
      </c>
      <c r="L197" s="52">
        <v>476780.75</v>
      </c>
      <c r="M197" s="122">
        <v>46079</v>
      </c>
      <c r="N197" s="221">
        <f>+L198/M198</f>
        <v>10.319510115076538</v>
      </c>
      <c r="O197" s="201"/>
    </row>
    <row r="198" spans="1:15" ht="15">
      <c r="A198" s="104">
        <v>195</v>
      </c>
      <c r="B198" s="227" t="s">
        <v>51</v>
      </c>
      <c r="C198" s="117">
        <v>40123</v>
      </c>
      <c r="D198" s="118" t="s">
        <v>165</v>
      </c>
      <c r="E198" s="133">
        <v>58</v>
      </c>
      <c r="F198" s="133">
        <v>1</v>
      </c>
      <c r="G198" s="133">
        <v>16</v>
      </c>
      <c r="H198" s="119">
        <v>1188</v>
      </c>
      <c r="I198" s="120">
        <v>238</v>
      </c>
      <c r="J198" s="122">
        <f>I198/F198</f>
        <v>238</v>
      </c>
      <c r="K198" s="53">
        <f>H198/I198</f>
        <v>4.991596638655462</v>
      </c>
      <c r="L198" s="52">
        <v>477968.75</v>
      </c>
      <c r="M198" s="122">
        <v>46317</v>
      </c>
      <c r="N198" s="220">
        <f>L199/M199</f>
        <v>7.62930896791469</v>
      </c>
      <c r="O198" s="201"/>
    </row>
    <row r="199" spans="1:15" ht="15">
      <c r="A199" s="104">
        <v>196</v>
      </c>
      <c r="B199" s="227" t="s">
        <v>256</v>
      </c>
      <c r="C199" s="46">
        <v>39472</v>
      </c>
      <c r="D199" s="47" t="s">
        <v>49</v>
      </c>
      <c r="E199" s="133">
        <v>59</v>
      </c>
      <c r="F199" s="133">
        <v>1</v>
      </c>
      <c r="G199" s="133">
        <v>36</v>
      </c>
      <c r="H199" s="119">
        <v>2398</v>
      </c>
      <c r="I199" s="120">
        <v>399</v>
      </c>
      <c r="J199" s="122">
        <f>I199/F199</f>
        <v>399</v>
      </c>
      <c r="K199" s="53">
        <f>H199/I199</f>
        <v>6.010025062656641</v>
      </c>
      <c r="L199" s="52">
        <f>395290.5+262822+75939+23709.5+4083+1327+9321+1445+1267+2173+4575+201+1748+3343+728+28+948+1329+163+182+173+15521.5+171+40+110+75+183.5+127+124.5+1976+312+180+12+2398</f>
        <v>812025.5</v>
      </c>
      <c r="M199" s="122">
        <f>47426+32442+9866+4010+887+225+2185+263+226+460+1077+33+367+887+230+4+139+355+32+35+32+3859+49+8+22+15+68+46+45+659+52+30+2+399</f>
        <v>106435</v>
      </c>
      <c r="N199" s="280">
        <f>+L199/M199</f>
        <v>7.62930896791469</v>
      </c>
      <c r="O199" s="353"/>
    </row>
    <row r="200" spans="1:15" ht="15">
      <c r="A200" s="104">
        <v>197</v>
      </c>
      <c r="B200" s="222" t="s">
        <v>56</v>
      </c>
      <c r="C200" s="46">
        <v>40151</v>
      </c>
      <c r="D200" s="47" t="s">
        <v>163</v>
      </c>
      <c r="E200" s="138">
        <v>8</v>
      </c>
      <c r="F200" s="138">
        <v>7</v>
      </c>
      <c r="G200" s="138">
        <v>6</v>
      </c>
      <c r="H200" s="31">
        <v>4958.5</v>
      </c>
      <c r="I200" s="32">
        <v>693</v>
      </c>
      <c r="J200" s="33">
        <f>(I200/F200)</f>
        <v>99</v>
      </c>
      <c r="K200" s="38">
        <f>H200/I200</f>
        <v>7.155122655122655</v>
      </c>
      <c r="L200" s="35">
        <f>69195.5+29540+2797+8009+1473.5+4958.5</f>
        <v>115973.5</v>
      </c>
      <c r="M200" s="36">
        <f>5170+2208+292+904+296+693</f>
        <v>9563</v>
      </c>
      <c r="N200" s="220">
        <f aca="true" t="shared" si="19" ref="N200:N205">L201/M201</f>
        <v>11.478786149162861</v>
      </c>
      <c r="O200" s="200"/>
    </row>
    <row r="201" spans="1:15" ht="15">
      <c r="A201" s="104">
        <v>198</v>
      </c>
      <c r="B201" s="223" t="s">
        <v>56</v>
      </c>
      <c r="C201" s="62">
        <v>40151</v>
      </c>
      <c r="D201" s="63" t="s">
        <v>163</v>
      </c>
      <c r="E201" s="139">
        <v>8</v>
      </c>
      <c r="F201" s="139">
        <v>6</v>
      </c>
      <c r="G201" s="139">
        <v>7</v>
      </c>
      <c r="H201" s="31">
        <v>4691.5</v>
      </c>
      <c r="I201" s="40">
        <v>949</v>
      </c>
      <c r="J201" s="41">
        <f>(I201/F201)</f>
        <v>158.16666666666666</v>
      </c>
      <c r="K201" s="34">
        <f>H201/I201</f>
        <v>4.943624868282402</v>
      </c>
      <c r="L201" s="35">
        <f>69195.5+29540+2797+8009+1473.5+4958.5+4691.5</f>
        <v>120665</v>
      </c>
      <c r="M201" s="42">
        <f>5170+2208+292+904+296+693+949</f>
        <v>10512</v>
      </c>
      <c r="N201" s="221">
        <f t="shared" si="19"/>
        <v>11.078535891968729</v>
      </c>
      <c r="O201" s="201"/>
    </row>
    <row r="202" spans="1:15" ht="15">
      <c r="A202" s="104">
        <v>199</v>
      </c>
      <c r="B202" s="222" t="s">
        <v>56</v>
      </c>
      <c r="C202" s="46">
        <v>40151</v>
      </c>
      <c r="D202" s="37" t="s">
        <v>163</v>
      </c>
      <c r="E202" s="138">
        <v>8</v>
      </c>
      <c r="F202" s="138">
        <v>4</v>
      </c>
      <c r="G202" s="138">
        <v>10</v>
      </c>
      <c r="H202" s="111">
        <v>3228</v>
      </c>
      <c r="I202" s="112">
        <v>613</v>
      </c>
      <c r="J202" s="101">
        <f>I202/F202</f>
        <v>153.25</v>
      </c>
      <c r="K202" s="51">
        <f>+H202/I202</f>
        <v>5.265905383360522</v>
      </c>
      <c r="L202" s="78">
        <f>69195.5+29540+2797+8009+1473.5+4958.5+4691.5+45+762+3228</f>
        <v>124700</v>
      </c>
      <c r="M202" s="101">
        <f>5170+2208+292+904+296+693+949+9+122+613</f>
        <v>11256</v>
      </c>
      <c r="N202" s="220">
        <f t="shared" si="19"/>
        <v>12.515783540022548</v>
      </c>
      <c r="O202" s="202"/>
    </row>
    <row r="203" spans="1:15" ht="15">
      <c r="A203" s="104">
        <v>200</v>
      </c>
      <c r="B203" s="222" t="s">
        <v>56</v>
      </c>
      <c r="C203" s="46">
        <v>40151</v>
      </c>
      <c r="D203" s="48" t="s">
        <v>163</v>
      </c>
      <c r="E203" s="138">
        <v>8</v>
      </c>
      <c r="F203" s="138">
        <v>3</v>
      </c>
      <c r="G203" s="138">
        <v>5</v>
      </c>
      <c r="H203" s="31">
        <v>1473.5</v>
      </c>
      <c r="I203" s="32">
        <v>296</v>
      </c>
      <c r="J203" s="33">
        <f aca="true" t="shared" si="20" ref="J203:J208">(I203/F203)</f>
        <v>98.66666666666667</v>
      </c>
      <c r="K203" s="34">
        <f>H203/I203</f>
        <v>4.97804054054054</v>
      </c>
      <c r="L203" s="35">
        <f>69195.5+29540+2797+8009+1473.5</f>
        <v>111015</v>
      </c>
      <c r="M203" s="36">
        <f>5170+2208+292+904+296</f>
        <v>8870</v>
      </c>
      <c r="N203" s="220">
        <f t="shared" si="19"/>
        <v>11.419652092148565</v>
      </c>
      <c r="O203" s="199"/>
    </row>
    <row r="204" spans="1:15" ht="15">
      <c r="A204" s="104">
        <v>201</v>
      </c>
      <c r="B204" s="223" t="s">
        <v>56</v>
      </c>
      <c r="C204" s="62">
        <v>40151</v>
      </c>
      <c r="D204" s="63" t="s">
        <v>163</v>
      </c>
      <c r="E204" s="139">
        <v>8</v>
      </c>
      <c r="F204" s="139">
        <v>2</v>
      </c>
      <c r="G204" s="139">
        <v>9</v>
      </c>
      <c r="H204" s="44">
        <v>738</v>
      </c>
      <c r="I204" s="40">
        <v>114</v>
      </c>
      <c r="J204" s="41">
        <f t="shared" si="20"/>
        <v>57</v>
      </c>
      <c r="K204" s="51">
        <f>+H204/I204</f>
        <v>6.473684210526316</v>
      </c>
      <c r="L204" s="45">
        <f>69195.5+29540+2797+8009+1473.5+4958.5+4691.5+45+738</f>
        <v>121448</v>
      </c>
      <c r="M204" s="42">
        <f>5170+2208+292+904+296+693+949+9+114</f>
        <v>10635</v>
      </c>
      <c r="N204" s="220">
        <f t="shared" si="19"/>
        <v>11.473243988214048</v>
      </c>
      <c r="O204" s="201"/>
    </row>
    <row r="205" spans="1:15" ht="15">
      <c r="A205" s="104">
        <v>202</v>
      </c>
      <c r="B205" s="222" t="s">
        <v>56</v>
      </c>
      <c r="C205" s="46">
        <v>40151</v>
      </c>
      <c r="D205" s="48" t="s">
        <v>163</v>
      </c>
      <c r="E205" s="138">
        <v>8</v>
      </c>
      <c r="F205" s="138">
        <v>1</v>
      </c>
      <c r="G205" s="138">
        <v>8</v>
      </c>
      <c r="H205" s="44">
        <v>45</v>
      </c>
      <c r="I205" s="40">
        <v>9</v>
      </c>
      <c r="J205" s="41">
        <f t="shared" si="20"/>
        <v>9</v>
      </c>
      <c r="K205" s="34">
        <f>H205/I205</f>
        <v>5</v>
      </c>
      <c r="L205" s="45">
        <f>69195.5+29540+2797+8009+1473.5+4958.5+4691.5+45</f>
        <v>120710</v>
      </c>
      <c r="M205" s="42">
        <f>5170+2208+292+904+296+693+949+9</f>
        <v>10521</v>
      </c>
      <c r="N205" s="220">
        <f t="shared" si="19"/>
        <v>10.809332535680712</v>
      </c>
      <c r="O205" s="203"/>
    </row>
    <row r="206" spans="1:15" ht="15">
      <c r="A206" s="104">
        <v>203</v>
      </c>
      <c r="B206" s="219" t="s">
        <v>56</v>
      </c>
      <c r="C206" s="29">
        <v>40151</v>
      </c>
      <c r="D206" s="39" t="s">
        <v>163</v>
      </c>
      <c r="E206" s="137">
        <v>8</v>
      </c>
      <c r="F206" s="137">
        <v>1</v>
      </c>
      <c r="G206" s="137">
        <v>11</v>
      </c>
      <c r="H206" s="31">
        <v>1780</v>
      </c>
      <c r="I206" s="40">
        <v>445</v>
      </c>
      <c r="J206" s="41">
        <f t="shared" si="20"/>
        <v>445</v>
      </c>
      <c r="K206" s="34">
        <f>H206/I206</f>
        <v>4</v>
      </c>
      <c r="L206" s="35">
        <f>69195.5+29540+2797+8009+1473.5+4958.5+4691.5+45+762+3228+1780</f>
        <v>126480</v>
      </c>
      <c r="M206" s="42">
        <f>5170+2208+292+904+296+693+949+9+122+613+445</f>
        <v>11701</v>
      </c>
      <c r="N206" s="220">
        <f>IF(L207&lt;&gt;0,L207/M207,"")</f>
        <v>10.55985509632801</v>
      </c>
      <c r="O206" s="203"/>
    </row>
    <row r="207" spans="1:15" ht="15">
      <c r="A207" s="104">
        <v>204</v>
      </c>
      <c r="B207" s="219" t="s">
        <v>56</v>
      </c>
      <c r="C207" s="29">
        <v>40151</v>
      </c>
      <c r="D207" s="37" t="s">
        <v>163</v>
      </c>
      <c r="E207" s="137">
        <v>8</v>
      </c>
      <c r="F207" s="137">
        <v>1</v>
      </c>
      <c r="G207" s="137">
        <v>12</v>
      </c>
      <c r="H207" s="31">
        <v>1780</v>
      </c>
      <c r="I207" s="32">
        <v>445</v>
      </c>
      <c r="J207" s="33">
        <f t="shared" si="20"/>
        <v>445</v>
      </c>
      <c r="K207" s="38">
        <f>H207/I207</f>
        <v>4</v>
      </c>
      <c r="L207" s="35">
        <f>69195.5+29540+2797+8009+1473.5+4958.5+4691.5+45+762+3228+1780+1780</f>
        <v>128260</v>
      </c>
      <c r="M207" s="36">
        <f>5170+2208+292+904+296+693+949+9+122+613+445+445</f>
        <v>12146</v>
      </c>
      <c r="N207" s="221">
        <f>+L208/M208</f>
        <v>10.524278534370946</v>
      </c>
      <c r="O207" s="199"/>
    </row>
    <row r="208" spans="1:15" ht="15">
      <c r="A208" s="104">
        <v>205</v>
      </c>
      <c r="B208" s="219" t="s">
        <v>56</v>
      </c>
      <c r="C208" s="46">
        <v>40151</v>
      </c>
      <c r="D208" s="37" t="s">
        <v>163</v>
      </c>
      <c r="E208" s="133">
        <v>8</v>
      </c>
      <c r="F208" s="133">
        <v>2</v>
      </c>
      <c r="G208" s="133">
        <v>13</v>
      </c>
      <c r="H208" s="337">
        <v>1567.5</v>
      </c>
      <c r="I208" s="338">
        <v>190</v>
      </c>
      <c r="J208" s="122">
        <f t="shared" si="20"/>
        <v>95</v>
      </c>
      <c r="K208" s="53">
        <f>H208/I208</f>
        <v>8.25</v>
      </c>
      <c r="L208" s="52">
        <f>69195.5+29540+2797+8009+1473.5+4958.5+4691.5+45+762+3228+1780+1780+1567.5</f>
        <v>129827.5</v>
      </c>
      <c r="M208" s="122">
        <f>5170+2208+292+904+296+693+949+9+122+613+445+445+190</f>
        <v>12336</v>
      </c>
      <c r="N208" s="280">
        <f>L208/M208</f>
        <v>10.524278534370946</v>
      </c>
      <c r="O208" s="203"/>
    </row>
    <row r="209" spans="1:15" ht="15">
      <c r="A209" s="104">
        <v>206</v>
      </c>
      <c r="B209" s="222" t="s">
        <v>100</v>
      </c>
      <c r="C209" s="46">
        <v>40102</v>
      </c>
      <c r="D209" s="79" t="s">
        <v>162</v>
      </c>
      <c r="E209" s="138">
        <v>62</v>
      </c>
      <c r="F209" s="138">
        <v>2</v>
      </c>
      <c r="G209" s="138">
        <v>13</v>
      </c>
      <c r="H209" s="49">
        <v>3422</v>
      </c>
      <c r="I209" s="77">
        <v>491</v>
      </c>
      <c r="J209" s="101">
        <f>I209/F209</f>
        <v>245.5</v>
      </c>
      <c r="K209" s="51">
        <f>+H209/I209</f>
        <v>6.969450101832994</v>
      </c>
      <c r="L209" s="52">
        <v>493437</v>
      </c>
      <c r="M209" s="101">
        <v>56198</v>
      </c>
      <c r="N209" s="221">
        <f>+L210/M210</f>
        <v>8.796291309889241</v>
      </c>
      <c r="O209" s="199"/>
    </row>
    <row r="210" spans="1:15" ht="15">
      <c r="A210" s="104">
        <v>207</v>
      </c>
      <c r="B210" s="222" t="s">
        <v>100</v>
      </c>
      <c r="C210" s="46">
        <v>40102</v>
      </c>
      <c r="D210" s="79" t="s">
        <v>162</v>
      </c>
      <c r="E210" s="138">
        <v>62</v>
      </c>
      <c r="F210" s="138">
        <v>1</v>
      </c>
      <c r="G210" s="138">
        <v>12</v>
      </c>
      <c r="H210" s="49">
        <v>1258</v>
      </c>
      <c r="I210" s="50">
        <v>177</v>
      </c>
      <c r="J210" s="122">
        <f>I210/F210</f>
        <v>177</v>
      </c>
      <c r="K210" s="53">
        <f>+H210/I210</f>
        <v>7.107344632768362</v>
      </c>
      <c r="L210" s="52">
        <v>490015</v>
      </c>
      <c r="M210" s="122">
        <v>55707</v>
      </c>
      <c r="N210" s="221">
        <f>+L211/M211</f>
        <v>8.779054054054054</v>
      </c>
      <c r="O210" s="199"/>
    </row>
    <row r="211" spans="1:15" ht="15">
      <c r="A211" s="104">
        <v>208</v>
      </c>
      <c r="B211" s="222" t="s">
        <v>100</v>
      </c>
      <c r="C211" s="46">
        <v>40102</v>
      </c>
      <c r="D211" s="86" t="s">
        <v>162</v>
      </c>
      <c r="E211" s="138">
        <v>62</v>
      </c>
      <c r="F211" s="138">
        <v>1</v>
      </c>
      <c r="G211" s="138">
        <v>14</v>
      </c>
      <c r="H211" s="76">
        <v>297</v>
      </c>
      <c r="I211" s="77">
        <v>42</v>
      </c>
      <c r="J211" s="101">
        <f>I211/F211</f>
        <v>42</v>
      </c>
      <c r="K211" s="51">
        <f>+H211/I211</f>
        <v>7.071428571428571</v>
      </c>
      <c r="L211" s="78">
        <v>493734</v>
      </c>
      <c r="M211" s="101">
        <v>56240</v>
      </c>
      <c r="N211" s="221">
        <f>L212/M212</f>
        <v>9.558436863209097</v>
      </c>
      <c r="O211" s="202"/>
    </row>
    <row r="212" spans="1:15" ht="15">
      <c r="A212" s="104">
        <v>209</v>
      </c>
      <c r="B212" s="222" t="s">
        <v>50</v>
      </c>
      <c r="C212" s="46">
        <v>40116</v>
      </c>
      <c r="D212" s="37" t="s">
        <v>49</v>
      </c>
      <c r="E212" s="138">
        <v>24</v>
      </c>
      <c r="F212" s="138">
        <v>2</v>
      </c>
      <c r="G212" s="138">
        <v>9</v>
      </c>
      <c r="H212" s="76">
        <v>865</v>
      </c>
      <c r="I212" s="77">
        <v>152</v>
      </c>
      <c r="J212" s="101">
        <f>I212/F212</f>
        <v>76</v>
      </c>
      <c r="K212" s="51">
        <f>H212/I212</f>
        <v>5.690789473684211</v>
      </c>
      <c r="L212" s="78">
        <f>87403.25+34862.75+15508.5+2797+944+915+1620+497+865</f>
        <v>145412.5</v>
      </c>
      <c r="M212" s="101">
        <f>14575+405+81+152</f>
        <v>15213</v>
      </c>
      <c r="N212" s="224">
        <f>IF(L213&lt;&gt;0,L213/M213,"")</f>
        <v>9.59747028749751</v>
      </c>
      <c r="O212" s="201"/>
    </row>
    <row r="213" spans="1:15" ht="15">
      <c r="A213" s="104">
        <v>210</v>
      </c>
      <c r="B213" s="222" t="s">
        <v>50</v>
      </c>
      <c r="C213" s="46">
        <v>40116</v>
      </c>
      <c r="D213" s="48" t="s">
        <v>147</v>
      </c>
      <c r="E213" s="138">
        <v>24</v>
      </c>
      <c r="F213" s="138">
        <v>1</v>
      </c>
      <c r="G213" s="138">
        <v>8</v>
      </c>
      <c r="H213" s="49">
        <v>497</v>
      </c>
      <c r="I213" s="50">
        <v>81</v>
      </c>
      <c r="J213" s="60">
        <f>IF(H213&lt;&gt;0,I213/F213,"")</f>
        <v>81</v>
      </c>
      <c r="K213" s="57">
        <f>IF(H213&lt;&gt;0,H213/I213,"")</f>
        <v>6.135802469135802</v>
      </c>
      <c r="L213" s="52">
        <f>87403.25+34862.75+15508.5+2797+944+915+1620+497</f>
        <v>144547.5</v>
      </c>
      <c r="M213" s="122">
        <f>14575+405+81</f>
        <v>15061</v>
      </c>
      <c r="N213" s="221">
        <f>L214/M214</f>
        <v>9.535270658995817</v>
      </c>
      <c r="O213" s="200"/>
    </row>
    <row r="214" spans="1:15" ht="15">
      <c r="A214" s="104">
        <v>211</v>
      </c>
      <c r="B214" s="222" t="s">
        <v>50</v>
      </c>
      <c r="C214" s="46">
        <v>40116</v>
      </c>
      <c r="D214" s="37" t="s">
        <v>49</v>
      </c>
      <c r="E214" s="138">
        <v>24</v>
      </c>
      <c r="F214" s="138">
        <v>1</v>
      </c>
      <c r="G214" s="138">
        <v>10</v>
      </c>
      <c r="H214" s="111">
        <v>439</v>
      </c>
      <c r="I214" s="112">
        <v>83</v>
      </c>
      <c r="J214" s="101">
        <f>(I214/F214)</f>
        <v>83</v>
      </c>
      <c r="K214" s="51">
        <f>(J214/G214)</f>
        <v>8.3</v>
      </c>
      <c r="L214" s="78">
        <f>87403.25+34862.75+15508.5+2797+944+915+1620+497+865+439</f>
        <v>145851.5</v>
      </c>
      <c r="M214" s="101">
        <f>14575+405+81+152+83</f>
        <v>15296</v>
      </c>
      <c r="N214" s="220">
        <f>L215/M215</f>
        <v>8.636579572446555</v>
      </c>
      <c r="O214" s="201"/>
    </row>
    <row r="215" spans="1:15" ht="15">
      <c r="A215" s="104">
        <v>212</v>
      </c>
      <c r="B215" s="222" t="s">
        <v>57</v>
      </c>
      <c r="C215" s="46">
        <v>40151</v>
      </c>
      <c r="D215" s="48" t="s">
        <v>163</v>
      </c>
      <c r="E215" s="138">
        <v>2</v>
      </c>
      <c r="F215" s="138">
        <v>2</v>
      </c>
      <c r="G215" s="138">
        <v>5</v>
      </c>
      <c r="H215" s="31">
        <v>2853</v>
      </c>
      <c r="I215" s="32">
        <v>502</v>
      </c>
      <c r="J215" s="33">
        <f>(I215/F215)</f>
        <v>251</v>
      </c>
      <c r="K215" s="34">
        <f>H215/I215</f>
        <v>5.683266932270916</v>
      </c>
      <c r="L215" s="35">
        <f>14952+6112+2196+2975+2853</f>
        <v>29088</v>
      </c>
      <c r="M215" s="36">
        <f>1468+666+254+478+502</f>
        <v>3368</v>
      </c>
      <c r="N215" s="220">
        <f>L216/M216</f>
        <v>8.629167874746303</v>
      </c>
      <c r="O215" s="201"/>
    </row>
    <row r="216" spans="1:15" ht="15">
      <c r="A216" s="104">
        <v>213</v>
      </c>
      <c r="B216" s="222" t="s">
        <v>57</v>
      </c>
      <c r="C216" s="46">
        <v>40151</v>
      </c>
      <c r="D216" s="47" t="s">
        <v>163</v>
      </c>
      <c r="E216" s="138">
        <v>2</v>
      </c>
      <c r="F216" s="138">
        <v>2</v>
      </c>
      <c r="G216" s="138">
        <v>6</v>
      </c>
      <c r="H216" s="31">
        <v>674</v>
      </c>
      <c r="I216" s="32">
        <v>81</v>
      </c>
      <c r="J216" s="33">
        <f>(I216/F216)</f>
        <v>40.5</v>
      </c>
      <c r="K216" s="38">
        <f>H216/I216</f>
        <v>8.320987654320987</v>
      </c>
      <c r="L216" s="35">
        <f>14952+6112+2196+2975+2853+674</f>
        <v>29762</v>
      </c>
      <c r="M216" s="36">
        <f>1468+666+254+478+502+81</f>
        <v>3449</v>
      </c>
      <c r="N216" s="221">
        <f>L217/M217</f>
        <v>8.491047205642973</v>
      </c>
      <c r="O216" s="201"/>
    </row>
    <row r="217" spans="1:15" ht="15">
      <c r="A217" s="104">
        <v>214</v>
      </c>
      <c r="B217" s="222" t="s">
        <v>57</v>
      </c>
      <c r="C217" s="46">
        <v>40151</v>
      </c>
      <c r="D217" s="37" t="s">
        <v>163</v>
      </c>
      <c r="E217" s="138">
        <v>2</v>
      </c>
      <c r="F217" s="138">
        <v>1</v>
      </c>
      <c r="G217" s="138">
        <v>8</v>
      </c>
      <c r="H217" s="115">
        <v>530</v>
      </c>
      <c r="I217" s="116">
        <v>107</v>
      </c>
      <c r="J217" s="122">
        <f>(I217/F217)</f>
        <v>107</v>
      </c>
      <c r="K217" s="53">
        <f>H217/I217</f>
        <v>4.953271028037383</v>
      </c>
      <c r="L217" s="52">
        <f>14952+6112+2196+2975+2853+674+1006+530</f>
        <v>31298</v>
      </c>
      <c r="M217" s="122">
        <f>1468+666+254+478+502+81+130+107</f>
        <v>3686</v>
      </c>
      <c r="N217" s="221">
        <f>+L218/M218</f>
        <v>7.921582563373608</v>
      </c>
      <c r="O217" s="201"/>
    </row>
    <row r="218" spans="1:15" ht="15">
      <c r="A218" s="104">
        <v>215</v>
      </c>
      <c r="B218" s="227" t="s">
        <v>57</v>
      </c>
      <c r="C218" s="117">
        <v>40151</v>
      </c>
      <c r="D218" s="37" t="s">
        <v>163</v>
      </c>
      <c r="E218" s="133">
        <v>2</v>
      </c>
      <c r="F218" s="133">
        <v>1</v>
      </c>
      <c r="G218" s="133">
        <v>9</v>
      </c>
      <c r="H218" s="119">
        <v>2139</v>
      </c>
      <c r="I218" s="120">
        <v>535</v>
      </c>
      <c r="J218" s="122">
        <f>I218/F218</f>
        <v>535</v>
      </c>
      <c r="K218" s="53">
        <f>H218/I218</f>
        <v>3.9981308411214953</v>
      </c>
      <c r="L218" s="52">
        <f>14952+6112+2196+2975+2853+674+1006+530+2139</f>
        <v>33437</v>
      </c>
      <c r="M218" s="122">
        <f>1468+666+254+478+502+81+130+107+535</f>
        <v>4221</v>
      </c>
      <c r="N218" s="221">
        <f>+L219/M219</f>
        <v>7.833139845578344</v>
      </c>
      <c r="O218" s="202"/>
    </row>
    <row r="219" spans="1:15" ht="15">
      <c r="A219" s="104">
        <v>216</v>
      </c>
      <c r="B219" s="227" t="s">
        <v>258</v>
      </c>
      <c r="C219" s="46">
        <v>39710</v>
      </c>
      <c r="D219" s="47" t="s">
        <v>49</v>
      </c>
      <c r="E219" s="133">
        <v>65</v>
      </c>
      <c r="F219" s="133">
        <v>1</v>
      </c>
      <c r="G219" s="133">
        <v>28</v>
      </c>
      <c r="H219" s="119">
        <v>1922</v>
      </c>
      <c r="I219" s="120">
        <v>384</v>
      </c>
      <c r="J219" s="122">
        <f>I219/F219</f>
        <v>384</v>
      </c>
      <c r="K219" s="53">
        <f>H219/I219</f>
        <v>5.005208333333333</v>
      </c>
      <c r="L219" s="52">
        <f>152576+127511+68854.5+21974+10111.5+7103+7290+0.5+1014+3149+989+3524+0.5+3768+138+2528+257+351.5+573.5+184+3655+10+15+10+210+156+3603+3603+1922</f>
        <v>425081</v>
      </c>
      <c r="M219" s="122">
        <f>50018+825+47+65+137+67+1215+2+3+2+35+26+721+720+384</f>
        <v>54267</v>
      </c>
      <c r="N219" s="280">
        <f>+L219/M219</f>
        <v>7.833139845578344</v>
      </c>
      <c r="O219" s="353"/>
    </row>
    <row r="220" spans="1:15" ht="15">
      <c r="A220" s="104">
        <v>217</v>
      </c>
      <c r="B220" s="219" t="s">
        <v>39</v>
      </c>
      <c r="C220" s="46">
        <v>40109</v>
      </c>
      <c r="D220" s="37" t="s">
        <v>112</v>
      </c>
      <c r="E220" s="138">
        <v>27</v>
      </c>
      <c r="F220" s="138">
        <v>3</v>
      </c>
      <c r="G220" s="138">
        <v>7</v>
      </c>
      <c r="H220" s="76">
        <v>1383</v>
      </c>
      <c r="I220" s="77">
        <v>193</v>
      </c>
      <c r="J220" s="101">
        <f>+I220/F220</f>
        <v>64.33333333333333</v>
      </c>
      <c r="K220" s="51">
        <f>+H220/I220</f>
        <v>7.16580310880829</v>
      </c>
      <c r="L220" s="78">
        <v>145394</v>
      </c>
      <c r="M220" s="101">
        <v>12128</v>
      </c>
      <c r="N220" s="220">
        <f>+L221/M221</f>
        <v>12.136046906866078</v>
      </c>
      <c r="O220" s="199">
        <v>1</v>
      </c>
    </row>
    <row r="221" spans="1:15" ht="15">
      <c r="A221" s="104">
        <v>218</v>
      </c>
      <c r="B221" s="219" t="s">
        <v>39</v>
      </c>
      <c r="C221" s="29">
        <v>40109</v>
      </c>
      <c r="D221" s="43" t="s">
        <v>112</v>
      </c>
      <c r="E221" s="137">
        <v>27</v>
      </c>
      <c r="F221" s="137">
        <v>1</v>
      </c>
      <c r="G221" s="137">
        <v>6</v>
      </c>
      <c r="H221" s="44">
        <v>189</v>
      </c>
      <c r="I221" s="40">
        <v>26</v>
      </c>
      <c r="J221" s="41">
        <f>I221/F221</f>
        <v>26</v>
      </c>
      <c r="K221" s="34">
        <f>H221/I221</f>
        <v>7.269230769230769</v>
      </c>
      <c r="L221" s="45">
        <v>142817</v>
      </c>
      <c r="M221" s="42">
        <v>11768</v>
      </c>
      <c r="N221" s="224">
        <f>IF(L222&lt;&gt;0,L222/M222,"")</f>
        <v>8.073504508215478</v>
      </c>
      <c r="O221" s="200">
        <v>1</v>
      </c>
    </row>
    <row r="222" spans="1:15" ht="15">
      <c r="A222" s="104">
        <v>219</v>
      </c>
      <c r="B222" s="231" t="s">
        <v>13</v>
      </c>
      <c r="C222" s="29">
        <v>40074</v>
      </c>
      <c r="D222" s="87" t="s">
        <v>85</v>
      </c>
      <c r="E222" s="142" t="s">
        <v>97</v>
      </c>
      <c r="F222" s="142" t="s">
        <v>98</v>
      </c>
      <c r="G222" s="142" t="s">
        <v>99</v>
      </c>
      <c r="H222" s="88">
        <v>1385</v>
      </c>
      <c r="I222" s="92">
        <v>222</v>
      </c>
      <c r="J222" s="93">
        <f>+I222/F222</f>
        <v>222</v>
      </c>
      <c r="K222" s="61">
        <f>IF(H222&lt;&gt;0,H222/I222,"")</f>
        <v>6.238738738738738</v>
      </c>
      <c r="L222" s="90">
        <v>176398</v>
      </c>
      <c r="M222" s="94">
        <v>21849</v>
      </c>
      <c r="N222" s="224">
        <f>IF(L223&lt;&gt;0,L223/M223,"")</f>
        <v>8.05110647560312</v>
      </c>
      <c r="O222" s="201">
        <v>1</v>
      </c>
    </row>
    <row r="223" spans="1:15" ht="15">
      <c r="A223" s="104">
        <v>220</v>
      </c>
      <c r="B223" s="231" t="s">
        <v>13</v>
      </c>
      <c r="C223" s="29">
        <v>40074</v>
      </c>
      <c r="D223" s="87" t="s">
        <v>85</v>
      </c>
      <c r="E223" s="142" t="s">
        <v>97</v>
      </c>
      <c r="F223" s="142" t="s">
        <v>98</v>
      </c>
      <c r="G223" s="142" t="s">
        <v>14</v>
      </c>
      <c r="H223" s="88">
        <v>1145</v>
      </c>
      <c r="I223" s="89">
        <v>203</v>
      </c>
      <c r="J223" s="95">
        <f>+I223/F223</f>
        <v>203</v>
      </c>
      <c r="K223" s="96"/>
      <c r="L223" s="90">
        <v>177543</v>
      </c>
      <c r="M223" s="91">
        <v>22052</v>
      </c>
      <c r="N223" s="220">
        <f>L224/M224</f>
        <v>5.862188099808061</v>
      </c>
      <c r="O223" s="201">
        <v>1</v>
      </c>
    </row>
    <row r="224" spans="1:15" ht="15">
      <c r="A224" s="104">
        <v>221</v>
      </c>
      <c r="B224" s="222" t="s">
        <v>23</v>
      </c>
      <c r="C224" s="46">
        <v>39962</v>
      </c>
      <c r="D224" s="47" t="s">
        <v>163</v>
      </c>
      <c r="E224" s="138">
        <v>1</v>
      </c>
      <c r="F224" s="138">
        <v>1</v>
      </c>
      <c r="G224" s="138">
        <v>16</v>
      </c>
      <c r="H224" s="31">
        <v>84</v>
      </c>
      <c r="I224" s="40">
        <v>20</v>
      </c>
      <c r="J224" s="41">
        <f>(I224/F224)</f>
        <v>20</v>
      </c>
      <c r="K224" s="34">
        <f>H224/I224</f>
        <v>4.2</v>
      </c>
      <c r="L224" s="35">
        <f>2055+1340+750+709+604+925+1270+1220+776+981+343+858+383+597+2376+84</f>
        <v>15271</v>
      </c>
      <c r="M224" s="42">
        <f>411+268+150+85+70+118+161+152+99+144+47+143+48+95+594+20</f>
        <v>2605</v>
      </c>
      <c r="N224" s="220">
        <f>L225/M225</f>
        <v>5.843630816170862</v>
      </c>
      <c r="O224" s="202">
        <v>1</v>
      </c>
    </row>
    <row r="225" spans="1:15" ht="15">
      <c r="A225" s="104">
        <v>222</v>
      </c>
      <c r="B225" s="222" t="s">
        <v>23</v>
      </c>
      <c r="C225" s="46">
        <v>39962</v>
      </c>
      <c r="D225" s="48" t="s">
        <v>163</v>
      </c>
      <c r="E225" s="138">
        <v>1</v>
      </c>
      <c r="F225" s="138">
        <v>1</v>
      </c>
      <c r="G225" s="138">
        <v>17</v>
      </c>
      <c r="H225" s="44">
        <v>51</v>
      </c>
      <c r="I225" s="40">
        <v>17</v>
      </c>
      <c r="J225" s="41">
        <f>(I225/F225)</f>
        <v>17</v>
      </c>
      <c r="K225" s="34">
        <f>H225/I225</f>
        <v>3</v>
      </c>
      <c r="L225" s="45">
        <f>2055+1340+750+709+604+925+1270+1220+776+981+343+858+383+597+2376+84+51</f>
        <v>15322</v>
      </c>
      <c r="M225" s="42">
        <f>411+268+150+85+70+118+161+152+99+144+47+143+48+95+594+20+17</f>
        <v>2622</v>
      </c>
      <c r="N225" s="220">
        <f aca="true" t="shared" si="21" ref="N225:N231">+L226/M226</f>
        <v>10.142659495693518</v>
      </c>
      <c r="O225" s="201">
        <v>1</v>
      </c>
    </row>
    <row r="226" spans="1:15" ht="15">
      <c r="A226" s="104">
        <v>223</v>
      </c>
      <c r="B226" s="219" t="s">
        <v>38</v>
      </c>
      <c r="C226" s="29">
        <v>40088</v>
      </c>
      <c r="D226" s="43" t="s">
        <v>112</v>
      </c>
      <c r="E226" s="137">
        <v>53</v>
      </c>
      <c r="F226" s="137">
        <v>2</v>
      </c>
      <c r="G226" s="137">
        <v>12</v>
      </c>
      <c r="H226" s="44">
        <v>206</v>
      </c>
      <c r="I226" s="40">
        <v>33</v>
      </c>
      <c r="J226" s="41">
        <f>I226/F226</f>
        <v>16.5</v>
      </c>
      <c r="K226" s="34">
        <f>H226/I226</f>
        <v>6.242424242424242</v>
      </c>
      <c r="L226" s="45">
        <v>520501</v>
      </c>
      <c r="M226" s="42">
        <v>51318</v>
      </c>
      <c r="N226" s="221">
        <f t="shared" si="21"/>
        <v>10.14201379417839</v>
      </c>
      <c r="O226" s="203">
        <v>1</v>
      </c>
    </row>
    <row r="227" spans="1:15" ht="15">
      <c r="A227" s="104">
        <v>224</v>
      </c>
      <c r="B227" s="219" t="s">
        <v>38</v>
      </c>
      <c r="C227" s="46">
        <v>40088</v>
      </c>
      <c r="D227" s="37" t="s">
        <v>112</v>
      </c>
      <c r="E227" s="138">
        <v>53</v>
      </c>
      <c r="F227" s="138">
        <v>1</v>
      </c>
      <c r="G227" s="138">
        <v>13</v>
      </c>
      <c r="H227" s="76">
        <v>48</v>
      </c>
      <c r="I227" s="77">
        <v>8</v>
      </c>
      <c r="J227" s="101">
        <f>+I227/F227</f>
        <v>8</v>
      </c>
      <c r="K227" s="51">
        <f>+H227/I227</f>
        <v>6</v>
      </c>
      <c r="L227" s="78">
        <v>520549</v>
      </c>
      <c r="M227" s="101">
        <v>51326</v>
      </c>
      <c r="N227" s="224">
        <f t="shared" si="21"/>
        <v>8.517579060205307</v>
      </c>
      <c r="O227" s="199">
        <v>1</v>
      </c>
    </row>
    <row r="228" spans="1:15" ht="15">
      <c r="A228" s="104">
        <v>225</v>
      </c>
      <c r="B228" s="225" t="s">
        <v>2</v>
      </c>
      <c r="C228" s="29">
        <v>40158</v>
      </c>
      <c r="D228" s="97" t="s">
        <v>112</v>
      </c>
      <c r="E228" s="140">
        <v>148</v>
      </c>
      <c r="F228" s="140">
        <v>91</v>
      </c>
      <c r="G228" s="140">
        <v>4</v>
      </c>
      <c r="H228" s="88">
        <v>119681</v>
      </c>
      <c r="I228" s="92">
        <v>17048</v>
      </c>
      <c r="J228" s="60">
        <f>+I228/F228</f>
        <v>187.34065934065933</v>
      </c>
      <c r="K228" s="57">
        <f>+H228/I228</f>
        <v>7.020236977944627</v>
      </c>
      <c r="L228" s="90">
        <v>2757217</v>
      </c>
      <c r="M228" s="94">
        <v>323709</v>
      </c>
      <c r="N228" s="224">
        <f t="shared" si="21"/>
        <v>8.461495060083312</v>
      </c>
      <c r="O228" s="208">
        <v>1</v>
      </c>
    </row>
    <row r="229" spans="1:15" ht="15">
      <c r="A229" s="104">
        <v>226</v>
      </c>
      <c r="B229" s="225" t="s">
        <v>69</v>
      </c>
      <c r="C229" s="29">
        <v>40158</v>
      </c>
      <c r="D229" s="87" t="s">
        <v>112</v>
      </c>
      <c r="E229" s="140">
        <v>148</v>
      </c>
      <c r="F229" s="140">
        <v>77</v>
      </c>
      <c r="G229" s="140">
        <v>5</v>
      </c>
      <c r="H229" s="88">
        <v>62188</v>
      </c>
      <c r="I229" s="92">
        <v>9495</v>
      </c>
      <c r="J229" s="60">
        <f>+I229/F229</f>
        <v>123.31168831168831</v>
      </c>
      <c r="K229" s="61">
        <f>+H229/I229</f>
        <v>6.549552395997893</v>
      </c>
      <c r="L229" s="90">
        <v>2819404</v>
      </c>
      <c r="M229" s="94">
        <v>333204</v>
      </c>
      <c r="N229" s="224">
        <f t="shared" si="21"/>
        <v>8.42448688593455</v>
      </c>
      <c r="O229" s="199"/>
    </row>
    <row r="230" spans="1:15" ht="15">
      <c r="A230" s="104">
        <v>227</v>
      </c>
      <c r="B230" s="225" t="s">
        <v>2</v>
      </c>
      <c r="C230" s="29">
        <v>40158</v>
      </c>
      <c r="D230" s="87" t="s">
        <v>112</v>
      </c>
      <c r="E230" s="140">
        <v>148</v>
      </c>
      <c r="F230" s="140">
        <v>39</v>
      </c>
      <c r="G230" s="140">
        <v>6</v>
      </c>
      <c r="H230" s="88">
        <v>28359</v>
      </c>
      <c r="I230" s="89">
        <v>4830</v>
      </c>
      <c r="J230" s="56">
        <f>+I230/F230</f>
        <v>123.84615384615384</v>
      </c>
      <c r="K230" s="57">
        <f>+H230/I230</f>
        <v>5.871428571428571</v>
      </c>
      <c r="L230" s="90">
        <v>2847763</v>
      </c>
      <c r="M230" s="91">
        <v>338034</v>
      </c>
      <c r="N230" s="220">
        <f t="shared" si="21"/>
        <v>8.40084294001028</v>
      </c>
      <c r="O230" s="201"/>
    </row>
    <row r="231" spans="1:15" ht="15">
      <c r="A231" s="104">
        <v>228</v>
      </c>
      <c r="B231" s="219" t="s">
        <v>69</v>
      </c>
      <c r="C231" s="29">
        <v>40158</v>
      </c>
      <c r="D231" s="43" t="s">
        <v>112</v>
      </c>
      <c r="E231" s="137">
        <v>148</v>
      </c>
      <c r="F231" s="137">
        <v>16</v>
      </c>
      <c r="G231" s="137">
        <v>7</v>
      </c>
      <c r="H231" s="44">
        <v>12514</v>
      </c>
      <c r="I231" s="40">
        <v>2441</v>
      </c>
      <c r="J231" s="41">
        <f>I231/F231</f>
        <v>152.5625</v>
      </c>
      <c r="K231" s="34">
        <f>H231/I231</f>
        <v>5.126587464154035</v>
      </c>
      <c r="L231" s="45">
        <v>2860277</v>
      </c>
      <c r="M231" s="42">
        <v>340475</v>
      </c>
      <c r="N231" s="221">
        <f t="shared" si="21"/>
        <v>8.39805631580028</v>
      </c>
      <c r="O231" s="200"/>
    </row>
    <row r="232" spans="1:15" ht="15">
      <c r="A232" s="104">
        <v>229</v>
      </c>
      <c r="B232" s="219" t="s">
        <v>69</v>
      </c>
      <c r="C232" s="46">
        <v>40158</v>
      </c>
      <c r="D232" s="37" t="s">
        <v>112</v>
      </c>
      <c r="E232" s="138">
        <v>148</v>
      </c>
      <c r="F232" s="138">
        <v>6</v>
      </c>
      <c r="G232" s="138">
        <v>8</v>
      </c>
      <c r="H232" s="76">
        <v>2612</v>
      </c>
      <c r="I232" s="77">
        <v>424</v>
      </c>
      <c r="J232" s="101">
        <f>+I232/F232</f>
        <v>70.66666666666667</v>
      </c>
      <c r="K232" s="51">
        <f>+H232/I232</f>
        <v>6.160377358490566</v>
      </c>
      <c r="L232" s="78">
        <v>2862889</v>
      </c>
      <c r="M232" s="101">
        <v>340899</v>
      </c>
      <c r="N232" s="221">
        <f>L233/M233</f>
        <v>8.397404882340004</v>
      </c>
      <c r="O232" s="202"/>
    </row>
    <row r="233" spans="1:15" ht="15">
      <c r="A233" s="104">
        <v>230</v>
      </c>
      <c r="B233" s="222" t="s">
        <v>2</v>
      </c>
      <c r="C233" s="46">
        <v>40158</v>
      </c>
      <c r="D233" s="37" t="s">
        <v>112</v>
      </c>
      <c r="E233" s="138">
        <v>148</v>
      </c>
      <c r="F233" s="138">
        <v>2</v>
      </c>
      <c r="G233" s="138">
        <v>9</v>
      </c>
      <c r="H233" s="111">
        <v>836</v>
      </c>
      <c r="I233" s="112">
        <v>126</v>
      </c>
      <c r="J233" s="101">
        <f>(I233/F233)</f>
        <v>63</v>
      </c>
      <c r="K233" s="51">
        <f>(J233/G233)</f>
        <v>7</v>
      </c>
      <c r="L233" s="78">
        <v>2863725</v>
      </c>
      <c r="M233" s="101">
        <v>341025</v>
      </c>
      <c r="N233" s="221">
        <f aca="true" t="shared" si="22" ref="N233:N238">+L234/M234</f>
        <v>8.394964557919012</v>
      </c>
      <c r="O233" s="201"/>
    </row>
    <row r="234" spans="1:15" ht="15">
      <c r="A234" s="104">
        <v>231</v>
      </c>
      <c r="B234" s="222" t="s">
        <v>69</v>
      </c>
      <c r="C234" s="117">
        <v>40158</v>
      </c>
      <c r="D234" s="118" t="s">
        <v>112</v>
      </c>
      <c r="E234" s="133">
        <v>148</v>
      </c>
      <c r="F234" s="133">
        <v>1</v>
      </c>
      <c r="G234" s="133">
        <v>12</v>
      </c>
      <c r="H234" s="119">
        <v>500</v>
      </c>
      <c r="I234" s="120">
        <v>125</v>
      </c>
      <c r="J234" s="122">
        <f>+I234/F234</f>
        <v>125</v>
      </c>
      <c r="K234" s="53">
        <f>H234/I234</f>
        <v>4</v>
      </c>
      <c r="L234" s="52">
        <v>2864874</v>
      </c>
      <c r="M234" s="122">
        <v>341261</v>
      </c>
      <c r="N234" s="221">
        <f t="shared" si="22"/>
        <v>8.396797476444272</v>
      </c>
      <c r="O234" s="201">
        <v>1</v>
      </c>
    </row>
    <row r="235" spans="1:15" ht="15">
      <c r="A235" s="104">
        <v>232</v>
      </c>
      <c r="B235" s="222" t="s">
        <v>2</v>
      </c>
      <c r="C235" s="46">
        <v>40158</v>
      </c>
      <c r="D235" s="37" t="s">
        <v>112</v>
      </c>
      <c r="E235" s="138">
        <v>148</v>
      </c>
      <c r="F235" s="138">
        <v>1</v>
      </c>
      <c r="G235" s="138">
        <v>10</v>
      </c>
      <c r="H235" s="115">
        <v>473</v>
      </c>
      <c r="I235" s="116">
        <v>81</v>
      </c>
      <c r="J235" s="122">
        <f>+I235/F235</f>
        <v>81</v>
      </c>
      <c r="K235" s="53">
        <f>+H235/I235</f>
        <v>5.839506172839506</v>
      </c>
      <c r="L235" s="52">
        <v>2864198</v>
      </c>
      <c r="M235" s="122">
        <v>341106</v>
      </c>
      <c r="N235" s="221">
        <f t="shared" si="22"/>
        <v>8.396574973031283</v>
      </c>
      <c r="O235" s="201"/>
    </row>
    <row r="236" spans="1:15" ht="15">
      <c r="A236" s="104">
        <v>233</v>
      </c>
      <c r="B236" s="222" t="s">
        <v>2</v>
      </c>
      <c r="C236" s="117">
        <v>40158</v>
      </c>
      <c r="D236" s="118" t="s">
        <v>112</v>
      </c>
      <c r="E236" s="133">
        <v>148</v>
      </c>
      <c r="F236" s="133">
        <v>1</v>
      </c>
      <c r="G236" s="133">
        <v>11</v>
      </c>
      <c r="H236" s="119">
        <v>176</v>
      </c>
      <c r="I236" s="120">
        <v>30</v>
      </c>
      <c r="J236" s="122">
        <f aca="true" t="shared" si="23" ref="J236:J242">I236/F236</f>
        <v>30</v>
      </c>
      <c r="K236" s="53">
        <f>H236/I236</f>
        <v>5.866666666666666</v>
      </c>
      <c r="L236" s="52">
        <v>2864374</v>
      </c>
      <c r="M236" s="122">
        <v>341136</v>
      </c>
      <c r="N236" s="229">
        <f t="shared" si="22"/>
        <v>9.937168115913993</v>
      </c>
      <c r="O236" s="199"/>
    </row>
    <row r="237" spans="1:15" ht="15">
      <c r="A237" s="104">
        <v>234</v>
      </c>
      <c r="B237" s="228" t="s">
        <v>44</v>
      </c>
      <c r="C237" s="80">
        <v>40074</v>
      </c>
      <c r="D237" s="81" t="s">
        <v>162</v>
      </c>
      <c r="E237" s="141">
        <v>61</v>
      </c>
      <c r="F237" s="141">
        <v>1</v>
      </c>
      <c r="G237" s="141">
        <v>15</v>
      </c>
      <c r="H237" s="82">
        <v>1521</v>
      </c>
      <c r="I237" s="98">
        <v>408</v>
      </c>
      <c r="J237" s="83">
        <f t="shared" si="23"/>
        <v>408</v>
      </c>
      <c r="K237" s="85">
        <f>+H237/I237</f>
        <v>3.7279411764705883</v>
      </c>
      <c r="L237" s="84">
        <v>1027374</v>
      </c>
      <c r="M237" s="83">
        <v>103387</v>
      </c>
      <c r="N237" s="221">
        <f t="shared" si="22"/>
        <v>9.92814827679364</v>
      </c>
      <c r="O237" s="203"/>
    </row>
    <row r="238" spans="1:15" ht="15">
      <c r="A238" s="104">
        <v>235</v>
      </c>
      <c r="B238" s="222" t="s">
        <v>44</v>
      </c>
      <c r="C238" s="46">
        <v>40074</v>
      </c>
      <c r="D238" s="79" t="s">
        <v>162</v>
      </c>
      <c r="E238" s="138">
        <v>61</v>
      </c>
      <c r="F238" s="138">
        <v>2</v>
      </c>
      <c r="G238" s="138">
        <v>17</v>
      </c>
      <c r="H238" s="49">
        <v>1503</v>
      </c>
      <c r="I238" s="77">
        <v>241</v>
      </c>
      <c r="J238" s="101">
        <f t="shared" si="23"/>
        <v>120.5</v>
      </c>
      <c r="K238" s="51">
        <f>+H238/I238</f>
        <v>6.236514522821577</v>
      </c>
      <c r="L238" s="52">
        <v>1028993</v>
      </c>
      <c r="M238" s="101">
        <v>103644</v>
      </c>
      <c r="N238" s="221">
        <f t="shared" si="22"/>
        <v>9.936752318598106</v>
      </c>
      <c r="O238" s="202"/>
    </row>
    <row r="239" spans="1:15" ht="15">
      <c r="A239" s="104">
        <v>236</v>
      </c>
      <c r="B239" s="222" t="s">
        <v>44</v>
      </c>
      <c r="C239" s="46">
        <v>40074</v>
      </c>
      <c r="D239" s="79" t="s">
        <v>162</v>
      </c>
      <c r="E239" s="138">
        <v>61</v>
      </c>
      <c r="F239" s="138">
        <v>1</v>
      </c>
      <c r="G239" s="138">
        <v>16</v>
      </c>
      <c r="H239" s="49">
        <v>116</v>
      </c>
      <c r="I239" s="50">
        <v>16</v>
      </c>
      <c r="J239" s="122">
        <f t="shared" si="23"/>
        <v>16</v>
      </c>
      <c r="K239" s="53">
        <f>+H239/I239</f>
        <v>7.25</v>
      </c>
      <c r="L239" s="52">
        <v>1027490</v>
      </c>
      <c r="M239" s="122">
        <v>103403</v>
      </c>
      <c r="N239" s="220">
        <f>IF(L240&lt;&gt;0,L240/M240,"")</f>
        <v>9.81186609659298</v>
      </c>
      <c r="O239" s="203"/>
    </row>
    <row r="240" spans="1:15" ht="15">
      <c r="A240" s="104">
        <v>237</v>
      </c>
      <c r="B240" s="219" t="s">
        <v>44</v>
      </c>
      <c r="C240" s="29">
        <v>40074</v>
      </c>
      <c r="D240" s="37" t="s">
        <v>162</v>
      </c>
      <c r="E240" s="137">
        <v>61</v>
      </c>
      <c r="F240" s="137">
        <v>1</v>
      </c>
      <c r="G240" s="137">
        <v>28</v>
      </c>
      <c r="H240" s="31">
        <v>5600</v>
      </c>
      <c r="I240" s="32">
        <v>1400</v>
      </c>
      <c r="J240" s="33">
        <f t="shared" si="23"/>
        <v>1400</v>
      </c>
      <c r="K240" s="38">
        <f>+H240/I240</f>
        <v>4</v>
      </c>
      <c r="L240" s="35">
        <v>1023515</v>
      </c>
      <c r="M240" s="36">
        <v>104314</v>
      </c>
      <c r="N240" s="220">
        <f>L241/M241</f>
        <v>9.75012804218753</v>
      </c>
      <c r="O240" s="201"/>
    </row>
    <row r="241" spans="1:15" ht="15">
      <c r="A241" s="104">
        <v>238</v>
      </c>
      <c r="B241" s="219" t="s">
        <v>44</v>
      </c>
      <c r="C241" s="46">
        <v>40074</v>
      </c>
      <c r="D241" s="39" t="s">
        <v>162</v>
      </c>
      <c r="E241" s="138">
        <v>61</v>
      </c>
      <c r="F241" s="138">
        <v>1</v>
      </c>
      <c r="G241" s="133">
        <v>30</v>
      </c>
      <c r="H241" s="119">
        <v>4480</v>
      </c>
      <c r="I241" s="120">
        <v>1120</v>
      </c>
      <c r="J241" s="122">
        <f t="shared" si="23"/>
        <v>1120</v>
      </c>
      <c r="K241" s="53">
        <f>H241/I241</f>
        <v>4</v>
      </c>
      <c r="L241" s="52">
        <v>1027995</v>
      </c>
      <c r="M241" s="122">
        <v>105434</v>
      </c>
      <c r="N241" s="280">
        <f>+L241/M241</f>
        <v>9.75012804218753</v>
      </c>
      <c r="O241" s="277"/>
    </row>
    <row r="242" spans="1:15" ht="15">
      <c r="A242" s="104">
        <v>239</v>
      </c>
      <c r="B242" s="219" t="s">
        <v>44</v>
      </c>
      <c r="C242" s="46">
        <v>40074</v>
      </c>
      <c r="D242" s="39" t="s">
        <v>162</v>
      </c>
      <c r="E242" s="133">
        <v>61</v>
      </c>
      <c r="F242" s="133">
        <v>1</v>
      </c>
      <c r="G242" s="133">
        <v>31</v>
      </c>
      <c r="H242" s="119">
        <v>4480</v>
      </c>
      <c r="I242" s="120">
        <v>1120</v>
      </c>
      <c r="J242" s="122">
        <f t="shared" si="23"/>
        <v>1120</v>
      </c>
      <c r="K242" s="53">
        <f>H242/I242</f>
        <v>4</v>
      </c>
      <c r="L242" s="52">
        <v>1032475</v>
      </c>
      <c r="M242" s="122">
        <v>106554</v>
      </c>
      <c r="N242" s="280">
        <f>+L242/M242</f>
        <v>9.6896878577998</v>
      </c>
      <c r="O242" s="352"/>
    </row>
    <row r="243" spans="1:15" ht="15">
      <c r="A243" s="104">
        <v>240</v>
      </c>
      <c r="B243" s="223" t="s">
        <v>120</v>
      </c>
      <c r="C243" s="62">
        <v>39878</v>
      </c>
      <c r="D243" s="63" t="s">
        <v>163</v>
      </c>
      <c r="E243" s="139">
        <v>39</v>
      </c>
      <c r="F243" s="139">
        <v>1</v>
      </c>
      <c r="G243" s="139">
        <v>29</v>
      </c>
      <c r="H243" s="44">
        <v>1780</v>
      </c>
      <c r="I243" s="40">
        <v>445</v>
      </c>
      <c r="J243" s="41">
        <f>(I243/F243)</f>
        <v>445</v>
      </c>
      <c r="K243" s="51">
        <f>+H243/I243</f>
        <v>4</v>
      </c>
      <c r="L243" s="45">
        <f>143992.5+82756.5+42509+41229+27290.5+16668+27602+17675+4710+8504.5+2403+4164+2272+3469+1997+135+299+674+178+30+240+1413+1006+209+393+680+1780+4040+1780</f>
        <v>440099</v>
      </c>
      <c r="M243" s="42">
        <f>15320+9228+5096+5970+4485+3115+5134+3946+1139+2307+509+879+411+637+472+29+62+165+32+6+48+348+139+43+54+68+445+1010+445</f>
        <v>61542</v>
      </c>
      <c r="N243" s="221">
        <f>L244/M244</f>
        <v>7.1285753464436095</v>
      </c>
      <c r="O243" s="201"/>
    </row>
    <row r="244" spans="1:15" ht="15">
      <c r="A244" s="104">
        <v>241</v>
      </c>
      <c r="B244" s="222" t="s">
        <v>120</v>
      </c>
      <c r="C244" s="46">
        <v>39878</v>
      </c>
      <c r="D244" s="37" t="s">
        <v>163</v>
      </c>
      <c r="E244" s="138">
        <v>39</v>
      </c>
      <c r="F244" s="138">
        <v>1</v>
      </c>
      <c r="G244" s="138">
        <v>30</v>
      </c>
      <c r="H244" s="111">
        <v>1780</v>
      </c>
      <c r="I244" s="112">
        <v>445</v>
      </c>
      <c r="J244" s="101">
        <f>I244/F244</f>
        <v>445</v>
      </c>
      <c r="K244" s="51">
        <f>+H244/I244</f>
        <v>4</v>
      </c>
      <c r="L244" s="78">
        <f>143992.5+82756.5+42509+41229+27290.5+16668+27602+17675+4710+8504.5+2403+4164+2272+3469+1997+135+299+674+178+30+240+1413+1006+209+393+680+1780+4040+1780+1780</f>
        <v>441879</v>
      </c>
      <c r="M244" s="101">
        <f>15320+9228+5096+5970+4485+3115+5134+3946+1139+2307+509+879+411+637+472+29+62+165+32+6+48+348+139+43+54+68+445+1010+445+445</f>
        <v>61987</v>
      </c>
      <c r="N244" s="221">
        <f>L245/M245</f>
        <v>7.116609079951788</v>
      </c>
      <c r="O244" s="201"/>
    </row>
    <row r="245" spans="1:15" ht="15">
      <c r="A245" s="104">
        <v>242</v>
      </c>
      <c r="B245" s="227" t="s">
        <v>120</v>
      </c>
      <c r="C245" s="46">
        <v>39878</v>
      </c>
      <c r="D245" s="37" t="s">
        <v>163</v>
      </c>
      <c r="E245" s="133">
        <v>39</v>
      </c>
      <c r="F245" s="133">
        <v>1</v>
      </c>
      <c r="G245" s="133">
        <v>31</v>
      </c>
      <c r="H245" s="119">
        <v>952</v>
      </c>
      <c r="I245" s="120">
        <v>238</v>
      </c>
      <c r="J245" s="122">
        <f>I245/F245</f>
        <v>238</v>
      </c>
      <c r="K245" s="53">
        <f>H245/I245</f>
        <v>4</v>
      </c>
      <c r="L245" s="52">
        <f>143992.5+82756.5+42509+41229+27290.5+16668+27602+17675+4710+8504.5+2403+4164+2272+3469+1997+135+299+674+178+30+240+1413+1006+209+393+680+1780+4040+1780+1780+952</f>
        <v>442831</v>
      </c>
      <c r="M245" s="122">
        <f>15320+9228+5096+5970+4485+3115+5134+3946+1139+2307+509+879+411+637+472+29+62+165+32+6+48+348+139+43+54+68+445+1010+445+445+238</f>
        <v>62225</v>
      </c>
      <c r="N245" s="280">
        <f>+L245/M245</f>
        <v>7.116609079951788</v>
      </c>
      <c r="O245" s="350"/>
    </row>
    <row r="246" spans="1:15" ht="15">
      <c r="A246" s="104">
        <v>243</v>
      </c>
      <c r="B246" s="222" t="s">
        <v>177</v>
      </c>
      <c r="C246" s="46">
        <v>39884</v>
      </c>
      <c r="D246" s="37" t="s">
        <v>112</v>
      </c>
      <c r="E246" s="138">
        <v>355</v>
      </c>
      <c r="F246" s="138">
        <v>1</v>
      </c>
      <c r="G246" s="138">
        <v>14</v>
      </c>
      <c r="H246" s="111">
        <v>1500</v>
      </c>
      <c r="I246" s="112">
        <v>300</v>
      </c>
      <c r="J246" s="101">
        <f>(I246/F246)</f>
        <v>300</v>
      </c>
      <c r="K246" s="51">
        <f>(J246/G246)</f>
        <v>21.428571428571427</v>
      </c>
      <c r="L246" s="78">
        <v>19045225</v>
      </c>
      <c r="M246" s="101">
        <v>2491754</v>
      </c>
      <c r="N246" s="221">
        <f>L247/M247</f>
        <v>7.460792933442892</v>
      </c>
      <c r="O246" s="202"/>
    </row>
    <row r="247" spans="1:15" ht="15">
      <c r="A247" s="104">
        <v>244</v>
      </c>
      <c r="B247" s="219" t="s">
        <v>203</v>
      </c>
      <c r="C247" s="46">
        <v>39899</v>
      </c>
      <c r="D247" s="37" t="s">
        <v>163</v>
      </c>
      <c r="E247" s="133">
        <v>16</v>
      </c>
      <c r="F247" s="133">
        <v>1</v>
      </c>
      <c r="G247" s="133">
        <v>19</v>
      </c>
      <c r="H247" s="119">
        <v>669.28</v>
      </c>
      <c r="I247" s="120">
        <v>150</v>
      </c>
      <c r="J247" s="122">
        <f>I247/F247</f>
        <v>150</v>
      </c>
      <c r="K247" s="53">
        <f>+H247/I247</f>
        <v>4.461866666666666</v>
      </c>
      <c r="L247" s="52">
        <f>31480+15536+8716+2149+2897+1360+2390+1251+322+381+329+492+928+436+1103+1913+46+240+669.28</f>
        <v>72638.28</v>
      </c>
      <c r="M247" s="122">
        <f>3450+1778+1361+440+508+248+548+290+68+72+58+96+96+70+137+309+9+48+150</f>
        <v>9736</v>
      </c>
      <c r="N247" s="280">
        <f>+L247/M247</f>
        <v>7.460792933442892</v>
      </c>
      <c r="O247" s="203">
        <v>1</v>
      </c>
    </row>
    <row r="248" spans="1:15" ht="15">
      <c r="A248" s="104">
        <v>245</v>
      </c>
      <c r="B248" s="219" t="s">
        <v>203</v>
      </c>
      <c r="C248" s="46">
        <v>39899</v>
      </c>
      <c r="D248" s="37" t="s">
        <v>163</v>
      </c>
      <c r="E248" s="133">
        <v>16</v>
      </c>
      <c r="F248" s="133">
        <v>1</v>
      </c>
      <c r="G248" s="133">
        <v>20</v>
      </c>
      <c r="H248" s="337">
        <v>648.46</v>
      </c>
      <c r="I248" s="338">
        <v>151</v>
      </c>
      <c r="J248" s="122">
        <f>(I248/F248)</f>
        <v>151</v>
      </c>
      <c r="K248" s="53">
        <f aca="true" t="shared" si="24" ref="K248:K253">H248/I248</f>
        <v>4.2944370860927155</v>
      </c>
      <c r="L248" s="52">
        <f>31480+15536+8716+2149+2897+1360+2390+1251+322+381+329+492+928+436+1103+1913+46+240+669.28+648.46</f>
        <v>73286.74</v>
      </c>
      <c r="M248" s="122">
        <f>3450+1778+1361+440+508+248+548+290+68+72+58+96+96+70+137+309+9+48+150+151</f>
        <v>9887</v>
      </c>
      <c r="N248" s="280">
        <f>L248/M248</f>
        <v>7.412434509962577</v>
      </c>
      <c r="O248" s="203">
        <v>1</v>
      </c>
    </row>
    <row r="249" spans="1:15" ht="15">
      <c r="A249" s="104">
        <v>246</v>
      </c>
      <c r="B249" s="219" t="s">
        <v>279</v>
      </c>
      <c r="C249" s="46">
        <v>40060</v>
      </c>
      <c r="D249" s="37" t="s">
        <v>163</v>
      </c>
      <c r="E249" s="133">
        <v>3</v>
      </c>
      <c r="F249" s="133">
        <v>1</v>
      </c>
      <c r="G249" s="133">
        <v>9</v>
      </c>
      <c r="H249" s="337">
        <v>2830.46</v>
      </c>
      <c r="I249" s="338">
        <v>698</v>
      </c>
      <c r="J249" s="122">
        <f>(I249/F249)</f>
        <v>698</v>
      </c>
      <c r="K249" s="53">
        <f t="shared" si="24"/>
        <v>4.0551002865329515</v>
      </c>
      <c r="L249" s="52">
        <f>7317+3809.25+1860+639+729+966+238+668+2830.46</f>
        <v>19056.71</v>
      </c>
      <c r="M249" s="122">
        <f>792+424+238+115+144+202+40+134+698</f>
        <v>2787</v>
      </c>
      <c r="N249" s="280">
        <f>L249/M249</f>
        <v>6.837714388231072</v>
      </c>
      <c r="O249" s="203">
        <v>1</v>
      </c>
    </row>
    <row r="250" spans="1:15" ht="15">
      <c r="A250" s="104">
        <v>247</v>
      </c>
      <c r="B250" s="222" t="s">
        <v>172</v>
      </c>
      <c r="C250" s="46">
        <v>39892</v>
      </c>
      <c r="D250" s="37" t="s">
        <v>163</v>
      </c>
      <c r="E250" s="138">
        <v>5</v>
      </c>
      <c r="F250" s="138">
        <v>1</v>
      </c>
      <c r="G250" s="138">
        <v>20</v>
      </c>
      <c r="H250" s="111">
        <v>114</v>
      </c>
      <c r="I250" s="112">
        <v>23</v>
      </c>
      <c r="J250" s="101">
        <f>(I250/F250)</f>
        <v>23</v>
      </c>
      <c r="K250" s="51">
        <f t="shared" si="24"/>
        <v>4.956521739130435</v>
      </c>
      <c r="L250" s="78">
        <f>18881.5+13473+6553+4173.5+2378+3269+2172+792+240+60+1236+552+1321+1757+465+884+565+65+261+952+114</f>
        <v>60164</v>
      </c>
      <c r="M250" s="101">
        <f>2268+1745+795+568+579+610+541+209+80+20+215+68+169+337+93+144+93+15+56+238+23</f>
        <v>8866</v>
      </c>
      <c r="N250" s="221">
        <f>L251/M251</f>
        <v>6.776389826693675</v>
      </c>
      <c r="O250" s="201"/>
    </row>
    <row r="251" spans="1:15" ht="15">
      <c r="A251" s="104">
        <v>248</v>
      </c>
      <c r="B251" s="222" t="s">
        <v>172</v>
      </c>
      <c r="C251" s="46">
        <v>39892</v>
      </c>
      <c r="D251" s="37" t="s">
        <v>163</v>
      </c>
      <c r="E251" s="138">
        <v>5</v>
      </c>
      <c r="F251" s="138">
        <v>1</v>
      </c>
      <c r="G251" s="138">
        <v>22</v>
      </c>
      <c r="H251" s="115">
        <v>51</v>
      </c>
      <c r="I251" s="116">
        <v>20</v>
      </c>
      <c r="J251" s="122">
        <f>(I251/F251)</f>
        <v>20</v>
      </c>
      <c r="K251" s="53">
        <f t="shared" si="24"/>
        <v>2.55</v>
      </c>
      <c r="L251" s="52">
        <f>18881.5+13473+6553+4173.5+2378+3269+2172+792+240+60+1236+552+1321+1757+465+884+565+65+261+952+114+51</f>
        <v>60215</v>
      </c>
      <c r="M251" s="122">
        <f>2268+1745+795+568+579+610+541+209+80+20+215+68+169+337+93+144+93+15+56+238+23+20</f>
        <v>8886</v>
      </c>
      <c r="N251" s="221">
        <f>+L252/M252</f>
        <v>6.6024261603375525</v>
      </c>
      <c r="O251" s="199"/>
    </row>
    <row r="252" spans="1:15" ht="15">
      <c r="A252" s="104">
        <v>249</v>
      </c>
      <c r="B252" s="227" t="s">
        <v>172</v>
      </c>
      <c r="C252" s="117">
        <v>39892</v>
      </c>
      <c r="D252" s="37" t="s">
        <v>163</v>
      </c>
      <c r="E252" s="133">
        <v>5</v>
      </c>
      <c r="F252" s="133">
        <v>1</v>
      </c>
      <c r="G252" s="133">
        <v>23</v>
      </c>
      <c r="H252" s="119">
        <v>2376</v>
      </c>
      <c r="I252" s="120">
        <v>594</v>
      </c>
      <c r="J252" s="122">
        <f>I252/F252</f>
        <v>594</v>
      </c>
      <c r="K252" s="53">
        <f t="shared" si="24"/>
        <v>4</v>
      </c>
      <c r="L252" s="52">
        <f>18881.5+13473+6553+4173.5+2378+3269+2172+792+240+60+1236+552+1321+1757+465+884+565+65+261+952+114+51+2376</f>
        <v>62591</v>
      </c>
      <c r="M252" s="122">
        <f>2268+1745+795+568+579+610+541+209+80+20+215+68+169+337+93+144+93+15+56+238+23+20+594</f>
        <v>9480</v>
      </c>
      <c r="N252" s="221">
        <f>+L253/M253</f>
        <v>9.103537360890302</v>
      </c>
      <c r="O252" s="203"/>
    </row>
    <row r="253" spans="1:15" ht="15">
      <c r="A253" s="104">
        <v>250</v>
      </c>
      <c r="B253" s="222" t="s">
        <v>123</v>
      </c>
      <c r="C253" s="117">
        <v>40088</v>
      </c>
      <c r="D253" s="37" t="s">
        <v>163</v>
      </c>
      <c r="E253" s="133">
        <v>22</v>
      </c>
      <c r="F253" s="133">
        <v>2</v>
      </c>
      <c r="G253" s="133">
        <v>11</v>
      </c>
      <c r="H253" s="119">
        <v>5416.5</v>
      </c>
      <c r="I253" s="120">
        <v>446</v>
      </c>
      <c r="J253" s="122">
        <f>(I253/F253)</f>
        <v>223</v>
      </c>
      <c r="K253" s="53">
        <f t="shared" si="24"/>
        <v>12.144618834080717</v>
      </c>
      <c r="L253" s="52">
        <f>25195+10013.5+1152+270+83.5+141+48+709.5+1424+1356+5416.5</f>
        <v>45809</v>
      </c>
      <c r="M253" s="122">
        <f>2139+1282+178+44+14+26+8+240+356+299+446</f>
        <v>5032</v>
      </c>
      <c r="N253" s="220">
        <f>L254/M254</f>
        <v>9.10578493118731</v>
      </c>
      <c r="O253" s="201"/>
    </row>
    <row r="254" spans="1:15" ht="15">
      <c r="A254" s="104">
        <v>251</v>
      </c>
      <c r="B254" s="223" t="s">
        <v>123</v>
      </c>
      <c r="C254" s="62">
        <v>40088</v>
      </c>
      <c r="D254" s="63" t="s">
        <v>163</v>
      </c>
      <c r="E254" s="139">
        <v>22</v>
      </c>
      <c r="F254" s="139">
        <v>1</v>
      </c>
      <c r="G254" s="139">
        <v>9</v>
      </c>
      <c r="H254" s="44">
        <v>1424</v>
      </c>
      <c r="I254" s="40">
        <v>356</v>
      </c>
      <c r="J254" s="41">
        <f>(I254/F254)</f>
        <v>356</v>
      </c>
      <c r="K254" s="51">
        <f>+H254/I254</f>
        <v>4</v>
      </c>
      <c r="L254" s="45">
        <f>25195+10013.5+1152+270+83.5+141+48+709.5+1424</f>
        <v>39036.5</v>
      </c>
      <c r="M254" s="42">
        <f>2139+1282+178+44+14+26+8+240+356</f>
        <v>4287</v>
      </c>
      <c r="N254" s="221">
        <f>L255/M255</f>
        <v>8.807784561709552</v>
      </c>
      <c r="O254" s="208"/>
    </row>
    <row r="255" spans="1:15" ht="15">
      <c r="A255" s="104">
        <v>252</v>
      </c>
      <c r="B255" s="222" t="s">
        <v>123</v>
      </c>
      <c r="C255" s="46">
        <v>40088</v>
      </c>
      <c r="D255" s="37" t="s">
        <v>163</v>
      </c>
      <c r="E255" s="138">
        <v>22</v>
      </c>
      <c r="F255" s="138">
        <v>3</v>
      </c>
      <c r="G255" s="138">
        <v>10</v>
      </c>
      <c r="H255" s="111">
        <v>1356</v>
      </c>
      <c r="I255" s="112">
        <v>299</v>
      </c>
      <c r="J255" s="101">
        <f>(I255/F255)</f>
        <v>99.66666666666667</v>
      </c>
      <c r="K255" s="51">
        <f>(J255/G255)</f>
        <v>9.966666666666667</v>
      </c>
      <c r="L255" s="78">
        <f>25195+10013.5+1152+270+83.5+141+48+709.5+1424+1356</f>
        <v>40392.5</v>
      </c>
      <c r="M255" s="101">
        <f>2139+1282+178+44+14+26+8+240+356+299</f>
        <v>4586</v>
      </c>
      <c r="N255" s="221">
        <f>+L256/M256</f>
        <v>11.431905774470064</v>
      </c>
      <c r="O255" s="199"/>
    </row>
    <row r="256" spans="1:15" ht="15">
      <c r="A256" s="104">
        <v>253</v>
      </c>
      <c r="B256" s="227" t="s">
        <v>123</v>
      </c>
      <c r="C256" s="117">
        <v>40088</v>
      </c>
      <c r="D256" s="37" t="s">
        <v>163</v>
      </c>
      <c r="E256" s="133">
        <v>22</v>
      </c>
      <c r="F256" s="133">
        <v>22</v>
      </c>
      <c r="G256" s="133">
        <v>12</v>
      </c>
      <c r="H256" s="119">
        <v>126229.75</v>
      </c>
      <c r="I256" s="120">
        <v>10017</v>
      </c>
      <c r="J256" s="122">
        <f>I256/F256</f>
        <v>455.3181818181818</v>
      </c>
      <c r="K256" s="53">
        <f aca="true" t="shared" si="25" ref="K256:K261">H256/I256</f>
        <v>12.601552360986323</v>
      </c>
      <c r="L256" s="52">
        <f>25195+10013.5+1152+270+83.5+141+48+709.5+1424+1356+5416.5+126229.75</f>
        <v>172038.75</v>
      </c>
      <c r="M256" s="122">
        <f>2139+1282+178+44+14+26+8+240+356+299+446+10017</f>
        <v>15049</v>
      </c>
      <c r="N256" s="221">
        <f>+L257/M257</f>
        <v>11.586625265071191</v>
      </c>
      <c r="O256" s="210"/>
    </row>
    <row r="257" spans="1:15" ht="15">
      <c r="A257" s="104">
        <v>254</v>
      </c>
      <c r="B257" s="227" t="s">
        <v>123</v>
      </c>
      <c r="C257" s="117">
        <v>40088</v>
      </c>
      <c r="D257" s="37" t="s">
        <v>163</v>
      </c>
      <c r="E257" s="133">
        <v>22</v>
      </c>
      <c r="F257" s="133">
        <v>9</v>
      </c>
      <c r="G257" s="133">
        <v>13</v>
      </c>
      <c r="H257" s="119">
        <v>19198.5</v>
      </c>
      <c r="I257" s="120">
        <v>1456</v>
      </c>
      <c r="J257" s="122">
        <f>I257/F257</f>
        <v>161.77777777777777</v>
      </c>
      <c r="K257" s="53">
        <f t="shared" si="25"/>
        <v>13.185782967032967</v>
      </c>
      <c r="L257" s="52">
        <f>25195+10013.5+1152+270+83.5+141+48+709.5+1424+1356+5416.5+126229.75+19198.5</f>
        <v>191237.25</v>
      </c>
      <c r="M257" s="122">
        <f>2139+1282+178+44+14+26+8+240+356+299+446+10017+1456</f>
        <v>16505</v>
      </c>
      <c r="N257" s="220">
        <f>L258/M258</f>
        <v>11.333731437780592</v>
      </c>
      <c r="O257" s="203"/>
    </row>
    <row r="258" spans="1:15" ht="15">
      <c r="A258" s="104">
        <v>255</v>
      </c>
      <c r="B258" s="219" t="s">
        <v>123</v>
      </c>
      <c r="C258" s="29">
        <v>40088</v>
      </c>
      <c r="D258" s="39" t="s">
        <v>163</v>
      </c>
      <c r="E258" s="137">
        <v>22</v>
      </c>
      <c r="F258" s="137">
        <v>6</v>
      </c>
      <c r="G258" s="137">
        <v>14</v>
      </c>
      <c r="H258" s="31">
        <v>5814</v>
      </c>
      <c r="I258" s="40">
        <v>869</v>
      </c>
      <c r="J258" s="41">
        <f>(I258/F258)</f>
        <v>144.83333333333334</v>
      </c>
      <c r="K258" s="34">
        <f t="shared" si="25"/>
        <v>6.690448791714615</v>
      </c>
      <c r="L258" s="35">
        <f>25195+10013.5+1152+270+83.5+141+48+709.5+1424+1356+5416.5+126229.75+19059.5+5814</f>
        <v>196912.25</v>
      </c>
      <c r="M258" s="42">
        <f>2139+1282+178+44+14+26+8+240+356+299+446+10017+1456+869</f>
        <v>17374</v>
      </c>
      <c r="N258" s="220">
        <f>IF(L259&lt;&gt;0,L259/M259,"")</f>
        <v>11.143923620623527</v>
      </c>
      <c r="O258" s="203"/>
    </row>
    <row r="259" spans="1:15" ht="15">
      <c r="A259" s="104">
        <v>256</v>
      </c>
      <c r="B259" s="219" t="s">
        <v>123</v>
      </c>
      <c r="C259" s="29">
        <v>40088</v>
      </c>
      <c r="D259" s="37" t="s">
        <v>163</v>
      </c>
      <c r="E259" s="137">
        <v>22</v>
      </c>
      <c r="F259" s="137">
        <v>8</v>
      </c>
      <c r="G259" s="137">
        <v>15</v>
      </c>
      <c r="H259" s="31">
        <v>6475.5</v>
      </c>
      <c r="I259" s="32">
        <v>877</v>
      </c>
      <c r="J259" s="33">
        <f>(I259/F259)</f>
        <v>109.625</v>
      </c>
      <c r="K259" s="38">
        <f t="shared" si="25"/>
        <v>7.38369441277081</v>
      </c>
      <c r="L259" s="35">
        <f>25195+10013.5+1152+270+83.5+141+48+709.5+1424+1356+5416.5+126229.75+19059.5+5814+6475.5</f>
        <v>203387.75</v>
      </c>
      <c r="M259" s="36">
        <f>2139+1282+178+44+14+26+8+240+356+299+446+10017+1456+869+877</f>
        <v>18251</v>
      </c>
      <c r="N259" s="220">
        <f>L260/M260</f>
        <v>11.051370587924009</v>
      </c>
      <c r="O259" s="207"/>
    </row>
    <row r="260" spans="1:15" ht="15">
      <c r="A260" s="104">
        <v>257</v>
      </c>
      <c r="B260" s="227" t="s">
        <v>123</v>
      </c>
      <c r="C260" s="46">
        <v>40088</v>
      </c>
      <c r="D260" s="37" t="s">
        <v>163</v>
      </c>
      <c r="E260" s="133">
        <v>22</v>
      </c>
      <c r="F260" s="133">
        <v>6</v>
      </c>
      <c r="G260" s="133">
        <v>16</v>
      </c>
      <c r="H260" s="119">
        <v>5450</v>
      </c>
      <c r="I260" s="120">
        <v>646</v>
      </c>
      <c r="J260" s="122">
        <f>(I260/F260)</f>
        <v>107.66666666666667</v>
      </c>
      <c r="K260" s="53">
        <f t="shared" si="25"/>
        <v>8.436532507739939</v>
      </c>
      <c r="L260" s="52">
        <f>25195+10013.5+1152+270+83.5+141+48+709.5+1424+1356+5416.5+126229.75+19059.5+5814+6475.5+5450</f>
        <v>208837.75</v>
      </c>
      <c r="M260" s="122">
        <f>2139+1282+178+44+14+26+8+240+356+299+446+10017+1456+869+877+646</f>
        <v>18897</v>
      </c>
      <c r="N260" s="280">
        <f>L260/M260</f>
        <v>11.051370587924009</v>
      </c>
      <c r="O260" s="277"/>
    </row>
    <row r="261" spans="1:15" ht="15">
      <c r="A261" s="104">
        <v>258</v>
      </c>
      <c r="B261" s="227" t="s">
        <v>123</v>
      </c>
      <c r="C261" s="46">
        <v>40088</v>
      </c>
      <c r="D261" s="37" t="s">
        <v>163</v>
      </c>
      <c r="E261" s="133">
        <v>22</v>
      </c>
      <c r="F261" s="133">
        <v>3</v>
      </c>
      <c r="G261" s="133">
        <v>17</v>
      </c>
      <c r="H261" s="119">
        <v>6300</v>
      </c>
      <c r="I261" s="120">
        <v>776</v>
      </c>
      <c r="J261" s="122">
        <f>I261/F261</f>
        <v>258.6666666666667</v>
      </c>
      <c r="K261" s="53">
        <f t="shared" si="25"/>
        <v>8.118556701030927</v>
      </c>
      <c r="L261" s="52">
        <f>25195+10013.5+1152+270+83.5+141+48+709.5+1424+1356+5416.5+126229.75+19059.5+5814+6475.5+5450+6300</f>
        <v>215137.75</v>
      </c>
      <c r="M261" s="122">
        <f>2139+1282+178+44+14+26+8+240+356+299+446+10017+1456+869+877+646+776</f>
        <v>19673</v>
      </c>
      <c r="N261" s="280">
        <f>+L261/M261</f>
        <v>10.935685965536521</v>
      </c>
      <c r="O261" s="350"/>
    </row>
    <row r="262" spans="1:15" ht="15">
      <c r="A262" s="104">
        <v>259</v>
      </c>
      <c r="B262" s="219" t="s">
        <v>123</v>
      </c>
      <c r="C262" s="46">
        <v>40088</v>
      </c>
      <c r="D262" s="37" t="s">
        <v>163</v>
      </c>
      <c r="E262" s="133">
        <v>22</v>
      </c>
      <c r="F262" s="133">
        <v>3</v>
      </c>
      <c r="G262" s="133">
        <v>18</v>
      </c>
      <c r="H262" s="119">
        <v>4948</v>
      </c>
      <c r="I262" s="120">
        <v>686</v>
      </c>
      <c r="J262" s="122">
        <f>I262/F262</f>
        <v>228.66666666666666</v>
      </c>
      <c r="K262" s="53">
        <f>+H262/I262</f>
        <v>7.2128279883381925</v>
      </c>
      <c r="L262" s="52">
        <f>25195+10013.5+1152+270+83.5+141+48+709.5+1424+1356+5416.5+126229.75+19059.5+5814+6475.5+5450+6300+4948</f>
        <v>220085.75</v>
      </c>
      <c r="M262" s="122">
        <f>2139+1282+178+44+14+26+8+240+356+299+446+10017+1456+869+877+646+776+686</f>
        <v>20359</v>
      </c>
      <c r="N262" s="280">
        <f>+L262/M262</f>
        <v>10.810243626897195</v>
      </c>
      <c r="O262" s="203"/>
    </row>
    <row r="263" spans="1:15" ht="15">
      <c r="A263" s="104">
        <v>260</v>
      </c>
      <c r="B263" s="219" t="s">
        <v>123</v>
      </c>
      <c r="C263" s="46">
        <v>40088</v>
      </c>
      <c r="D263" s="37" t="s">
        <v>163</v>
      </c>
      <c r="E263" s="133">
        <v>22</v>
      </c>
      <c r="F263" s="133">
        <v>2</v>
      </c>
      <c r="G263" s="133">
        <v>19</v>
      </c>
      <c r="H263" s="337">
        <v>862</v>
      </c>
      <c r="I263" s="338">
        <v>134</v>
      </c>
      <c r="J263" s="122">
        <f aca="true" t="shared" si="26" ref="J263:J272">(I263/F263)</f>
        <v>67</v>
      </c>
      <c r="K263" s="53">
        <f>H263/I263</f>
        <v>6.432835820895522</v>
      </c>
      <c r="L263" s="52">
        <f>25195+10013.5+1152+270+83.5+141+48+709.5+1424+1356+5416.5+126229.75+19059.5+5814+6475.5+5450+6300+4948+862</f>
        <v>220947.75</v>
      </c>
      <c r="M263" s="122">
        <f>2139+1282+178+44+14+26+8+240+356+299+446+10017+1456+869+877+646+776+686+134</f>
        <v>20493</v>
      </c>
      <c r="N263" s="280">
        <f>L263/M263</f>
        <v>10.781620553359684</v>
      </c>
      <c r="O263" s="203"/>
    </row>
    <row r="264" spans="1:15" ht="15">
      <c r="A264" s="104">
        <v>261</v>
      </c>
      <c r="B264" s="223" t="s">
        <v>15</v>
      </c>
      <c r="C264" s="62">
        <v>40151</v>
      </c>
      <c r="D264" s="63" t="s">
        <v>163</v>
      </c>
      <c r="E264" s="139">
        <v>2</v>
      </c>
      <c r="F264" s="139">
        <v>2</v>
      </c>
      <c r="G264" s="139">
        <v>7</v>
      </c>
      <c r="H264" s="31">
        <v>1006</v>
      </c>
      <c r="I264" s="40">
        <v>130</v>
      </c>
      <c r="J264" s="41">
        <f t="shared" si="26"/>
        <v>65</v>
      </c>
      <c r="K264" s="34">
        <f>H264/I264</f>
        <v>7.7384615384615385</v>
      </c>
      <c r="L264" s="35">
        <f>14952+6112+2196+2975+2853+674+1006</f>
        <v>30768</v>
      </c>
      <c r="M264" s="42">
        <f>1468+666+254+478+502+81+130</f>
        <v>3579</v>
      </c>
      <c r="N264" s="220">
        <f>L265/M265</f>
        <v>8.044711363971464</v>
      </c>
      <c r="O264" s="201"/>
    </row>
    <row r="265" spans="1:15" ht="15">
      <c r="A265" s="104">
        <v>262</v>
      </c>
      <c r="B265" s="223" t="s">
        <v>41</v>
      </c>
      <c r="C265" s="62">
        <v>39995</v>
      </c>
      <c r="D265" s="63" t="s">
        <v>163</v>
      </c>
      <c r="E265" s="139">
        <v>209</v>
      </c>
      <c r="F265" s="139">
        <v>4</v>
      </c>
      <c r="G265" s="139">
        <v>29</v>
      </c>
      <c r="H265" s="31">
        <v>5898</v>
      </c>
      <c r="I265" s="40">
        <v>1381</v>
      </c>
      <c r="J265" s="41">
        <f t="shared" si="26"/>
        <v>345.25</v>
      </c>
      <c r="K265" s="34">
        <f>H265/I265</f>
        <v>4.270818247646633</v>
      </c>
      <c r="L265" s="35">
        <f>872160.5+3062686.25+2016658.5+1330226.25+943221.5+742732+516667.5+450351.5+331944.75+238834+191406+133484.5+252388.75+88483.5+54821.5+50455.5+10393.5+13219.5+4551+15537+5404+869+4082+1834+3805+1635+750+1385+2821+5898</f>
        <v>11348706.5</v>
      </c>
      <c r="M265" s="42">
        <f>115039+364710+241056+162109+115810+90639+66180+59650+44695+33272+25508+18324+32600+11489+6695+7353+1723+3013+920+3530+1123+138+968+454+919+396+210+249+551+1381</f>
        <v>1410704</v>
      </c>
      <c r="N265" s="220">
        <f>L266/M266</f>
        <v>8.038980671022387</v>
      </c>
      <c r="O265" s="199"/>
    </row>
    <row r="266" spans="1:15" ht="15">
      <c r="A266" s="104">
        <v>263</v>
      </c>
      <c r="B266" s="223" t="s">
        <v>41</v>
      </c>
      <c r="C266" s="62">
        <v>39995</v>
      </c>
      <c r="D266" s="63" t="s">
        <v>163</v>
      </c>
      <c r="E266" s="139">
        <v>209</v>
      </c>
      <c r="F266" s="139">
        <v>5</v>
      </c>
      <c r="G266" s="139">
        <v>31</v>
      </c>
      <c r="H266" s="44">
        <v>5853</v>
      </c>
      <c r="I266" s="40">
        <v>1328</v>
      </c>
      <c r="J266" s="41">
        <f t="shared" si="26"/>
        <v>265.6</v>
      </c>
      <c r="K266" s="51">
        <f>+H266/I266</f>
        <v>4.407379518072289</v>
      </c>
      <c r="L266" s="45">
        <f>872160.5+3062686.25+2016658.5+1330226.25+943221.5+742732+516667.5+450351.5+331944.75+238834+191406+133484.5+252388.75+88483.5+54821.5+50455.5+10393.5+13219.5+4551+15537+5404+869+4082+1834+3805+1635+750+1385+2821+5898+4584.5+5853</f>
        <v>11359144</v>
      </c>
      <c r="M266" s="42">
        <f>115039+364710+241056+162109+115810+90639+66180+59650+44695+33272+25508+18324+32600+11489+6695+7353+1723+3013+920+3530+1123+138+968+454+919+396+210+249+551+1381+976+1328</f>
        <v>1413008</v>
      </c>
      <c r="N266" s="220">
        <f>L267/M267</f>
        <v>8.042397002153463</v>
      </c>
      <c r="O266" s="201"/>
    </row>
    <row r="267" spans="1:15" ht="15">
      <c r="A267" s="104">
        <v>264</v>
      </c>
      <c r="B267" s="222" t="s">
        <v>41</v>
      </c>
      <c r="C267" s="46">
        <v>39995</v>
      </c>
      <c r="D267" s="48" t="s">
        <v>163</v>
      </c>
      <c r="E267" s="138">
        <v>209</v>
      </c>
      <c r="F267" s="138">
        <v>6</v>
      </c>
      <c r="G267" s="138">
        <v>30</v>
      </c>
      <c r="H267" s="44">
        <v>4584.5</v>
      </c>
      <c r="I267" s="40">
        <v>976</v>
      </c>
      <c r="J267" s="41">
        <f t="shared" si="26"/>
        <v>162.66666666666666</v>
      </c>
      <c r="K267" s="34">
        <f>H267/I267</f>
        <v>4.697233606557377</v>
      </c>
      <c r="L267" s="45">
        <f>872160.5+3062686.25+2016658.5+1330226.25+943221.5+742732+516667.5+450351.5+331944.75+238834+191406+133484.5+252388.75+88483.5+54821.5+50455.5+10393.5+13219.5+4551+15537+5404+869+4082+1834+3805+1635+750+1385+2821+5898+4584.5</f>
        <v>11353291</v>
      </c>
      <c r="M267" s="42">
        <f>115039+364710+241056+162109+115810+90639+66180+59650+44695+33272+25508+18324+32600+11489+6695+7353+1723+3013+920+3530+1123+138+968+454+919+396+210+249+551+1381+976</f>
        <v>1411680</v>
      </c>
      <c r="N267" s="220">
        <f>L268/M268</f>
        <v>8.048409413597877</v>
      </c>
      <c r="O267" s="201"/>
    </row>
    <row r="268" spans="1:15" ht="15">
      <c r="A268" s="104">
        <v>265</v>
      </c>
      <c r="B268" s="222" t="s">
        <v>41</v>
      </c>
      <c r="C268" s="46">
        <v>39995</v>
      </c>
      <c r="D268" s="47" t="s">
        <v>163</v>
      </c>
      <c r="E268" s="138">
        <v>209</v>
      </c>
      <c r="F268" s="138">
        <v>3</v>
      </c>
      <c r="G268" s="138">
        <v>28</v>
      </c>
      <c r="H268" s="31">
        <v>2821</v>
      </c>
      <c r="I268" s="32">
        <v>551</v>
      </c>
      <c r="J268" s="33">
        <f t="shared" si="26"/>
        <v>183.66666666666666</v>
      </c>
      <c r="K268" s="38">
        <f>H268/I268</f>
        <v>5.11978221415608</v>
      </c>
      <c r="L268" s="35">
        <f>872160.5+3062686.25+2016658.5+1330226.25+943221.5+742732+516667.5+450351.5+331944.75+238834+191406+133484.5+252388.75+88483.5+54821.5+50455.5+10393.5+13219.5+4551+15537+5404+869+4082+1834+3805+1635+750+1385+2821</f>
        <v>11342808.5</v>
      </c>
      <c r="M268" s="36">
        <f>115039+364710+241056+162109+115810+90639+66180+59650+44695+33272+25508+18324+32600+11489+6695+7353+1723+3013+920+3530+1123+138+968+454+919+396+210+249+551</f>
        <v>1409323</v>
      </c>
      <c r="N268" s="221">
        <f>+L269/M269</f>
        <v>8.034954321338532</v>
      </c>
      <c r="O268" s="199">
        <v>1</v>
      </c>
    </row>
    <row r="269" spans="1:15" ht="15">
      <c r="A269" s="104">
        <v>266</v>
      </c>
      <c r="B269" s="222" t="s">
        <v>41</v>
      </c>
      <c r="C269" s="117">
        <v>39995</v>
      </c>
      <c r="D269" s="37" t="s">
        <v>163</v>
      </c>
      <c r="E269" s="133">
        <v>209</v>
      </c>
      <c r="F269" s="133">
        <v>2</v>
      </c>
      <c r="G269" s="133">
        <v>35</v>
      </c>
      <c r="H269" s="119">
        <v>2260</v>
      </c>
      <c r="I269" s="120">
        <v>565</v>
      </c>
      <c r="J269" s="122">
        <f t="shared" si="26"/>
        <v>282.5</v>
      </c>
      <c r="K269" s="53">
        <f>H269/I269</f>
        <v>4</v>
      </c>
      <c r="L269" s="52">
        <f>872160.5+3062686.25+2016658.5+1330226.25+943221.5+742732+516667.5+450351.5+331944.75+238834+191406+133484.5+252388.75+88483.5+54821.5+50455.5+10393.5+13219.5+4551+15537+5404+869+4082+1834+3805+1635+750+1385+2821+5898+4584.5+5853+2137+508+960+2260</f>
        <v>11365009</v>
      </c>
      <c r="M269" s="122">
        <f>115039+364710+241056+162109+115810+90639+66180+59650+44695+33272+25508+18324+32600+11489+6695+7353+1723+3013+920+3530+1123+138+968+454+919+396+210+249+551+1381+976+1328+506+127+240+565</f>
        <v>1414446</v>
      </c>
      <c r="N269" s="221">
        <f>L270/M270</f>
        <v>8.037614767168915</v>
      </c>
      <c r="O269" s="201">
        <v>1</v>
      </c>
    </row>
    <row r="270" spans="1:15" ht="15">
      <c r="A270" s="104">
        <v>267</v>
      </c>
      <c r="B270" s="222" t="s">
        <v>41</v>
      </c>
      <c r="C270" s="46">
        <v>39995</v>
      </c>
      <c r="D270" s="37" t="s">
        <v>163</v>
      </c>
      <c r="E270" s="138">
        <v>209</v>
      </c>
      <c r="F270" s="138">
        <v>3</v>
      </c>
      <c r="G270" s="138">
        <v>32</v>
      </c>
      <c r="H270" s="111">
        <v>2137</v>
      </c>
      <c r="I270" s="112">
        <v>506</v>
      </c>
      <c r="J270" s="101">
        <f t="shared" si="26"/>
        <v>168.66666666666666</v>
      </c>
      <c r="K270" s="51">
        <f>(J270/G270)</f>
        <v>5.270833333333333</v>
      </c>
      <c r="L270" s="78">
        <f>872160.5+3062686.25+2016658.5+1330226.25+943221.5+742732+516667.5+450351.5+331944.75+238834+191406+133484.5+252388.75+88483.5+54821.5+50455.5+10393.5+13219.5+4551+15537+5404+869+4082+1834+3805+1635+750+1385+2821+5898+4584.5+5853+2137</f>
        <v>11361281</v>
      </c>
      <c r="M270" s="101">
        <f>115039+364710+241056+162109+115810+90639+66180+59650+44695+33272+25508+18324+32600+11489+6695+7353+1723+3013+920+3530+1123+138+968+454+919+396+210+249+551+1381+976+1328+506</f>
        <v>1413514</v>
      </c>
      <c r="N270" s="221">
        <f>L271/M271</f>
        <v>8.036906217708562</v>
      </c>
      <c r="O270" s="199">
        <v>1</v>
      </c>
    </row>
    <row r="271" spans="1:15" ht="15">
      <c r="A271" s="104">
        <v>268</v>
      </c>
      <c r="B271" s="222" t="s">
        <v>41</v>
      </c>
      <c r="C271" s="117">
        <v>39995</v>
      </c>
      <c r="D271" s="37" t="s">
        <v>163</v>
      </c>
      <c r="E271" s="133">
        <v>209</v>
      </c>
      <c r="F271" s="133">
        <v>1</v>
      </c>
      <c r="G271" s="133">
        <v>34</v>
      </c>
      <c r="H271" s="119">
        <v>1440</v>
      </c>
      <c r="I271" s="120">
        <v>240</v>
      </c>
      <c r="J271" s="122">
        <f t="shared" si="26"/>
        <v>240</v>
      </c>
      <c r="K271" s="53">
        <f aca="true" t="shared" si="27" ref="K271:K279">H271/I271</f>
        <v>6</v>
      </c>
      <c r="L271" s="52">
        <f>872160.5+3062686.25+2016658.5+1330226.25+943221.5+742732+516667.5+450351.5+331944.75+238834+191406+133484.5+252388.75+88483.5+54821.5+50455.5+10393.5+13219.5+4551+15537+5404+869+4082+1834+3805+1635+750+1385+2821+5898+4584.5+5853+2137+508+1440</f>
        <v>11363229</v>
      </c>
      <c r="M271" s="122">
        <f>115039+364710+241056+162109+115810+90639+66180+59650+44695+33272+25508+18324+32600+11489+6695+7353+1723+3013+920+3530+1123+138+968+454+919+396+210+249+551+1381+976+1328+506+127+240</f>
        <v>1413881</v>
      </c>
      <c r="N271" s="220">
        <f>L272/M272</f>
        <v>8.049554860545213</v>
      </c>
      <c r="O271" s="201">
        <v>1</v>
      </c>
    </row>
    <row r="272" spans="1:15" ht="15">
      <c r="A272" s="104">
        <v>269</v>
      </c>
      <c r="B272" s="222" t="s">
        <v>41</v>
      </c>
      <c r="C272" s="46">
        <v>39995</v>
      </c>
      <c r="D272" s="48" t="s">
        <v>163</v>
      </c>
      <c r="E272" s="138">
        <v>209</v>
      </c>
      <c r="F272" s="138">
        <v>2</v>
      </c>
      <c r="G272" s="138">
        <v>27</v>
      </c>
      <c r="H272" s="31">
        <v>1385</v>
      </c>
      <c r="I272" s="32">
        <v>249</v>
      </c>
      <c r="J272" s="33">
        <f t="shared" si="26"/>
        <v>124.5</v>
      </c>
      <c r="K272" s="34">
        <f t="shared" si="27"/>
        <v>5.562248995983936</v>
      </c>
      <c r="L272" s="35">
        <f>872160.5+3062686.25+2016658.5+1330226.25+943221.5+742732+516667.5+450351.5+331944.75+238834+191406+133484.5+252388.75+88483.5+54821.5+50455.5+10393.5+13219.5+4551+15537+5404+869+4082+1834+3805+1635+750+1385</f>
        <v>11339987.5</v>
      </c>
      <c r="M272" s="36">
        <f>115039+364710+241056+162109+115810+90639+66180+59650+44695+33272+25508+18324+32600+11489+6695+7353+1723+3013+920+3530+1123+138+968+454+919+396+210+249</f>
        <v>1408772</v>
      </c>
      <c r="N272" s="221">
        <f>+L273/M273</f>
        <v>8.037252032163753</v>
      </c>
      <c r="O272" s="201">
        <v>1</v>
      </c>
    </row>
    <row r="273" spans="1:15" ht="15">
      <c r="A273" s="104">
        <v>270</v>
      </c>
      <c r="B273" s="222" t="s">
        <v>41</v>
      </c>
      <c r="C273" s="46">
        <v>39995</v>
      </c>
      <c r="D273" s="37" t="s">
        <v>163</v>
      </c>
      <c r="E273" s="138">
        <v>209</v>
      </c>
      <c r="F273" s="138">
        <v>1</v>
      </c>
      <c r="G273" s="138">
        <v>33</v>
      </c>
      <c r="H273" s="115">
        <v>508</v>
      </c>
      <c r="I273" s="116">
        <v>127</v>
      </c>
      <c r="J273" s="122">
        <f>I273/F273</f>
        <v>127</v>
      </c>
      <c r="K273" s="53">
        <f t="shared" si="27"/>
        <v>4</v>
      </c>
      <c r="L273" s="52">
        <f>872160.5+3062686.25+2016658.5+1330226.25+943221.5+742732+516667.5+450351.5+331944.75+238834+191406+133484.5+252388.75+88483.5+54821.5+50455.5+10393.5+13219.5+4551+15537+5404+869+4082+1834+3805+1635+750+1385+2821+5898+4584.5+5853+2137+508</f>
        <v>11361789</v>
      </c>
      <c r="M273" s="122">
        <f>115039+364710+241056+162109+115810+90639+66180+59650+44695+33272+25508+18324+32600+11489+6695+7353+1723+3013+920+3530+1123+138+968+454+919+396+210+249+551+1381+976+1328+506+127</f>
        <v>1413641</v>
      </c>
      <c r="N273" s="221">
        <f>+L274/M274</f>
        <v>8.027516869457708</v>
      </c>
      <c r="O273" s="202">
        <v>1</v>
      </c>
    </row>
    <row r="274" spans="1:15" ht="15">
      <c r="A274" s="104">
        <v>271</v>
      </c>
      <c r="B274" s="227" t="s">
        <v>41</v>
      </c>
      <c r="C274" s="117">
        <v>39995</v>
      </c>
      <c r="D274" s="37" t="s">
        <v>163</v>
      </c>
      <c r="E274" s="133">
        <v>209</v>
      </c>
      <c r="F274" s="133">
        <v>5</v>
      </c>
      <c r="G274" s="133">
        <v>36</v>
      </c>
      <c r="H274" s="119">
        <v>10448</v>
      </c>
      <c r="I274" s="120">
        <v>2612</v>
      </c>
      <c r="J274" s="122">
        <f>I274/F274</f>
        <v>522.4</v>
      </c>
      <c r="K274" s="53">
        <f t="shared" si="27"/>
        <v>4</v>
      </c>
      <c r="L274" s="52">
        <f>872160.5+3062686.25+2016658.5+1330226.25+943221.5+742732+516667.5+450351.5+331944.75+238834+191406+133484.5+252388.75+88483.5+54821.5+50455.5+10393.5+13219.5+4551+15537+5404+869+4082+1834+3805+1635+750+1385+2821+5898+4584.5+5853+2137+508+960+2260+10448</f>
        <v>11375457</v>
      </c>
      <c r="M274" s="122">
        <f>115039+364710+241056+162109+115810+90639+66180+59650+44695+33272+25508+18324+32600+11489+6695+7353+1723+3013+920+3530+1123+138+968+454+919+396+210+249+551+1381+976+1328+506+127+240+565+2612</f>
        <v>1417058</v>
      </c>
      <c r="N274" s="221">
        <f>+L275/M275</f>
        <v>8.026834864650906</v>
      </c>
      <c r="O274" s="210"/>
    </row>
    <row r="275" spans="1:15" ht="15">
      <c r="A275" s="104">
        <v>272</v>
      </c>
      <c r="B275" s="227" t="s">
        <v>41</v>
      </c>
      <c r="C275" s="117">
        <v>39995</v>
      </c>
      <c r="D275" s="37" t="s">
        <v>163</v>
      </c>
      <c r="E275" s="133">
        <v>209</v>
      </c>
      <c r="F275" s="133">
        <v>1</v>
      </c>
      <c r="G275" s="133">
        <v>37</v>
      </c>
      <c r="H275" s="119">
        <v>960</v>
      </c>
      <c r="I275" s="120">
        <v>240</v>
      </c>
      <c r="J275" s="122">
        <f>I275/F275</f>
        <v>240</v>
      </c>
      <c r="K275" s="53">
        <f t="shared" si="27"/>
        <v>4</v>
      </c>
      <c r="L275" s="52">
        <f>872160.5+3062686.25+2016658.5+1330226.25+943221.5+742732+516667.5+450351.5+331944.75+238834+191406+133484.5+252388.75+88483.5+54821.5+50455.5+10393.5+13219.5+4551+15537+5404+869+4082+1834+3805+1635+750+1385+2821+5898+4584.5+5853+2137+508+960+2260+10448+960</f>
        <v>11376417</v>
      </c>
      <c r="M275" s="122">
        <f>115039+364710+241056+162109+115810+90639+66180+59650+44695+33272+25508+18324+32600+11489+6695+7353+1723+3013+920+3530+1123+138+968+454+919+396+210+249+551+1381+976+1328+506+127+240+565+2612+240</f>
        <v>1417298</v>
      </c>
      <c r="N275" s="220">
        <f>L276/M276</f>
        <v>8.026172972584021</v>
      </c>
      <c r="O275" s="203"/>
    </row>
    <row r="276" spans="1:15" ht="15">
      <c r="A276" s="104">
        <v>273</v>
      </c>
      <c r="B276" s="219" t="s">
        <v>41</v>
      </c>
      <c r="C276" s="29">
        <v>39995</v>
      </c>
      <c r="D276" s="39" t="s">
        <v>163</v>
      </c>
      <c r="E276" s="137">
        <v>209</v>
      </c>
      <c r="F276" s="137">
        <v>1</v>
      </c>
      <c r="G276" s="137">
        <v>38</v>
      </c>
      <c r="H276" s="31">
        <v>932</v>
      </c>
      <c r="I276" s="40">
        <v>233</v>
      </c>
      <c r="J276" s="41">
        <f>(I276/F276)</f>
        <v>233</v>
      </c>
      <c r="K276" s="34">
        <f t="shared" si="27"/>
        <v>4</v>
      </c>
      <c r="L276" s="35">
        <f>872160.5+3062686.25+2016658.5+1330226.25+943221.5+742732+516667.5+450351.5+331944.75+238834+191406+133484.5+252388.75+88483.5+54821.5+50455.5+10393.5+13219.5+4551+15537+5404+869+4082+1834+3805+1635+750+1385+2821+5898+4584.5+5853+2137+508+960+2260+10448+960+932</f>
        <v>11377349</v>
      </c>
      <c r="M276" s="42">
        <f>115039+364710+241056+162109+115810+90639+66180+59650+44695+33272+25508+18324+32600+11489+6695+7353+1723+3013+920+3530+1123+138+968+454+919+396+210+249+551+1381+976+1328+506+127+240+565+2612+240+233</f>
        <v>1417531</v>
      </c>
      <c r="N276" s="220">
        <f>IF(L277&lt;&gt;0,L277/M277,"")</f>
        <v>8.025955868815501</v>
      </c>
      <c r="O276" s="203"/>
    </row>
    <row r="277" spans="1:15" ht="15">
      <c r="A277" s="104">
        <v>274</v>
      </c>
      <c r="B277" s="219" t="s">
        <v>41</v>
      </c>
      <c r="C277" s="29">
        <v>39995</v>
      </c>
      <c r="D277" s="37" t="s">
        <v>163</v>
      </c>
      <c r="E277" s="137">
        <v>209</v>
      </c>
      <c r="F277" s="137">
        <v>1</v>
      </c>
      <c r="G277" s="137">
        <v>39</v>
      </c>
      <c r="H277" s="31">
        <v>543</v>
      </c>
      <c r="I277" s="32">
        <v>106</v>
      </c>
      <c r="J277" s="33">
        <f>(I277/F277)</f>
        <v>106</v>
      </c>
      <c r="K277" s="38">
        <f t="shared" si="27"/>
        <v>5.122641509433962</v>
      </c>
      <c r="L277" s="35">
        <f>872160.5+3062686.25+2016658.5+1330226.25+943221.5+742732+516667.5+450351.5+331944.75+238834+191406+133484.5+252388.75+88483.5+54821.5+50455.5+10393.5+13219.5+4551+15537+5404+869+4082+1834+3805+1635+750+1385+2821+5898+4584.5+5853+2137+508+960+2260+10448+960+932+543</f>
        <v>11377892</v>
      </c>
      <c r="M277" s="36">
        <f>115039+364710+241056+162109+115810+90639+66180+59650+44695+33272+25508+18324+32600+11489+6695+7353+1723+3013+920+3530+1123+138+968+454+919+396+210+249+551+1381+976+1328+506+127+240+565+2612+240+233+106</f>
        <v>1417637</v>
      </c>
      <c r="N277" s="221">
        <f>L278/M278</f>
        <v>8.02578146381101</v>
      </c>
      <c r="O277" s="200">
        <v>1</v>
      </c>
    </row>
    <row r="278" spans="1:15" ht="15">
      <c r="A278" s="104">
        <v>275</v>
      </c>
      <c r="B278" s="227" t="s">
        <v>41</v>
      </c>
      <c r="C278" s="46">
        <v>39995</v>
      </c>
      <c r="D278" s="37" t="s">
        <v>163</v>
      </c>
      <c r="E278" s="133">
        <v>209</v>
      </c>
      <c r="F278" s="133">
        <v>1</v>
      </c>
      <c r="G278" s="133">
        <v>40</v>
      </c>
      <c r="H278" s="119">
        <v>451</v>
      </c>
      <c r="I278" s="120">
        <v>87</v>
      </c>
      <c r="J278" s="122">
        <f>(I278/F278)</f>
        <v>87</v>
      </c>
      <c r="K278" s="53">
        <f t="shared" si="27"/>
        <v>5.183908045977011</v>
      </c>
      <c r="L278" s="52">
        <f>872160.5+3062686.25+2016658.5+1330226.25+943221.5+742732+516667.5+450351.5+331944.75+238834+191406+133484.5+252388.75+88483.5+54821.5+50455.5+10393.5+13219.5+4551+15537+5404+869+4082+1834+3805+1635+750+1385+2821+5898+4584.5+5853+2137+508+960+2260+10448+960+932+543+451</f>
        <v>11378343</v>
      </c>
      <c r="M278" s="122">
        <f>115039+364710+241056+162109+115810+90639+66180+59650+44695+33272+25508+18324+32600+11489+6695+7353+1723+3013+920+3530+1123+138+968+454+919+396+210+249+551+1381+976+1328+506+127+240+565+2612+240+233+106+87</f>
        <v>1417724</v>
      </c>
      <c r="N278" s="280">
        <f>L278/M278</f>
        <v>8.02578146381101</v>
      </c>
      <c r="O278" s="277"/>
    </row>
    <row r="279" spans="1:15" ht="15">
      <c r="A279" s="104">
        <v>276</v>
      </c>
      <c r="B279" s="227" t="s">
        <v>41</v>
      </c>
      <c r="C279" s="46">
        <v>39995</v>
      </c>
      <c r="D279" s="37" t="s">
        <v>163</v>
      </c>
      <c r="E279" s="133">
        <v>209</v>
      </c>
      <c r="F279" s="133">
        <v>3</v>
      </c>
      <c r="G279" s="133">
        <v>41</v>
      </c>
      <c r="H279" s="119">
        <v>1939</v>
      </c>
      <c r="I279" s="120">
        <v>474</v>
      </c>
      <c r="J279" s="122">
        <f>I279/F279</f>
        <v>158</v>
      </c>
      <c r="K279" s="53">
        <f t="shared" si="27"/>
        <v>4.090717299578059</v>
      </c>
      <c r="L279" s="52">
        <f>872160.5+3062686.25+2016658.5+1330226.25+943221.5+742732+516667.5+450351.5+331944.75+238834+191406+133484.5+252388.75+88483.5+54821.5+50455.5+10393.5+13219.5+4551+15537+5404+869+4082+1834+3805+1635+750+1385+2821+5898+4584.5+5853+2137+508+960+2260+10448+960+932+543+451+1939</f>
        <v>11380282</v>
      </c>
      <c r="M279" s="122">
        <f>115039+364710+241056+162109+115810+90639+66180+59650+44695+33272+25508+18324+32600+11489+6695+7353+1723+3013+920+3530+1123+138+968+454+919+396+210+249+551+1381+976+1328+506+127+240+565+2612+240+233+106+87+474</f>
        <v>1418198</v>
      </c>
      <c r="N279" s="280">
        <f>+L279/M279</f>
        <v>8.024466259295247</v>
      </c>
      <c r="O279" s="350"/>
    </row>
    <row r="280" spans="1:15" ht="15">
      <c r="A280" s="104">
        <v>277</v>
      </c>
      <c r="B280" s="219" t="s">
        <v>41</v>
      </c>
      <c r="C280" s="46">
        <v>39995</v>
      </c>
      <c r="D280" s="37" t="s">
        <v>163</v>
      </c>
      <c r="E280" s="133">
        <v>209</v>
      </c>
      <c r="F280" s="133">
        <v>1</v>
      </c>
      <c r="G280" s="133">
        <v>42</v>
      </c>
      <c r="H280" s="119">
        <v>592</v>
      </c>
      <c r="I280" s="120">
        <v>148</v>
      </c>
      <c r="J280" s="122">
        <f>I280/F280</f>
        <v>148</v>
      </c>
      <c r="K280" s="53">
        <f>+H280/I280</f>
        <v>4</v>
      </c>
      <c r="L280" s="52">
        <f>872160.5+3062686.25+2016658.5+1330226.25+943221.5+742732+516667.5+450351.5+331944.75+238834+191406+133484.5+252388.75+88483.5+54821.5+50455.5+10393.5+13219.5+4551+15537+5404+869+4082+1834+3805+1635+750+1385+2821+5898+4584.5+5853+2137+508+960+2260+10448+960+932+543+451+1939+592</f>
        <v>11380874</v>
      </c>
      <c r="M280" s="122">
        <f>115039+364710+241056+162109+115810+90639+66180+59650+44695+33272+25508+18324+32600+11489+6695+7353+1723+3013+920+3530+1123+138+968+454+919+396+210+249+551+1381+976+1328+506+127+240+565+2612+240+233+106+87+474+148</f>
        <v>1418346</v>
      </c>
      <c r="N280" s="280">
        <f>+L280/M280</f>
        <v>8.024046318740279</v>
      </c>
      <c r="O280" s="203"/>
    </row>
    <row r="281" spans="1:15" ht="15">
      <c r="A281" s="104">
        <v>278</v>
      </c>
      <c r="B281" s="219" t="s">
        <v>41</v>
      </c>
      <c r="C281" s="46">
        <v>39995</v>
      </c>
      <c r="D281" s="37" t="s">
        <v>163</v>
      </c>
      <c r="E281" s="133">
        <v>209</v>
      </c>
      <c r="F281" s="133">
        <v>1</v>
      </c>
      <c r="G281" s="133">
        <v>43</v>
      </c>
      <c r="H281" s="337">
        <v>592</v>
      </c>
      <c r="I281" s="338">
        <v>148</v>
      </c>
      <c r="J281" s="122">
        <f>(I281/F281)</f>
        <v>148</v>
      </c>
      <c r="K281" s="53">
        <f>H281/I281</f>
        <v>4</v>
      </c>
      <c r="L281" s="52">
        <f>872160.5+3062686.25+2016658.5+1330226.25+943221.5+742732+516667.5+450351.5+331944.75+238834+191406+133484.5+252388.75+88483.5+54821.5+50455.5+10393.5+13219.5+4551+15537+5404+869+4082+1834+3805+1635+750+1385+2821+5898+4584.5+5853+2137+508+960+2260+10448+960+932+543+451+1939+592+592</f>
        <v>11381466</v>
      </c>
      <c r="M281" s="122">
        <f>115039+364710+241056+162109+115810+90639+66180+59650+44695+33272+25508+18324+32600+11489+6695+7353+1723+3013+920+3530+1123+138+968+454+919+396+210+249+551+1381+976+1328+506+127+240+565+2612+240+233+106+87+474+148+148</f>
        <v>1418494</v>
      </c>
      <c r="N281" s="280">
        <f>L281/M281</f>
        <v>8.023626465815154</v>
      </c>
      <c r="O281" s="203"/>
    </row>
    <row r="282" spans="1:15" ht="15">
      <c r="A282" s="104">
        <v>279</v>
      </c>
      <c r="B282" s="222" t="s">
        <v>170</v>
      </c>
      <c r="C282" s="46">
        <v>39738</v>
      </c>
      <c r="D282" s="37" t="s">
        <v>163</v>
      </c>
      <c r="E282" s="138">
        <v>67</v>
      </c>
      <c r="F282" s="138">
        <v>1</v>
      </c>
      <c r="G282" s="138">
        <v>31</v>
      </c>
      <c r="H282" s="111">
        <v>1780</v>
      </c>
      <c r="I282" s="112">
        <v>445</v>
      </c>
      <c r="J282" s="101">
        <f>I282/F282</f>
        <v>445</v>
      </c>
      <c r="K282" s="51">
        <f>+H282/I282</f>
        <v>4</v>
      </c>
      <c r="L282" s="78">
        <f>167196+176809+54428+37340+38330.5+23467+11581+5867+4382+2577+3552+2137+545+4006+9422+7992+4936+1547+1147+288+371+2842+1282+168+610+1948+150+3292+132+65+1780</f>
        <v>570189.5</v>
      </c>
      <c r="M282" s="101">
        <f>19168+21164+7719+6215+6404+4964+2339+1306+907+580+859+440+127+905+2170+1822+1050+392+333+56+73+734+411+21+61+466+30+807+26+13+445</f>
        <v>82007</v>
      </c>
      <c r="N282" s="221">
        <f>L283/M283</f>
        <v>6.9369997089215545</v>
      </c>
      <c r="O282" s="201">
        <v>1</v>
      </c>
    </row>
    <row r="283" spans="1:15" ht="15">
      <c r="A283" s="104">
        <v>280</v>
      </c>
      <c r="B283" s="222" t="s">
        <v>170</v>
      </c>
      <c r="C283" s="46">
        <v>39738</v>
      </c>
      <c r="D283" s="37" t="s">
        <v>163</v>
      </c>
      <c r="E283" s="138">
        <v>67</v>
      </c>
      <c r="F283" s="138">
        <v>1</v>
      </c>
      <c r="G283" s="138">
        <v>32</v>
      </c>
      <c r="H283" s="115">
        <v>1780</v>
      </c>
      <c r="I283" s="116">
        <v>445</v>
      </c>
      <c r="J283" s="122">
        <f>(I283/F283)</f>
        <v>445</v>
      </c>
      <c r="K283" s="53">
        <f>H283/I283</f>
        <v>4</v>
      </c>
      <c r="L283" s="52">
        <f>167196+176809+54428+37340+38330.5+23467+11581+5867+4382+2577+3552+2137+545+4006+9422+7992+4936+1547+1147+288+371+2842+1282+168+610+1948+150+3292+132+65+1780+1780</f>
        <v>571969.5</v>
      </c>
      <c r="M283" s="122">
        <f>19168+21164+7719+6215+6404+4964+2339+1306+907+580+859+440+127+905+2170+1822+1050+392+333+56+73+734+411+21+61+466+30+807+26+13+445+445</f>
        <v>82452</v>
      </c>
      <c r="N283" s="221">
        <f>+L284/M284</f>
        <v>6.921233579019748</v>
      </c>
      <c r="O283" s="199"/>
    </row>
    <row r="284" spans="1:15" ht="15">
      <c r="A284" s="104">
        <v>281</v>
      </c>
      <c r="B284" s="227" t="s">
        <v>170</v>
      </c>
      <c r="C284" s="46">
        <v>39738</v>
      </c>
      <c r="D284" s="37" t="s">
        <v>163</v>
      </c>
      <c r="E284" s="133">
        <v>67</v>
      </c>
      <c r="F284" s="133">
        <v>1</v>
      </c>
      <c r="G284" s="133">
        <v>33</v>
      </c>
      <c r="H284" s="119">
        <v>1780</v>
      </c>
      <c r="I284" s="120">
        <v>445</v>
      </c>
      <c r="J284" s="122">
        <f>I284/F284</f>
        <v>445</v>
      </c>
      <c r="K284" s="53">
        <f>H284/I284</f>
        <v>4</v>
      </c>
      <c r="L284" s="52">
        <f>167196+176809+54428+37340+38330.5+23467+11581+5867+4382+2577+3552+2137+545+4006+9422+7992+4936+1547+1147+288+371+2842+1282+168+610+1948+150+3292+132+65+1780+1780+1780</f>
        <v>573749.5</v>
      </c>
      <c r="M284" s="122">
        <f>19168+21164+7719+6215+6404+4964+2339+1306+907+580+859+440+127+905+2170+1822+1050+392+333+56+73+734+411+21+61+466+30+807+26+13+445+445+445</f>
        <v>82897</v>
      </c>
      <c r="N284" s="280">
        <f>+L284/M284</f>
        <v>6.921233579019748</v>
      </c>
      <c r="O284" s="350"/>
    </row>
    <row r="285" spans="1:15" ht="15">
      <c r="A285" s="104">
        <v>282</v>
      </c>
      <c r="B285" s="219" t="s">
        <v>170</v>
      </c>
      <c r="C285" s="46">
        <v>39738</v>
      </c>
      <c r="D285" s="37" t="s">
        <v>163</v>
      </c>
      <c r="E285" s="133">
        <v>67</v>
      </c>
      <c r="F285" s="133">
        <v>1</v>
      </c>
      <c r="G285" s="133">
        <v>34</v>
      </c>
      <c r="H285" s="119">
        <v>952</v>
      </c>
      <c r="I285" s="120">
        <v>238</v>
      </c>
      <c r="J285" s="122">
        <f>I285/F285</f>
        <v>238</v>
      </c>
      <c r="K285" s="53">
        <f>+H285/I285</f>
        <v>4</v>
      </c>
      <c r="L285" s="52">
        <f>167196+176809+54428+37340+38330.5+23467+11581+5867+4382+2577+3552+2137+545+4006+9422+7992+4936+1547+1147+288+371+2842+1282+168+610+1948+150+3292+132+65+1780+1780+1780+952</f>
        <v>574701.5</v>
      </c>
      <c r="M285" s="122">
        <f>19168+21164+7719+6215+6404+4964+2339+1306+907+580+859+440+127+905+2170+1822+1050+392+333+56+73+734+411+21+61+466+30+807+26+13+445+445+445+238</f>
        <v>83135</v>
      </c>
      <c r="N285" s="280">
        <f>+L285/M285</f>
        <v>6.912870632104409</v>
      </c>
      <c r="O285" s="203"/>
    </row>
    <row r="286" spans="1:15" ht="15">
      <c r="A286" s="104">
        <v>283</v>
      </c>
      <c r="B286" s="222" t="s">
        <v>35</v>
      </c>
      <c r="C286" s="46">
        <v>40046</v>
      </c>
      <c r="D286" s="86" t="s">
        <v>162</v>
      </c>
      <c r="E286" s="138">
        <v>55</v>
      </c>
      <c r="F286" s="138">
        <v>1</v>
      </c>
      <c r="G286" s="138">
        <v>20</v>
      </c>
      <c r="H286" s="76">
        <v>609</v>
      </c>
      <c r="I286" s="77">
        <v>280</v>
      </c>
      <c r="J286" s="101">
        <f>I286/F286</f>
        <v>280</v>
      </c>
      <c r="K286" s="51">
        <f>+H286/I286</f>
        <v>2.175</v>
      </c>
      <c r="L286" s="78">
        <v>2895934</v>
      </c>
      <c r="M286" s="101">
        <v>289454</v>
      </c>
      <c r="N286" s="220">
        <f>IF(L287&lt;&gt;0,L287/M287,"")</f>
        <v>8.655390407771161</v>
      </c>
      <c r="O286" s="201"/>
    </row>
    <row r="287" spans="1:15" ht="15">
      <c r="A287" s="104">
        <v>284</v>
      </c>
      <c r="B287" s="222" t="s">
        <v>34</v>
      </c>
      <c r="C287" s="46">
        <v>39836</v>
      </c>
      <c r="D287" s="48" t="s">
        <v>165</v>
      </c>
      <c r="E287" s="138">
        <v>86</v>
      </c>
      <c r="F287" s="138">
        <v>1</v>
      </c>
      <c r="G287" s="138">
        <v>20</v>
      </c>
      <c r="H287" s="44">
        <v>2941</v>
      </c>
      <c r="I287" s="40">
        <v>588</v>
      </c>
      <c r="J287" s="41">
        <f>IF(H287&lt;&gt;0,I287/F287,"")</f>
        <v>588</v>
      </c>
      <c r="K287" s="34">
        <f>IF(H287&lt;&gt;0,H287/I287,"")</f>
        <v>5.0017006802721085</v>
      </c>
      <c r="L287" s="45">
        <v>1450591.5</v>
      </c>
      <c r="M287" s="42">
        <v>167594</v>
      </c>
      <c r="N287" s="220">
        <f>IF(L288&lt;&gt;0,L288/M288,"")</f>
        <v>8.652274095757049</v>
      </c>
      <c r="O287" s="203"/>
    </row>
    <row r="288" spans="1:15" ht="15">
      <c r="A288" s="104">
        <v>285</v>
      </c>
      <c r="B288" s="219" t="s">
        <v>34</v>
      </c>
      <c r="C288" s="29">
        <v>39836</v>
      </c>
      <c r="D288" s="39" t="s">
        <v>165</v>
      </c>
      <c r="E288" s="137">
        <v>86</v>
      </c>
      <c r="F288" s="137">
        <v>1</v>
      </c>
      <c r="G288" s="137">
        <v>21</v>
      </c>
      <c r="H288" s="31">
        <v>715</v>
      </c>
      <c r="I288" s="40">
        <v>143</v>
      </c>
      <c r="J288" s="41">
        <f>IF(H288&lt;&gt;0,I288/F288,"")</f>
        <v>143</v>
      </c>
      <c r="K288" s="34">
        <f>IF(H288&lt;&gt;0,H288/I288,"")</f>
        <v>5</v>
      </c>
      <c r="L288" s="35">
        <v>1451306.5</v>
      </c>
      <c r="M288" s="42">
        <v>167737</v>
      </c>
      <c r="N288" s="220">
        <f>L289/M289</f>
        <v>8.293342667133357</v>
      </c>
      <c r="O288" s="199"/>
    </row>
    <row r="289" spans="1:15" ht="15">
      <c r="A289" s="104">
        <v>286</v>
      </c>
      <c r="B289" s="219" t="s">
        <v>132</v>
      </c>
      <c r="C289" s="46">
        <v>39871</v>
      </c>
      <c r="D289" s="37" t="s">
        <v>163</v>
      </c>
      <c r="E289" s="133">
        <v>6</v>
      </c>
      <c r="F289" s="133">
        <v>1</v>
      </c>
      <c r="G289" s="133">
        <v>13</v>
      </c>
      <c r="H289" s="119">
        <v>396.58</v>
      </c>
      <c r="I289" s="120">
        <v>88</v>
      </c>
      <c r="J289" s="122">
        <f>I289/F289</f>
        <v>88</v>
      </c>
      <c r="K289" s="53">
        <f>+H289/I289</f>
        <v>4.506590909090909</v>
      </c>
      <c r="L289" s="52">
        <f>10784+5573+660+1421+910+383+1328+245+1176.5+396+237+184+396.58</f>
        <v>23694.08</v>
      </c>
      <c r="M289" s="122">
        <f>1170+612+72+185+145+72+129+49+165+72+54+44+88</f>
        <v>2857</v>
      </c>
      <c r="N289" s="280">
        <f>+L289/M289</f>
        <v>8.293342667133357</v>
      </c>
      <c r="O289" s="203">
        <v>1</v>
      </c>
    </row>
    <row r="290" spans="1:15" ht="15">
      <c r="A290" s="104">
        <v>287</v>
      </c>
      <c r="B290" s="219" t="s">
        <v>132</v>
      </c>
      <c r="C290" s="46">
        <v>39871</v>
      </c>
      <c r="D290" s="37" t="s">
        <v>163</v>
      </c>
      <c r="E290" s="133">
        <v>6</v>
      </c>
      <c r="F290" s="133">
        <v>1</v>
      </c>
      <c r="G290" s="133">
        <v>14</v>
      </c>
      <c r="H290" s="337">
        <v>72</v>
      </c>
      <c r="I290" s="338">
        <v>15</v>
      </c>
      <c r="J290" s="122">
        <f>(I290/F290)</f>
        <v>15</v>
      </c>
      <c r="K290" s="53">
        <f>H290/I290</f>
        <v>4.8</v>
      </c>
      <c r="L290" s="52">
        <f>10784+5573+660+1421+910+383+1328+245+1176.5+396+237+184+396.58+72</f>
        <v>23766.08</v>
      </c>
      <c r="M290" s="122">
        <f>1170+612+72+185+145+72+129+49+165+72+54+44+88+15</f>
        <v>2872</v>
      </c>
      <c r="N290" s="280">
        <f>L290/M290</f>
        <v>8.275097493036212</v>
      </c>
      <c r="O290" s="203">
        <v>1</v>
      </c>
    </row>
    <row r="291" spans="1:15" ht="15">
      <c r="A291" s="104">
        <v>288</v>
      </c>
      <c r="B291" s="222" t="s">
        <v>198</v>
      </c>
      <c r="C291" s="46">
        <v>40109</v>
      </c>
      <c r="D291" s="47" t="s">
        <v>163</v>
      </c>
      <c r="E291" s="138">
        <v>25</v>
      </c>
      <c r="F291" s="138">
        <v>8</v>
      </c>
      <c r="G291" s="138">
        <v>12</v>
      </c>
      <c r="H291" s="31">
        <v>13931</v>
      </c>
      <c r="I291" s="32">
        <v>2457</v>
      </c>
      <c r="J291" s="33">
        <f>(I291/F291)</f>
        <v>307.125</v>
      </c>
      <c r="K291" s="38">
        <f>H291/I291</f>
        <v>5.66992266992267</v>
      </c>
      <c r="L291" s="35">
        <f>198009+121514.5+95148.5+66495+23091+12092+17648.5+7279+6352.5+7838.5+3895+13931</f>
        <v>573294.5</v>
      </c>
      <c r="M291" s="36">
        <f>27092+16078+14204+10980+3903+1664+3329+1236+1212+1399+730+2457</f>
        <v>84284</v>
      </c>
      <c r="N291" s="220">
        <f>L292/M292</f>
        <v>6.778036241829305</v>
      </c>
      <c r="O291" s="201"/>
    </row>
    <row r="292" spans="1:15" ht="15">
      <c r="A292" s="104">
        <v>289</v>
      </c>
      <c r="B292" s="223" t="s">
        <v>198</v>
      </c>
      <c r="C292" s="62">
        <v>40109</v>
      </c>
      <c r="D292" s="63" t="s">
        <v>163</v>
      </c>
      <c r="E292" s="139">
        <v>25</v>
      </c>
      <c r="F292" s="139">
        <v>7</v>
      </c>
      <c r="G292" s="139">
        <v>13</v>
      </c>
      <c r="H292" s="31">
        <v>9467.5</v>
      </c>
      <c r="I292" s="40">
        <v>1694</v>
      </c>
      <c r="J292" s="41">
        <f>(I292/F292)</f>
        <v>242</v>
      </c>
      <c r="K292" s="34">
        <f>H292/I292</f>
        <v>5.588842975206612</v>
      </c>
      <c r="L292" s="35">
        <f>198009+121514.5+95148.5+66495+23091+12092+17648.5+7279+6352.5+7838.5+3895+13931+9467.5</f>
        <v>582762</v>
      </c>
      <c r="M292" s="42">
        <f>27092+16078+14204+10980+3903+1664+3329+1236+1212+1399+730+2457+1694</f>
        <v>85978</v>
      </c>
      <c r="N292" s="220">
        <f>L293/M293</f>
        <v>6.835928238845369</v>
      </c>
      <c r="O292" s="201"/>
    </row>
    <row r="293" spans="1:15" ht="15">
      <c r="A293" s="104">
        <v>290</v>
      </c>
      <c r="B293" s="222" t="s">
        <v>198</v>
      </c>
      <c r="C293" s="46">
        <v>40109</v>
      </c>
      <c r="D293" s="48" t="s">
        <v>163</v>
      </c>
      <c r="E293" s="138">
        <v>25</v>
      </c>
      <c r="F293" s="138">
        <v>5</v>
      </c>
      <c r="G293" s="138">
        <v>11</v>
      </c>
      <c r="H293" s="31">
        <v>3895</v>
      </c>
      <c r="I293" s="32">
        <v>730</v>
      </c>
      <c r="J293" s="33">
        <f>(I293/F293)</f>
        <v>146</v>
      </c>
      <c r="K293" s="34">
        <f>H293/I293</f>
        <v>5.335616438356165</v>
      </c>
      <c r="L293" s="35">
        <f>198009+121514.5+95148.5+66495+23091+12092+17648.5+7279+6352.5+7838.5+3895</f>
        <v>559363.5</v>
      </c>
      <c r="M293" s="36">
        <f>27092+16078+14204+10980+3903+1664+3329+1236+1212+1399+730</f>
        <v>81827</v>
      </c>
      <c r="N293" s="220">
        <f>L294/M294</f>
        <v>6.757958331892128</v>
      </c>
      <c r="O293" s="201">
        <v>1</v>
      </c>
    </row>
    <row r="294" spans="1:15" ht="15">
      <c r="A294" s="104">
        <v>291</v>
      </c>
      <c r="B294" s="222" t="s">
        <v>32</v>
      </c>
      <c r="C294" s="46">
        <v>40109</v>
      </c>
      <c r="D294" s="48" t="s">
        <v>163</v>
      </c>
      <c r="E294" s="138">
        <v>25</v>
      </c>
      <c r="F294" s="138">
        <v>3</v>
      </c>
      <c r="G294" s="138">
        <v>14</v>
      </c>
      <c r="H294" s="44">
        <v>3364</v>
      </c>
      <c r="I294" s="40">
        <v>753</v>
      </c>
      <c r="J294" s="41">
        <f>(I294/F294)</f>
        <v>251</v>
      </c>
      <c r="K294" s="34">
        <f>H294/I294</f>
        <v>4.46746347941567</v>
      </c>
      <c r="L294" s="45">
        <f>198009+121514.5+95148.5+66495+23091+12092+17648.5+7279+6352.5+7838.5+3895+13931+9479.5+3364</f>
        <v>586138</v>
      </c>
      <c r="M294" s="42">
        <f>27092+16078+14204+10980+3903+1664+3329+1236+1212+1399+730+2457+1696+753</f>
        <v>86733</v>
      </c>
      <c r="N294" s="221">
        <f>L295/M295</f>
        <v>6.754161162483488</v>
      </c>
      <c r="O294" s="204"/>
    </row>
    <row r="295" spans="1:15" ht="15">
      <c r="A295" s="104">
        <v>292</v>
      </c>
      <c r="B295" s="222" t="s">
        <v>198</v>
      </c>
      <c r="C295" s="46">
        <v>40109</v>
      </c>
      <c r="D295" s="37" t="s">
        <v>163</v>
      </c>
      <c r="E295" s="138">
        <v>25</v>
      </c>
      <c r="F295" s="138">
        <v>1</v>
      </c>
      <c r="G295" s="138">
        <v>16</v>
      </c>
      <c r="H295" s="111">
        <v>1019</v>
      </c>
      <c r="I295" s="112">
        <v>178</v>
      </c>
      <c r="J295" s="101">
        <f>I295/F295</f>
        <v>178</v>
      </c>
      <c r="K295" s="51">
        <f>+H295/I295</f>
        <v>5.724719101123595</v>
      </c>
      <c r="L295" s="78">
        <f>198009+121514.5+95148.5+66495+23091+12092+17648.5+7279+6352.5+7838.5+3895+13931+9479.5+3364+826.5+1019</f>
        <v>587983.5</v>
      </c>
      <c r="M295" s="101">
        <f>27092+16078+14204+10980+3903+1664+3329+1236+1212+1399+730+2457+1696+753+144+178</f>
        <v>87055</v>
      </c>
      <c r="N295" s="220">
        <f>L296/M296</f>
        <v>6.756270359243528</v>
      </c>
      <c r="O295" s="201">
        <v>1</v>
      </c>
    </row>
    <row r="296" spans="1:15" ht="15">
      <c r="A296" s="104">
        <v>293</v>
      </c>
      <c r="B296" s="222" t="s">
        <v>32</v>
      </c>
      <c r="C296" s="62">
        <v>40109</v>
      </c>
      <c r="D296" s="63" t="s">
        <v>163</v>
      </c>
      <c r="E296" s="139">
        <v>25</v>
      </c>
      <c r="F296" s="139">
        <v>1</v>
      </c>
      <c r="G296" s="139">
        <v>15</v>
      </c>
      <c r="H296" s="44">
        <v>826.5</v>
      </c>
      <c r="I296" s="40">
        <v>144</v>
      </c>
      <c r="J296" s="41">
        <f>(I296/F296)</f>
        <v>144</v>
      </c>
      <c r="K296" s="51">
        <f>+H296/I296</f>
        <v>5.739583333333333</v>
      </c>
      <c r="L296" s="45">
        <f>198009+121514.5+95148.5+66495+23091+12092+17648.5+7279+6352.5+7838.5+3895+13931+9479.5+3364+826.5</f>
        <v>586964.5</v>
      </c>
      <c r="M296" s="42">
        <f>27092+16078+14204+10980+3903+1664+3329+1236+1212+1399+730+2457+1696+753+144</f>
        <v>86877</v>
      </c>
      <c r="N296" s="220">
        <f>IF(L297&lt;&gt;0,L297/M297,"")</f>
        <v>6.753385090671046</v>
      </c>
      <c r="O296" s="203">
        <v>1</v>
      </c>
    </row>
    <row r="297" spans="1:15" ht="15">
      <c r="A297" s="104">
        <v>294</v>
      </c>
      <c r="B297" s="219" t="s">
        <v>198</v>
      </c>
      <c r="C297" s="29">
        <v>40109</v>
      </c>
      <c r="D297" s="37" t="s">
        <v>163</v>
      </c>
      <c r="E297" s="137">
        <v>25</v>
      </c>
      <c r="F297" s="137">
        <v>1</v>
      </c>
      <c r="G297" s="137">
        <v>17</v>
      </c>
      <c r="H297" s="31">
        <v>54</v>
      </c>
      <c r="I297" s="32">
        <v>18</v>
      </c>
      <c r="J297" s="33">
        <f>(I297/F297)</f>
        <v>18</v>
      </c>
      <c r="K297" s="38">
        <f>H297/I297</f>
        <v>3</v>
      </c>
      <c r="L297" s="35">
        <f>198009+121514.5+95148.5+66495+23091+12092+17648.5+7279+6352.5+7838.5+3895+13931+9479.5+3364+826.5+1019+54</f>
        <v>588037.5</v>
      </c>
      <c r="M297" s="36">
        <f>27092+16078+14204+10980+3903+1664+3329+1236+1212+1399+730+2457+1696+753+144+178+18</f>
        <v>87073</v>
      </c>
      <c r="N297" s="221">
        <f>+L298/M298</f>
        <v>6.752867887695929</v>
      </c>
      <c r="O297" s="200">
        <v>1</v>
      </c>
    </row>
    <row r="298" spans="1:15" ht="15">
      <c r="A298" s="104">
        <v>295</v>
      </c>
      <c r="B298" s="227" t="s">
        <v>198</v>
      </c>
      <c r="C298" s="46">
        <v>40109</v>
      </c>
      <c r="D298" s="37" t="s">
        <v>163</v>
      </c>
      <c r="E298" s="133">
        <v>25</v>
      </c>
      <c r="F298" s="133">
        <v>1</v>
      </c>
      <c r="G298" s="133">
        <v>18</v>
      </c>
      <c r="H298" s="119">
        <v>36</v>
      </c>
      <c r="I298" s="120">
        <v>12</v>
      </c>
      <c r="J298" s="122">
        <f>(I298/F298)</f>
        <v>12</v>
      </c>
      <c r="K298" s="53">
        <f>H298/I298</f>
        <v>3</v>
      </c>
      <c r="L298" s="52">
        <f>198009+121514.5+95148.5+66495+23091+12092+17648.5+7279+6352.5+7838.5+3895+13931+9479.5+3364+826.5+1019+54+36</f>
        <v>588073.5</v>
      </c>
      <c r="M298" s="122">
        <f>27092+16078+14204+10980+3903+1664+3329+1236+1212+1399+730+2457+1696+753+144+178+18+12</f>
        <v>87085</v>
      </c>
      <c r="N298" s="280">
        <f>L298/M298</f>
        <v>6.752867887695929</v>
      </c>
      <c r="O298" s="277">
        <v>1</v>
      </c>
    </row>
    <row r="299" spans="1:15" ht="15">
      <c r="A299" s="104">
        <v>296</v>
      </c>
      <c r="B299" s="219" t="s">
        <v>198</v>
      </c>
      <c r="C299" s="46">
        <v>40109</v>
      </c>
      <c r="D299" s="37" t="s">
        <v>163</v>
      </c>
      <c r="E299" s="133">
        <v>25</v>
      </c>
      <c r="F299" s="133">
        <v>1</v>
      </c>
      <c r="G299" s="133">
        <v>19</v>
      </c>
      <c r="H299" s="119">
        <v>440</v>
      </c>
      <c r="I299" s="120">
        <v>96</v>
      </c>
      <c r="J299" s="122">
        <f>I299/F299</f>
        <v>96</v>
      </c>
      <c r="K299" s="53">
        <f>+H299/I299</f>
        <v>4.583333333333333</v>
      </c>
      <c r="L299" s="52">
        <f>198009+121514.5+95148.5+66495+23091+12092+17648.5+7279+6352.5+7838.5+3895+13931+9479.5+3364+826.5+1019+54+36+440</f>
        <v>588513.5</v>
      </c>
      <c r="M299" s="122">
        <f>27092+16078+14204+10980+3903+1664+3329+1236+1212+1399+730+2457+1696+753+144+178+18+12+96</f>
        <v>87181</v>
      </c>
      <c r="N299" s="280">
        <f>+L299/M299</f>
        <v>6.750478888748695</v>
      </c>
      <c r="O299" s="203">
        <v>1</v>
      </c>
    </row>
    <row r="300" spans="1:15" ht="15">
      <c r="A300" s="104">
        <v>297</v>
      </c>
      <c r="B300" s="219" t="s">
        <v>198</v>
      </c>
      <c r="C300" s="46">
        <v>40109</v>
      </c>
      <c r="D300" s="37" t="s">
        <v>163</v>
      </c>
      <c r="E300" s="133">
        <v>25</v>
      </c>
      <c r="F300" s="133">
        <v>1</v>
      </c>
      <c r="G300" s="133">
        <v>20</v>
      </c>
      <c r="H300" s="337">
        <v>715.04</v>
      </c>
      <c r="I300" s="338">
        <v>166</v>
      </c>
      <c r="J300" s="122">
        <f>(I300/F300)</f>
        <v>166</v>
      </c>
      <c r="K300" s="53">
        <f>H300/I300</f>
        <v>4.307469879518072</v>
      </c>
      <c r="L300" s="52">
        <f>198009+121514.5+95148.5+66495+23091+12092+17648.5+7279+6352.5+7838.5+3895+13931+9479.5+3364+826.5+1019+54+36+440+715.04</f>
        <v>589228.54</v>
      </c>
      <c r="M300" s="122">
        <f>27092+16078+14204+10980+3903+1664+3329+1236+1212+1399+730+2457+1696+753+144+178+18+12+96+166</f>
        <v>87347</v>
      </c>
      <c r="N300" s="280">
        <f>L300/M300</f>
        <v>6.7458360332925</v>
      </c>
      <c r="O300" s="203">
        <v>1</v>
      </c>
    </row>
    <row r="301" spans="1:15" ht="15">
      <c r="A301" s="104">
        <v>298</v>
      </c>
      <c r="B301" s="222" t="s">
        <v>106</v>
      </c>
      <c r="C301" s="46">
        <v>40074</v>
      </c>
      <c r="D301" s="47" t="s">
        <v>49</v>
      </c>
      <c r="E301" s="138">
        <v>20</v>
      </c>
      <c r="F301" s="138">
        <v>1</v>
      </c>
      <c r="G301" s="138">
        <v>8</v>
      </c>
      <c r="H301" s="49">
        <v>622</v>
      </c>
      <c r="I301" s="50">
        <v>104</v>
      </c>
      <c r="J301" s="122">
        <f>I301/F301</f>
        <v>104</v>
      </c>
      <c r="K301" s="53">
        <f>+H301/I301</f>
        <v>5.980769230769231</v>
      </c>
      <c r="L301" s="52">
        <f>29605.75+13687.5+1715.5+10167+0.5+1482+874+865+622</f>
        <v>59019.25</v>
      </c>
      <c r="M301" s="122">
        <f>2984+1583+274+1724+229+164+167+104</f>
        <v>7229</v>
      </c>
      <c r="N301" s="224">
        <f>+L302/M302</f>
        <v>8.157885651153155</v>
      </c>
      <c r="O301" s="201">
        <v>1</v>
      </c>
    </row>
    <row r="302" spans="1:15" ht="15">
      <c r="A302" s="104">
        <v>299</v>
      </c>
      <c r="B302" s="222" t="s">
        <v>24</v>
      </c>
      <c r="C302" s="46">
        <v>40074</v>
      </c>
      <c r="D302" s="47" t="s">
        <v>49</v>
      </c>
      <c r="E302" s="138">
        <v>20</v>
      </c>
      <c r="F302" s="138">
        <v>1</v>
      </c>
      <c r="G302" s="138">
        <v>9</v>
      </c>
      <c r="H302" s="49">
        <v>52</v>
      </c>
      <c r="I302" s="77">
        <v>12</v>
      </c>
      <c r="J302" s="56">
        <f>+I302/F302</f>
        <v>12</v>
      </c>
      <c r="K302" s="57">
        <f>+H302/I302</f>
        <v>4.333333333333333</v>
      </c>
      <c r="L302" s="52">
        <f>29605.75+13687.5+1715.5+10167+0.5+1482+874+865+622+52</f>
        <v>59071.25</v>
      </c>
      <c r="M302" s="101">
        <f>2984+1583+274+1724+229+164+167+104+12</f>
        <v>7241</v>
      </c>
      <c r="N302" s="220">
        <f>L303/M303</f>
        <v>9.725345014730966</v>
      </c>
      <c r="O302" s="199">
        <v>1</v>
      </c>
    </row>
    <row r="303" spans="1:15" ht="15">
      <c r="A303" s="104">
        <v>300</v>
      </c>
      <c r="B303" s="222" t="s">
        <v>47</v>
      </c>
      <c r="C303" s="46">
        <v>40109</v>
      </c>
      <c r="D303" s="47" t="s">
        <v>163</v>
      </c>
      <c r="E303" s="138">
        <v>35</v>
      </c>
      <c r="F303" s="138">
        <v>4</v>
      </c>
      <c r="G303" s="138">
        <v>10</v>
      </c>
      <c r="H303" s="31">
        <v>2698</v>
      </c>
      <c r="I303" s="32">
        <v>403</v>
      </c>
      <c r="J303" s="33">
        <f>(I303/F303)</f>
        <v>100.75</v>
      </c>
      <c r="K303" s="38">
        <f>H303/I303</f>
        <v>6.694789081885856</v>
      </c>
      <c r="L303" s="35">
        <f>138311.75+79345.25+13093+10041+3739+971+1340+254+1082+2698</f>
        <v>250875</v>
      </c>
      <c r="M303" s="36">
        <f>12918+7558+2061+1540+644+195+252+48+177+403</f>
        <v>25796</v>
      </c>
      <c r="N303" s="220">
        <f>L304/M304</f>
        <v>9.696593355890496</v>
      </c>
      <c r="O303" s="200">
        <v>1</v>
      </c>
    </row>
    <row r="304" spans="1:15" ht="15">
      <c r="A304" s="104">
        <v>301</v>
      </c>
      <c r="B304" s="223" t="s">
        <v>47</v>
      </c>
      <c r="C304" s="62">
        <v>40109</v>
      </c>
      <c r="D304" s="63" t="s">
        <v>163</v>
      </c>
      <c r="E304" s="139">
        <v>35</v>
      </c>
      <c r="F304" s="139">
        <v>2</v>
      </c>
      <c r="G304" s="139">
        <v>11</v>
      </c>
      <c r="H304" s="31">
        <v>1314</v>
      </c>
      <c r="I304" s="40">
        <v>212</v>
      </c>
      <c r="J304" s="41">
        <f>(I304/F304)</f>
        <v>106</v>
      </c>
      <c r="K304" s="34">
        <f>H304/I304</f>
        <v>6.19811320754717</v>
      </c>
      <c r="L304" s="35">
        <f>138311.75+79345.25+13093+10041+3739+971+1340+254+1082+2698+1314</f>
        <v>252189</v>
      </c>
      <c r="M304" s="42">
        <f>12918+7558+2061+1540+644+195+252+48+177+403+212</f>
        <v>26008</v>
      </c>
      <c r="N304" s="220">
        <f>L305/M305</f>
        <v>9.77344149962588</v>
      </c>
      <c r="O304" s="201">
        <v>1</v>
      </c>
    </row>
    <row r="305" spans="1:15" ht="15">
      <c r="A305" s="104">
        <v>302</v>
      </c>
      <c r="B305" s="222" t="s">
        <v>47</v>
      </c>
      <c r="C305" s="46">
        <v>40109</v>
      </c>
      <c r="D305" s="48" t="s">
        <v>163</v>
      </c>
      <c r="E305" s="138">
        <v>35</v>
      </c>
      <c r="F305" s="138">
        <v>1</v>
      </c>
      <c r="G305" s="138">
        <v>9</v>
      </c>
      <c r="H305" s="31">
        <v>1082</v>
      </c>
      <c r="I305" s="32">
        <v>177</v>
      </c>
      <c r="J305" s="33">
        <f>(I305/F305)</f>
        <v>177</v>
      </c>
      <c r="K305" s="34">
        <f>H305/I305</f>
        <v>6.112994350282486</v>
      </c>
      <c r="L305" s="35">
        <f>138311.75+79345.25+13093+10041+3739+971+1340+254+1082</f>
        <v>248177</v>
      </c>
      <c r="M305" s="36">
        <f>12918+7558+2061+1540+644+195+252+48+177</f>
        <v>25393</v>
      </c>
      <c r="N305" s="221">
        <f>L306/M306</f>
        <v>9.630330854454394</v>
      </c>
      <c r="O305" s="199">
        <v>1</v>
      </c>
    </row>
    <row r="306" spans="1:15" ht="15">
      <c r="A306" s="104">
        <v>303</v>
      </c>
      <c r="B306" s="222" t="s">
        <v>47</v>
      </c>
      <c r="C306" s="46">
        <v>40109</v>
      </c>
      <c r="D306" s="37" t="s">
        <v>163</v>
      </c>
      <c r="E306" s="138">
        <v>35</v>
      </c>
      <c r="F306" s="138">
        <v>1</v>
      </c>
      <c r="G306" s="138">
        <v>13</v>
      </c>
      <c r="H306" s="111">
        <v>952</v>
      </c>
      <c r="I306" s="112">
        <v>238</v>
      </c>
      <c r="J306" s="101">
        <f>(I306/F306)</f>
        <v>238</v>
      </c>
      <c r="K306" s="51">
        <f>(J306/G306)</f>
        <v>18.307692307692307</v>
      </c>
      <c r="L306" s="78">
        <f>138311.75+79345.25+13093+10041+3739+971+1340+254+1082+2698+1314+676+952</f>
        <v>253817</v>
      </c>
      <c r="M306" s="101">
        <f>12918+7558+2061+1540+644+195+252+48+177+403+212+110+238</f>
        <v>26356</v>
      </c>
      <c r="N306" s="220">
        <f>L307/M307</f>
        <v>9.681637185083085</v>
      </c>
      <c r="O306" s="199">
        <v>1</v>
      </c>
    </row>
    <row r="307" spans="1:15" ht="15">
      <c r="A307" s="104">
        <v>304</v>
      </c>
      <c r="B307" s="222" t="s">
        <v>47</v>
      </c>
      <c r="C307" s="46">
        <v>40109</v>
      </c>
      <c r="D307" s="48" t="s">
        <v>163</v>
      </c>
      <c r="E307" s="138">
        <v>35</v>
      </c>
      <c r="F307" s="138">
        <v>2</v>
      </c>
      <c r="G307" s="138">
        <v>12</v>
      </c>
      <c r="H307" s="44">
        <v>676</v>
      </c>
      <c r="I307" s="40">
        <v>110</v>
      </c>
      <c r="J307" s="41">
        <f>(I307/F307)</f>
        <v>55</v>
      </c>
      <c r="K307" s="34">
        <f>H307/I307</f>
        <v>6.1454545454545455</v>
      </c>
      <c r="L307" s="45">
        <f>138311.75+79345.25+13093+10041+3739+971+1340+254+1082+2698+1314+676</f>
        <v>252865</v>
      </c>
      <c r="M307" s="42">
        <f>12918+7558+2061+1540+644+195+252+48+177+403+212+110</f>
        <v>26118</v>
      </c>
      <c r="N307" s="224">
        <f>IF(L308&lt;&gt;0,L308/M308,"")</f>
        <v>8.079533056949597</v>
      </c>
      <c r="O307" s="201">
        <v>1</v>
      </c>
    </row>
    <row r="308" spans="1:15" ht="15">
      <c r="A308" s="104">
        <v>305</v>
      </c>
      <c r="B308" s="219" t="s">
        <v>19</v>
      </c>
      <c r="C308" s="29">
        <v>40088</v>
      </c>
      <c r="D308" s="37" t="s">
        <v>165</v>
      </c>
      <c r="E308" s="137">
        <v>55</v>
      </c>
      <c r="F308" s="137">
        <v>1</v>
      </c>
      <c r="G308" s="137">
        <v>11</v>
      </c>
      <c r="H308" s="54">
        <v>653</v>
      </c>
      <c r="I308" s="55">
        <v>131</v>
      </c>
      <c r="J308" s="56">
        <f>IF(H308&lt;&gt;0,I308/F308,"")</f>
        <v>131</v>
      </c>
      <c r="K308" s="57">
        <f>IF(H308&lt;&gt;0,H308/I308,"")</f>
        <v>4.984732824427481</v>
      </c>
      <c r="L308" s="58">
        <v>148114</v>
      </c>
      <c r="M308" s="101">
        <v>18332</v>
      </c>
      <c r="N308" s="221">
        <f>+L309/M309</f>
        <v>8.066197183098591</v>
      </c>
      <c r="O308" s="200">
        <v>1</v>
      </c>
    </row>
    <row r="309" spans="1:15" ht="15">
      <c r="A309" s="104">
        <v>306</v>
      </c>
      <c r="B309" s="222" t="s">
        <v>107</v>
      </c>
      <c r="C309" s="46">
        <v>40088</v>
      </c>
      <c r="D309" s="37" t="s">
        <v>165</v>
      </c>
      <c r="E309" s="138">
        <v>55</v>
      </c>
      <c r="F309" s="138">
        <v>1</v>
      </c>
      <c r="G309" s="138">
        <v>13</v>
      </c>
      <c r="H309" s="115">
        <v>518</v>
      </c>
      <c r="I309" s="116">
        <v>90</v>
      </c>
      <c r="J309" s="122">
        <f>I309/F309</f>
        <v>90</v>
      </c>
      <c r="K309" s="53">
        <f>H309/I309</f>
        <v>5.7555555555555555</v>
      </c>
      <c r="L309" s="52">
        <v>148902</v>
      </c>
      <c r="M309" s="122">
        <v>18460</v>
      </c>
      <c r="N309" s="220">
        <f>IF(L310&lt;&gt;0,L310/M310,"")</f>
        <v>8.07751769188895</v>
      </c>
      <c r="O309" s="201">
        <v>1</v>
      </c>
    </row>
    <row r="310" spans="1:15" ht="15">
      <c r="A310" s="104">
        <v>307</v>
      </c>
      <c r="B310" s="222" t="s">
        <v>19</v>
      </c>
      <c r="C310" s="46">
        <v>40088</v>
      </c>
      <c r="D310" s="48" t="s">
        <v>165</v>
      </c>
      <c r="E310" s="138">
        <v>55</v>
      </c>
      <c r="F310" s="138">
        <v>1</v>
      </c>
      <c r="G310" s="138">
        <v>12</v>
      </c>
      <c r="H310" s="44">
        <v>270</v>
      </c>
      <c r="I310" s="40">
        <v>38</v>
      </c>
      <c r="J310" s="41">
        <f>IF(H310&lt;&gt;0,I310/F310,"")</f>
        <v>38</v>
      </c>
      <c r="K310" s="34">
        <f>IF(H310&lt;&gt;0,H310/I310,"")</f>
        <v>7.105263157894737</v>
      </c>
      <c r="L310" s="45">
        <v>148384</v>
      </c>
      <c r="M310" s="42">
        <v>18370</v>
      </c>
      <c r="N310" s="224">
        <f>IF(L311&lt;&gt;0,L311/M311,"")</f>
        <v>8.101807592989395</v>
      </c>
      <c r="O310" s="204"/>
    </row>
    <row r="311" spans="1:15" ht="15">
      <c r="A311" s="104">
        <v>308</v>
      </c>
      <c r="B311" s="219" t="s">
        <v>107</v>
      </c>
      <c r="C311" s="29">
        <v>40088</v>
      </c>
      <c r="D311" s="37" t="s">
        <v>108</v>
      </c>
      <c r="E311" s="137">
        <v>55</v>
      </c>
      <c r="F311" s="137">
        <v>1</v>
      </c>
      <c r="G311" s="137">
        <v>10</v>
      </c>
      <c r="H311" s="54">
        <v>210</v>
      </c>
      <c r="I311" s="59">
        <v>42</v>
      </c>
      <c r="J311" s="60">
        <f>IF(H311&lt;&gt;0,I311/F311,"")</f>
        <v>42</v>
      </c>
      <c r="K311" s="61">
        <f>IF(H311&lt;&gt;0,H311/I311,"")</f>
        <v>5</v>
      </c>
      <c r="L311" s="58">
        <v>147461</v>
      </c>
      <c r="M311" s="122">
        <v>18201</v>
      </c>
      <c r="N311" s="220">
        <f>L312/M312</f>
        <v>7.809902995336602</v>
      </c>
      <c r="O311" s="201">
        <v>1</v>
      </c>
    </row>
    <row r="312" spans="1:15" ht="15">
      <c r="A312" s="104">
        <v>309</v>
      </c>
      <c r="B312" s="223" t="s">
        <v>10</v>
      </c>
      <c r="C312" s="62">
        <v>40109</v>
      </c>
      <c r="D312" s="63" t="s">
        <v>163</v>
      </c>
      <c r="E312" s="139">
        <v>179</v>
      </c>
      <c r="F312" s="139">
        <v>1</v>
      </c>
      <c r="G312" s="139">
        <v>12</v>
      </c>
      <c r="H312" s="31">
        <v>1563</v>
      </c>
      <c r="I312" s="40">
        <v>274</v>
      </c>
      <c r="J312" s="41">
        <f>(I312/F312)</f>
        <v>274</v>
      </c>
      <c r="K312" s="34">
        <f>H312/I312</f>
        <v>5.704379562043796</v>
      </c>
      <c r="L312" s="35">
        <f>1128559+561773+266735+93447+7005+1818+273+24520+599+3199+564+1563</f>
        <v>2090055</v>
      </c>
      <c r="M312" s="42">
        <f>129422+68620+41591+19064+1291+300+35+6130+81+717+91+274</f>
        <v>267616</v>
      </c>
      <c r="N312" s="220">
        <f>L313/M313</f>
        <v>7.8120609556298675</v>
      </c>
      <c r="O312" s="203">
        <v>1</v>
      </c>
    </row>
    <row r="313" spans="1:15" ht="15">
      <c r="A313" s="104">
        <v>310</v>
      </c>
      <c r="B313" s="222" t="s">
        <v>10</v>
      </c>
      <c r="C313" s="46">
        <v>40109</v>
      </c>
      <c r="D313" s="48" t="s">
        <v>163</v>
      </c>
      <c r="E313" s="138">
        <v>179</v>
      </c>
      <c r="F313" s="138">
        <v>2</v>
      </c>
      <c r="G313" s="138">
        <v>11</v>
      </c>
      <c r="H313" s="31">
        <v>564</v>
      </c>
      <c r="I313" s="32">
        <v>91</v>
      </c>
      <c r="J313" s="33">
        <f>(I313/F313)</f>
        <v>45.5</v>
      </c>
      <c r="K313" s="34">
        <f>H313/I313</f>
        <v>6.197802197802198</v>
      </c>
      <c r="L313" s="35">
        <f>1128559+561773+266735+93447+7005+1818+273+24520+599+3199+564</f>
        <v>2088492</v>
      </c>
      <c r="M313" s="36">
        <f>129422+68620+41591+19064+1291+300+35+6130+81+717+91</f>
        <v>267342</v>
      </c>
      <c r="N313" s="221">
        <f>+L314/M314</f>
        <v>7.802755492896811</v>
      </c>
      <c r="O313" s="208">
        <v>1</v>
      </c>
    </row>
    <row r="314" spans="1:15" ht="15">
      <c r="A314" s="104">
        <v>311</v>
      </c>
      <c r="B314" s="227" t="s">
        <v>10</v>
      </c>
      <c r="C314" s="46">
        <v>40109</v>
      </c>
      <c r="D314" s="37" t="s">
        <v>163</v>
      </c>
      <c r="E314" s="133">
        <v>179</v>
      </c>
      <c r="F314" s="133">
        <v>1</v>
      </c>
      <c r="G314" s="133">
        <v>13</v>
      </c>
      <c r="H314" s="119">
        <v>2012</v>
      </c>
      <c r="I314" s="120">
        <v>503</v>
      </c>
      <c r="J314" s="122">
        <f>(I314/F314)</f>
        <v>503</v>
      </c>
      <c r="K314" s="53">
        <f>H314/I314</f>
        <v>4</v>
      </c>
      <c r="L314" s="52">
        <f>1128559+561773+266735+93447+7005+1818+273+24520+599+3199+564+1563+2012</f>
        <v>2092067</v>
      </c>
      <c r="M314" s="122">
        <f>129422+68620+41591+19064+1291+300+35+6130+81+717+91+274+503</f>
        <v>268119</v>
      </c>
      <c r="N314" s="280">
        <f>L314/M314</f>
        <v>7.802755492896811</v>
      </c>
      <c r="O314" s="277">
        <v>1</v>
      </c>
    </row>
    <row r="315" spans="1:15" ht="15">
      <c r="A315" s="104">
        <v>312</v>
      </c>
      <c r="B315" s="222" t="s">
        <v>102</v>
      </c>
      <c r="C315" s="46">
        <v>39934</v>
      </c>
      <c r="D315" s="47" t="s">
        <v>49</v>
      </c>
      <c r="E315" s="138">
        <v>125</v>
      </c>
      <c r="F315" s="138">
        <v>1</v>
      </c>
      <c r="G315" s="138">
        <v>11</v>
      </c>
      <c r="H315" s="49">
        <v>1085</v>
      </c>
      <c r="I315" s="50">
        <v>217</v>
      </c>
      <c r="J315" s="122">
        <f>I315/F315</f>
        <v>217</v>
      </c>
      <c r="K315" s="53">
        <f>+H315/I315</f>
        <v>5</v>
      </c>
      <c r="L315" s="52">
        <f>114460.75+42138+22420+8194+3259+329+823+25444.5+546+3853+1085</f>
        <v>222552.25</v>
      </c>
      <c r="M315" s="122">
        <f>15343+6534+4108+1491+680+62+130+4241+100+770+217</f>
        <v>33676</v>
      </c>
      <c r="N315" s="221">
        <f>+L316/M316</f>
        <v>6.601970960492075</v>
      </c>
      <c r="O315" s="202">
        <v>1</v>
      </c>
    </row>
    <row r="316" spans="1:15" ht="15">
      <c r="A316" s="104">
        <v>313</v>
      </c>
      <c r="B316" s="222" t="s">
        <v>17</v>
      </c>
      <c r="C316" s="46">
        <v>39934</v>
      </c>
      <c r="D316" s="47" t="s">
        <v>49</v>
      </c>
      <c r="E316" s="138">
        <v>125</v>
      </c>
      <c r="F316" s="138">
        <v>1</v>
      </c>
      <c r="G316" s="138">
        <v>12</v>
      </c>
      <c r="H316" s="49">
        <v>700</v>
      </c>
      <c r="I316" s="77">
        <v>140</v>
      </c>
      <c r="J316" s="56">
        <f>+I316/F316</f>
        <v>140</v>
      </c>
      <c r="K316" s="57">
        <f>+H316/I316</f>
        <v>5</v>
      </c>
      <c r="L316" s="52">
        <f>114460.75+42138+22420+8194+3259+329+823+25444.5+546+3853+1085+700</f>
        <v>223252.25</v>
      </c>
      <c r="M316" s="101">
        <f>15343+6534+4108+1491+680+62+130+4241+100+770+217+140</f>
        <v>33816</v>
      </c>
      <c r="N316" s="224">
        <f>IF(L317&lt;&gt;0,L317/M317,"")</f>
        <v>9.888501709077099</v>
      </c>
      <c r="O316" s="199">
        <v>1</v>
      </c>
    </row>
    <row r="317" spans="1:15" ht="15">
      <c r="A317" s="104">
        <v>314</v>
      </c>
      <c r="B317" s="219" t="s">
        <v>96</v>
      </c>
      <c r="C317" s="29">
        <v>40123</v>
      </c>
      <c r="D317" s="43" t="s">
        <v>165</v>
      </c>
      <c r="E317" s="137">
        <v>40</v>
      </c>
      <c r="F317" s="137">
        <v>3</v>
      </c>
      <c r="G317" s="137">
        <v>8</v>
      </c>
      <c r="H317" s="54">
        <v>2876</v>
      </c>
      <c r="I317" s="59">
        <v>477</v>
      </c>
      <c r="J317" s="60">
        <f>IF(H317&lt;&gt;0,I317/F317,"")</f>
        <v>159</v>
      </c>
      <c r="K317" s="57">
        <f>IF(H317&lt;&gt;0,H317/I317,"")</f>
        <v>6.029350104821803</v>
      </c>
      <c r="L317" s="58">
        <v>260364.25</v>
      </c>
      <c r="M317" s="122">
        <v>26330</v>
      </c>
      <c r="N317" s="221">
        <f>IF(L318&lt;&gt;0,L318/M318,"")</f>
        <v>9.673512900788081</v>
      </c>
      <c r="O317" s="201">
        <v>1</v>
      </c>
    </row>
    <row r="318" spans="1:15" ht="15">
      <c r="A318" s="104">
        <v>315</v>
      </c>
      <c r="B318" s="222" t="s">
        <v>9</v>
      </c>
      <c r="C318" s="46">
        <v>40123</v>
      </c>
      <c r="D318" s="37" t="s">
        <v>165</v>
      </c>
      <c r="E318" s="138">
        <v>40</v>
      </c>
      <c r="F318" s="138">
        <v>2</v>
      </c>
      <c r="G318" s="138">
        <v>14</v>
      </c>
      <c r="H318" s="115">
        <v>2069</v>
      </c>
      <c r="I318" s="116">
        <v>334</v>
      </c>
      <c r="J318" s="122">
        <f>IF(H318&lt;&gt;0,I318/F318,"")</f>
        <v>167</v>
      </c>
      <c r="K318" s="53">
        <f>IF(H318&lt;&gt;0,H318/I318,"")</f>
        <v>6.1946107784431135</v>
      </c>
      <c r="L318" s="52">
        <v>268817.25</v>
      </c>
      <c r="M318" s="122">
        <v>27789</v>
      </c>
      <c r="N318" s="224">
        <f>IF(L319&lt;&gt;0,L319/M319,"")</f>
        <v>9.790468860120924</v>
      </c>
      <c r="O318" s="200">
        <v>1</v>
      </c>
    </row>
    <row r="319" spans="1:15" ht="15">
      <c r="A319" s="104">
        <v>316</v>
      </c>
      <c r="B319" s="219" t="s">
        <v>9</v>
      </c>
      <c r="C319" s="29">
        <v>40123</v>
      </c>
      <c r="D319" s="37" t="s">
        <v>165</v>
      </c>
      <c r="E319" s="137">
        <v>40</v>
      </c>
      <c r="F319" s="137">
        <v>5</v>
      </c>
      <c r="G319" s="137">
        <v>10</v>
      </c>
      <c r="H319" s="54">
        <v>1905</v>
      </c>
      <c r="I319" s="55">
        <v>315</v>
      </c>
      <c r="J319" s="56">
        <f>IF(H319&lt;&gt;0,I319/F319,"")</f>
        <v>63</v>
      </c>
      <c r="K319" s="57">
        <f>IF(H319&lt;&gt;0,H319/I319,"")</f>
        <v>6.0476190476190474</v>
      </c>
      <c r="L319" s="58">
        <v>263941.25</v>
      </c>
      <c r="M319" s="101">
        <v>26959</v>
      </c>
      <c r="N319" s="224">
        <f>IF(L320&lt;&gt;0,L320/M320,"")</f>
        <v>9.834718886053146</v>
      </c>
      <c r="O319" s="201">
        <v>1</v>
      </c>
    </row>
    <row r="320" spans="1:15" ht="15">
      <c r="A320" s="104">
        <v>317</v>
      </c>
      <c r="B320" s="219" t="s">
        <v>96</v>
      </c>
      <c r="C320" s="29">
        <v>40123</v>
      </c>
      <c r="D320" s="37" t="s">
        <v>165</v>
      </c>
      <c r="E320" s="137">
        <v>40</v>
      </c>
      <c r="F320" s="137">
        <v>4</v>
      </c>
      <c r="G320" s="137">
        <v>9</v>
      </c>
      <c r="H320" s="54">
        <v>1672</v>
      </c>
      <c r="I320" s="59">
        <v>314</v>
      </c>
      <c r="J320" s="60">
        <f>IF(H320&lt;&gt;0,I320/F320,"")</f>
        <v>78.5</v>
      </c>
      <c r="K320" s="61">
        <f>IF(H320&lt;&gt;0,H320/I320,"")</f>
        <v>5.32484076433121</v>
      </c>
      <c r="L320" s="58">
        <v>262036.25</v>
      </c>
      <c r="M320" s="122">
        <v>26644</v>
      </c>
      <c r="N320" s="221">
        <f>L321/M321</f>
        <v>9.715835002731742</v>
      </c>
      <c r="O320" s="200">
        <v>1</v>
      </c>
    </row>
    <row r="321" spans="1:15" ht="15">
      <c r="A321" s="104">
        <v>318</v>
      </c>
      <c r="B321" s="222" t="s">
        <v>9</v>
      </c>
      <c r="C321" s="46">
        <v>40123</v>
      </c>
      <c r="D321" s="37" t="s">
        <v>165</v>
      </c>
      <c r="E321" s="138">
        <v>40</v>
      </c>
      <c r="F321" s="138">
        <v>2</v>
      </c>
      <c r="G321" s="138">
        <v>13</v>
      </c>
      <c r="H321" s="111">
        <v>1270.5</v>
      </c>
      <c r="I321" s="112">
        <v>209</v>
      </c>
      <c r="J321" s="101">
        <f>I321/F321</f>
        <v>104.5</v>
      </c>
      <c r="K321" s="51">
        <f>+H321/I321</f>
        <v>6.078947368421052</v>
      </c>
      <c r="L321" s="78">
        <v>266748.25</v>
      </c>
      <c r="M321" s="101">
        <v>27455</v>
      </c>
      <c r="N321" s="221">
        <f>+L322/M322</f>
        <v>9.670437851589092</v>
      </c>
      <c r="O321" s="201">
        <v>1</v>
      </c>
    </row>
    <row r="322" spans="1:15" ht="15">
      <c r="A322" s="104">
        <v>319</v>
      </c>
      <c r="B322" s="222" t="s">
        <v>9</v>
      </c>
      <c r="C322" s="46">
        <v>40123</v>
      </c>
      <c r="D322" s="37" t="s">
        <v>165</v>
      </c>
      <c r="E322" s="138">
        <v>40</v>
      </c>
      <c r="F322" s="138">
        <v>1</v>
      </c>
      <c r="G322" s="138">
        <v>15</v>
      </c>
      <c r="H322" s="115">
        <v>1075</v>
      </c>
      <c r="I322" s="116">
        <v>120</v>
      </c>
      <c r="J322" s="122">
        <f>I322/F322</f>
        <v>120</v>
      </c>
      <c r="K322" s="53">
        <f>H322/I322</f>
        <v>8.958333333333334</v>
      </c>
      <c r="L322" s="52">
        <v>269892.25</v>
      </c>
      <c r="M322" s="122">
        <v>27909</v>
      </c>
      <c r="N322" s="220">
        <f>IF(L323&lt;&gt;0,L323/M323,"")</f>
        <v>9.764483139856274</v>
      </c>
      <c r="O322" s="202">
        <v>1</v>
      </c>
    </row>
    <row r="323" spans="1:15" ht="15">
      <c r="A323" s="104">
        <v>320</v>
      </c>
      <c r="B323" s="222" t="s">
        <v>96</v>
      </c>
      <c r="C323" s="46">
        <v>40123</v>
      </c>
      <c r="D323" s="48" t="s">
        <v>165</v>
      </c>
      <c r="E323" s="138">
        <v>40</v>
      </c>
      <c r="F323" s="138">
        <v>4</v>
      </c>
      <c r="G323" s="138">
        <v>11</v>
      </c>
      <c r="H323" s="44">
        <v>1018</v>
      </c>
      <c r="I323" s="40">
        <v>176</v>
      </c>
      <c r="J323" s="41">
        <f>IF(H323&lt;&gt;0,I323/F323,"")</f>
        <v>44</v>
      </c>
      <c r="K323" s="34">
        <f>IF(H323&lt;&gt;0,H323/I323,"")</f>
        <v>5.784090909090909</v>
      </c>
      <c r="L323" s="45">
        <v>264959.25</v>
      </c>
      <c r="M323" s="42">
        <v>27135</v>
      </c>
      <c r="N323" s="221">
        <f>+L324/M324</f>
        <v>9.57990847409711</v>
      </c>
      <c r="O323" s="214"/>
    </row>
    <row r="324" spans="1:15" ht="15">
      <c r="A324" s="104">
        <v>321</v>
      </c>
      <c r="B324" s="222" t="s">
        <v>9</v>
      </c>
      <c r="C324" s="117">
        <v>40123</v>
      </c>
      <c r="D324" s="118" t="s">
        <v>165</v>
      </c>
      <c r="E324" s="133">
        <v>40</v>
      </c>
      <c r="F324" s="133">
        <v>1</v>
      </c>
      <c r="G324" s="133">
        <v>17</v>
      </c>
      <c r="H324" s="119">
        <v>680</v>
      </c>
      <c r="I324" s="120">
        <v>170</v>
      </c>
      <c r="J324" s="122">
        <f>IF(H324&lt;&gt;0,I324/F324,"")</f>
        <v>170</v>
      </c>
      <c r="K324" s="53">
        <f>H324/I324</f>
        <v>4</v>
      </c>
      <c r="L324" s="52">
        <v>271092.25</v>
      </c>
      <c r="M324" s="122">
        <v>28298</v>
      </c>
      <c r="N324" s="221">
        <f>+L325/M325</f>
        <v>9.613632323663253</v>
      </c>
      <c r="O324" s="199">
        <v>1</v>
      </c>
    </row>
    <row r="325" spans="1:15" ht="15">
      <c r="A325" s="104">
        <v>322</v>
      </c>
      <c r="B325" s="222" t="s">
        <v>9</v>
      </c>
      <c r="C325" s="117">
        <v>40123</v>
      </c>
      <c r="D325" s="37" t="s">
        <v>165</v>
      </c>
      <c r="E325" s="133">
        <v>40</v>
      </c>
      <c r="F325" s="133">
        <v>1</v>
      </c>
      <c r="G325" s="133">
        <v>16</v>
      </c>
      <c r="H325" s="119">
        <v>520</v>
      </c>
      <c r="I325" s="120">
        <v>219</v>
      </c>
      <c r="J325" s="122">
        <f>I325/F325</f>
        <v>219</v>
      </c>
      <c r="K325" s="53">
        <f>H325/I325</f>
        <v>2.374429223744292</v>
      </c>
      <c r="L325" s="52">
        <v>270412.25</v>
      </c>
      <c r="M325" s="122">
        <v>28128</v>
      </c>
      <c r="N325" s="221">
        <f>L326/M326</f>
        <v>9.743733025031197</v>
      </c>
      <c r="O325" s="201">
        <v>1</v>
      </c>
    </row>
    <row r="326" spans="1:15" ht="15">
      <c r="A326" s="104">
        <v>323</v>
      </c>
      <c r="B326" s="222" t="s">
        <v>96</v>
      </c>
      <c r="C326" s="46">
        <v>40123</v>
      </c>
      <c r="D326" s="37" t="s">
        <v>165</v>
      </c>
      <c r="E326" s="138">
        <v>40</v>
      </c>
      <c r="F326" s="138">
        <v>3</v>
      </c>
      <c r="G326" s="138">
        <v>12</v>
      </c>
      <c r="H326" s="76">
        <v>518.5</v>
      </c>
      <c r="I326" s="77">
        <v>111</v>
      </c>
      <c r="J326" s="101">
        <f>I326/F326</f>
        <v>37</v>
      </c>
      <c r="K326" s="51">
        <f>H326/I326</f>
        <v>4.671171171171171</v>
      </c>
      <c r="L326" s="78">
        <v>265477.75</v>
      </c>
      <c r="M326" s="101">
        <v>27246</v>
      </c>
      <c r="N326" s="224">
        <f>IF(L327&lt;&gt;0,L327/M327,"")</f>
        <v>9.577722265376739</v>
      </c>
      <c r="O326" s="200">
        <v>1</v>
      </c>
    </row>
    <row r="327" spans="1:15" ht="15">
      <c r="A327" s="104">
        <v>324</v>
      </c>
      <c r="B327" s="227" t="s">
        <v>96</v>
      </c>
      <c r="C327" s="46">
        <v>40123</v>
      </c>
      <c r="D327" s="118" t="s">
        <v>165</v>
      </c>
      <c r="E327" s="133">
        <v>40</v>
      </c>
      <c r="F327" s="133">
        <v>1</v>
      </c>
      <c r="G327" s="133">
        <v>18</v>
      </c>
      <c r="H327" s="119">
        <v>168</v>
      </c>
      <c r="I327" s="120">
        <v>24</v>
      </c>
      <c r="J327" s="122">
        <f>I327/F327</f>
        <v>24</v>
      </c>
      <c r="K327" s="53">
        <f>H327/I327</f>
        <v>7</v>
      </c>
      <c r="L327" s="52">
        <v>271260.25</v>
      </c>
      <c r="M327" s="122">
        <v>28322</v>
      </c>
      <c r="N327" s="280">
        <f>+L327/M327</f>
        <v>9.577722265376739</v>
      </c>
      <c r="O327" s="351">
        <v>1</v>
      </c>
    </row>
    <row r="328" spans="1:15" ht="15">
      <c r="A328" s="104">
        <v>325</v>
      </c>
      <c r="B328" s="222" t="s">
        <v>135</v>
      </c>
      <c r="C328" s="46">
        <v>40116</v>
      </c>
      <c r="D328" s="48" t="s">
        <v>49</v>
      </c>
      <c r="E328" s="138">
        <v>252</v>
      </c>
      <c r="F328" s="138">
        <v>3</v>
      </c>
      <c r="G328" s="138">
        <v>10</v>
      </c>
      <c r="H328" s="49">
        <v>3546</v>
      </c>
      <c r="I328" s="50">
        <v>675</v>
      </c>
      <c r="J328" s="60">
        <f>IF(H328&lt;&gt;0,I328/F328,"")</f>
        <v>225</v>
      </c>
      <c r="K328" s="57">
        <f>IF(H328&lt;&gt;0,H328/I328,"")</f>
        <v>5.253333333333333</v>
      </c>
      <c r="L328" s="52">
        <f>1669127.75+948082.25+584112.75-1430.5+253635+167357+9936+0.5+7987+1963+4065+3546</f>
        <v>3648381.75</v>
      </c>
      <c r="M328" s="122">
        <f>200044+117374+72700-112+36636+25117+1706+1163+472+1036+675</f>
        <v>456811</v>
      </c>
      <c r="N328" s="221">
        <f>+L329/M329</f>
        <v>7.984636504989404</v>
      </c>
      <c r="O328" s="201"/>
    </row>
    <row r="329" spans="1:15" ht="15">
      <c r="A329" s="104">
        <v>326</v>
      </c>
      <c r="B329" s="222" t="s">
        <v>11</v>
      </c>
      <c r="C329" s="46">
        <v>40116</v>
      </c>
      <c r="D329" s="47" t="s">
        <v>49</v>
      </c>
      <c r="E329" s="138">
        <v>252</v>
      </c>
      <c r="F329" s="138">
        <v>3</v>
      </c>
      <c r="G329" s="138">
        <v>12</v>
      </c>
      <c r="H329" s="49">
        <v>1470</v>
      </c>
      <c r="I329" s="77">
        <v>234</v>
      </c>
      <c r="J329" s="56">
        <f>+I329/F329</f>
        <v>78</v>
      </c>
      <c r="K329" s="57">
        <f>+H329/I329</f>
        <v>6.282051282051282</v>
      </c>
      <c r="L329" s="52">
        <f>1669127.75+948082.25+584112.75-1430.5+253635+167357+9936+0.5+7987+1963+4065+3546+1275+1470</f>
        <v>3651126.75</v>
      </c>
      <c r="M329" s="101">
        <f>200044+117374+72700-112+36636+25117+1706+1163+472+1036+675+224+234</f>
        <v>457269</v>
      </c>
      <c r="N329" s="221">
        <f>+L330/M330</f>
        <v>7.985508221471004</v>
      </c>
      <c r="O329" s="200"/>
    </row>
    <row r="330" spans="1:15" ht="15">
      <c r="A330" s="104">
        <v>327</v>
      </c>
      <c r="B330" s="222" t="s">
        <v>11</v>
      </c>
      <c r="C330" s="46">
        <v>40116</v>
      </c>
      <c r="D330" s="47" t="s">
        <v>49</v>
      </c>
      <c r="E330" s="138">
        <v>252</v>
      </c>
      <c r="F330" s="138">
        <v>2</v>
      </c>
      <c r="G330" s="138">
        <v>11</v>
      </c>
      <c r="H330" s="49">
        <v>1275</v>
      </c>
      <c r="I330" s="50">
        <v>224</v>
      </c>
      <c r="J330" s="122">
        <f>I330/F330</f>
        <v>112</v>
      </c>
      <c r="K330" s="53">
        <f>+H330/I330</f>
        <v>5.691964285714286</v>
      </c>
      <c r="L330" s="52">
        <f>1669127.75+948082.25+584112.75-1430.5+253635+167357+9936+0.5+7987+1963+4065+3546+1275</f>
        <v>3649656.75</v>
      </c>
      <c r="M330" s="122">
        <f>200044+117374+72700-112+36636+25117+1706+1163+472+1036+675+224</f>
        <v>457035</v>
      </c>
      <c r="N330" s="220">
        <f>IF(L331&lt;&gt;0,L331/M331,"")</f>
        <v>7.43176810978685</v>
      </c>
      <c r="O330" s="202"/>
    </row>
    <row r="331" spans="1:15" ht="15">
      <c r="A331" s="104">
        <v>328</v>
      </c>
      <c r="B331" s="222" t="s">
        <v>18</v>
      </c>
      <c r="C331" s="46">
        <v>40116</v>
      </c>
      <c r="D331" s="48" t="s">
        <v>165</v>
      </c>
      <c r="E331" s="138">
        <v>88</v>
      </c>
      <c r="F331" s="138">
        <v>2</v>
      </c>
      <c r="G331" s="138">
        <v>12</v>
      </c>
      <c r="H331" s="44">
        <v>1492</v>
      </c>
      <c r="I331" s="40">
        <v>303</v>
      </c>
      <c r="J331" s="41">
        <f>IF(H331&lt;&gt;0,I331/F331,"")</f>
        <v>151.5</v>
      </c>
      <c r="K331" s="34">
        <f>IF(H331&lt;&gt;0,H331/I331,"")</f>
        <v>4.924092409240924</v>
      </c>
      <c r="L331" s="45">
        <v>279977</v>
      </c>
      <c r="M331" s="42">
        <v>37673</v>
      </c>
      <c r="N331" s="224">
        <f>IF(L332&lt;&gt;0,L332/M332,"")</f>
        <v>7.458905029132992</v>
      </c>
      <c r="O331" s="201"/>
    </row>
    <row r="332" spans="1:15" ht="15">
      <c r="A332" s="104">
        <v>329</v>
      </c>
      <c r="B332" s="219" t="s">
        <v>105</v>
      </c>
      <c r="C332" s="29">
        <v>40116</v>
      </c>
      <c r="D332" s="37" t="s">
        <v>165</v>
      </c>
      <c r="E332" s="137">
        <v>88</v>
      </c>
      <c r="F332" s="137">
        <v>3</v>
      </c>
      <c r="G332" s="137">
        <v>10</v>
      </c>
      <c r="H332" s="54">
        <v>720</v>
      </c>
      <c r="I332" s="59">
        <v>126</v>
      </c>
      <c r="J332" s="60">
        <f>IF(H332&lt;&gt;0,I332/F332,"")</f>
        <v>42</v>
      </c>
      <c r="K332" s="61">
        <f>IF(H332&lt;&gt;0,H332/I332,"")</f>
        <v>5.714285714285714</v>
      </c>
      <c r="L332" s="58">
        <v>277792</v>
      </c>
      <c r="M332" s="122">
        <v>37243</v>
      </c>
      <c r="N332" s="224">
        <f>IF(L333&lt;&gt;0,L333/M333,"")</f>
        <v>7.452100615466952</v>
      </c>
      <c r="O332" s="201"/>
    </row>
    <row r="333" spans="1:15" ht="15">
      <c r="A333" s="104">
        <v>330</v>
      </c>
      <c r="B333" s="219" t="s">
        <v>18</v>
      </c>
      <c r="C333" s="29">
        <v>40116</v>
      </c>
      <c r="D333" s="37" t="s">
        <v>165</v>
      </c>
      <c r="E333" s="137">
        <v>88</v>
      </c>
      <c r="F333" s="137">
        <v>1</v>
      </c>
      <c r="G333" s="137">
        <v>11</v>
      </c>
      <c r="H333" s="54">
        <v>693</v>
      </c>
      <c r="I333" s="55">
        <v>127</v>
      </c>
      <c r="J333" s="56">
        <f>IF(H333&lt;&gt;0,I333/F333,"")</f>
        <v>127</v>
      </c>
      <c r="K333" s="57">
        <f>IF(H333&lt;&gt;0,H333/I333,"")</f>
        <v>5.456692913385827</v>
      </c>
      <c r="L333" s="58">
        <v>278485</v>
      </c>
      <c r="M333" s="101">
        <v>37370</v>
      </c>
      <c r="N333" s="221">
        <f>L334/M334</f>
        <v>7.430544143762093</v>
      </c>
      <c r="O333" s="203"/>
    </row>
    <row r="334" spans="1:15" ht="15">
      <c r="A334" s="104">
        <v>331</v>
      </c>
      <c r="B334" s="222" t="s">
        <v>18</v>
      </c>
      <c r="C334" s="46">
        <v>40116</v>
      </c>
      <c r="D334" s="37" t="s">
        <v>165</v>
      </c>
      <c r="E334" s="138">
        <v>88</v>
      </c>
      <c r="F334" s="138">
        <v>1</v>
      </c>
      <c r="G334" s="138">
        <v>13</v>
      </c>
      <c r="H334" s="76">
        <v>370</v>
      </c>
      <c r="I334" s="77">
        <v>56</v>
      </c>
      <c r="J334" s="101">
        <f>I334/F334</f>
        <v>56</v>
      </c>
      <c r="K334" s="51">
        <f>H334/I334</f>
        <v>6.607142857142857</v>
      </c>
      <c r="L334" s="78">
        <v>280347</v>
      </c>
      <c r="M334" s="101">
        <v>37729</v>
      </c>
      <c r="N334" s="221">
        <f>+L335/M335</f>
        <v>7.19661938270226</v>
      </c>
      <c r="O334" s="199"/>
    </row>
    <row r="335" spans="1:15" ht="15">
      <c r="A335" s="104">
        <v>332</v>
      </c>
      <c r="B335" s="222" t="s">
        <v>185</v>
      </c>
      <c r="C335" s="46">
        <v>39633</v>
      </c>
      <c r="D335" s="37" t="s">
        <v>162</v>
      </c>
      <c r="E335" s="138">
        <v>123</v>
      </c>
      <c r="F335" s="138">
        <v>1</v>
      </c>
      <c r="G335" s="138">
        <v>86</v>
      </c>
      <c r="H335" s="115">
        <v>609</v>
      </c>
      <c r="I335" s="116">
        <v>280</v>
      </c>
      <c r="J335" s="122">
        <f>I335/F335</f>
        <v>280</v>
      </c>
      <c r="K335" s="53">
        <f>H335/I335</f>
        <v>2.175</v>
      </c>
      <c r="L335" s="52">
        <v>1546352</v>
      </c>
      <c r="M335" s="122">
        <v>214872</v>
      </c>
      <c r="N335" s="224">
        <f>IF(L336&lt;&gt;0,L336/M336,"")</f>
        <v>7.896602295688655</v>
      </c>
      <c r="O335" s="199"/>
    </row>
    <row r="336" spans="1:15" ht="15">
      <c r="A336" s="104">
        <v>333</v>
      </c>
      <c r="B336" s="222" t="s">
        <v>139</v>
      </c>
      <c r="C336" s="46">
        <v>40137</v>
      </c>
      <c r="D336" s="48" t="s">
        <v>49</v>
      </c>
      <c r="E336" s="138">
        <v>311</v>
      </c>
      <c r="F336" s="138">
        <v>3</v>
      </c>
      <c r="G336" s="138">
        <v>7</v>
      </c>
      <c r="H336" s="49">
        <v>39718</v>
      </c>
      <c r="I336" s="50">
        <v>6551</v>
      </c>
      <c r="J336" s="60">
        <f>IF(H336&lt;&gt;0,I336/F336,"")</f>
        <v>2183.6666666666665</v>
      </c>
      <c r="K336" s="57">
        <f>IF(H336&lt;&gt;0,H336/I336,"")</f>
        <v>6.06289116165471</v>
      </c>
      <c r="L336" s="52">
        <f>3304754.25+2499078+631694+23+231806.5+262+75092+83827.5+39718+180</f>
        <v>6866435.25</v>
      </c>
      <c r="M336" s="122">
        <f>413699+312050+80320+31253+42+12537-15+13061+6551+45</f>
        <v>869543</v>
      </c>
      <c r="N336" s="221">
        <f>+L337/M337</f>
        <v>7.893623696420186</v>
      </c>
      <c r="O336" s="199"/>
    </row>
    <row r="337" spans="1:15" ht="15">
      <c r="A337" s="104">
        <v>334</v>
      </c>
      <c r="B337" s="222" t="s">
        <v>139</v>
      </c>
      <c r="C337" s="46">
        <v>40137</v>
      </c>
      <c r="D337" s="47" t="s">
        <v>49</v>
      </c>
      <c r="E337" s="138">
        <v>311</v>
      </c>
      <c r="F337" s="138">
        <v>2</v>
      </c>
      <c r="G337" s="138">
        <v>9</v>
      </c>
      <c r="H337" s="49">
        <v>8500.5</v>
      </c>
      <c r="I337" s="77">
        <v>1409</v>
      </c>
      <c r="J337" s="56">
        <f>+I337/F337</f>
        <v>704.5</v>
      </c>
      <c r="K337" s="57">
        <f>+H337/I337</f>
        <v>6.033002129169624</v>
      </c>
      <c r="L337" s="52">
        <f>3304754.25+2499078+631694+23+231806.5+262+75092+83827.5+39718+180+150+8500+0.5</f>
        <v>6875085.75</v>
      </c>
      <c r="M337" s="101">
        <f>413699+312050+80320+31253+42+12537-15+13061+6551+45+15+1409</f>
        <v>870967</v>
      </c>
      <c r="N337" s="221">
        <f>+L338/M338</f>
        <v>7.896638579600211</v>
      </c>
      <c r="O337" s="199"/>
    </row>
    <row r="338" spans="1:15" ht="15">
      <c r="A338" s="104">
        <v>335</v>
      </c>
      <c r="B338" s="222" t="s">
        <v>139</v>
      </c>
      <c r="C338" s="46">
        <v>40137</v>
      </c>
      <c r="D338" s="47" t="s">
        <v>49</v>
      </c>
      <c r="E338" s="138">
        <v>311</v>
      </c>
      <c r="F338" s="138">
        <v>1</v>
      </c>
      <c r="G338" s="138">
        <v>8</v>
      </c>
      <c r="H338" s="49">
        <v>150</v>
      </c>
      <c r="I338" s="50">
        <v>15</v>
      </c>
      <c r="J338" s="122">
        <f>I338/F338</f>
        <v>15</v>
      </c>
      <c r="K338" s="53">
        <f>+H338/I338</f>
        <v>10</v>
      </c>
      <c r="L338" s="52">
        <f>3304754.25+2499078+631694+23+231806.5+262+75092+83827.5+39718+180+150</f>
        <v>6866585.25</v>
      </c>
      <c r="M338" s="122">
        <f>413699+312050+80320+31253+42+12537-15+13061+6551+45+15</f>
        <v>869558</v>
      </c>
      <c r="N338" s="221">
        <f>+L339/M339</f>
        <v>7.890849910722461</v>
      </c>
      <c r="O338" s="200"/>
    </row>
    <row r="339" spans="1:15" ht="15">
      <c r="A339" s="104">
        <v>336</v>
      </c>
      <c r="B339" s="227" t="s">
        <v>139</v>
      </c>
      <c r="C339" s="117">
        <v>40137</v>
      </c>
      <c r="D339" s="118" t="s">
        <v>49</v>
      </c>
      <c r="E339" s="133">
        <v>311</v>
      </c>
      <c r="F339" s="133">
        <v>1</v>
      </c>
      <c r="G339" s="133">
        <v>10</v>
      </c>
      <c r="H339" s="119">
        <v>18992</v>
      </c>
      <c r="I339" s="120">
        <v>2713</v>
      </c>
      <c r="J339" s="122">
        <f>I339/F339</f>
        <v>2713</v>
      </c>
      <c r="K339" s="53">
        <f>H339/I339</f>
        <v>7.0003685956505715</v>
      </c>
      <c r="L339" s="52">
        <f>3304754.25+2499078+631694+23+231806.5+262+75092+83827.5+39718+180+150+8500+0.5+18992</f>
        <v>6894077.75</v>
      </c>
      <c r="M339" s="122">
        <f>413699+312050+80320+31253+42+12537-15+13061+6551+45+15+1409+2713</f>
        <v>873680</v>
      </c>
      <c r="N339" s="224">
        <f>IF(L340&lt;&gt;0,L340/M340,"")</f>
        <v>8.407637883686638</v>
      </c>
      <c r="O339" s="201"/>
    </row>
    <row r="340" spans="1:15" ht="15">
      <c r="A340" s="104">
        <v>337</v>
      </c>
      <c r="B340" s="219" t="s">
        <v>42</v>
      </c>
      <c r="C340" s="29">
        <v>40067</v>
      </c>
      <c r="D340" s="37" t="s">
        <v>165</v>
      </c>
      <c r="E340" s="137">
        <v>105</v>
      </c>
      <c r="F340" s="137">
        <v>10</v>
      </c>
      <c r="G340" s="137">
        <v>19</v>
      </c>
      <c r="H340" s="54">
        <v>7181.5</v>
      </c>
      <c r="I340" s="55">
        <v>1825</v>
      </c>
      <c r="J340" s="56">
        <f>IF(H340&lt;&gt;0,I340/F340,"")</f>
        <v>182.5</v>
      </c>
      <c r="K340" s="57">
        <f>IF(H340&lt;&gt;0,H340/I340,"")</f>
        <v>3.935068493150685</v>
      </c>
      <c r="L340" s="58">
        <v>621501</v>
      </c>
      <c r="M340" s="101">
        <v>73921</v>
      </c>
      <c r="N340" s="224">
        <f>IF(L341&lt;&gt;0,L341/M341,"")</f>
        <v>8.520854138925877</v>
      </c>
      <c r="O340" s="201"/>
    </row>
    <row r="341" spans="1:15" ht="15">
      <c r="A341" s="104">
        <v>338</v>
      </c>
      <c r="B341" s="219" t="s">
        <v>42</v>
      </c>
      <c r="C341" s="29">
        <v>40067</v>
      </c>
      <c r="D341" s="37" t="s">
        <v>165</v>
      </c>
      <c r="E341" s="137">
        <v>105</v>
      </c>
      <c r="F341" s="137">
        <v>9</v>
      </c>
      <c r="G341" s="137">
        <v>18</v>
      </c>
      <c r="H341" s="54">
        <v>4342.75</v>
      </c>
      <c r="I341" s="59">
        <v>845</v>
      </c>
      <c r="J341" s="60">
        <f>IF(H341&lt;&gt;0,I341/F341,"")</f>
        <v>93.88888888888889</v>
      </c>
      <c r="K341" s="61">
        <f>IF(H341&lt;&gt;0,H341/I341,"")</f>
        <v>5.139349112426036</v>
      </c>
      <c r="L341" s="58">
        <v>614319.5</v>
      </c>
      <c r="M341" s="122">
        <v>72096</v>
      </c>
      <c r="N341" s="221">
        <f>L342/M342</f>
        <v>8.35497572815534</v>
      </c>
      <c r="O341" s="202"/>
    </row>
    <row r="342" spans="1:15" ht="15">
      <c r="A342" s="104">
        <v>339</v>
      </c>
      <c r="B342" s="222" t="s">
        <v>42</v>
      </c>
      <c r="C342" s="46">
        <v>40067</v>
      </c>
      <c r="D342" s="37" t="s">
        <v>165</v>
      </c>
      <c r="E342" s="138">
        <v>105</v>
      </c>
      <c r="F342" s="138">
        <v>8</v>
      </c>
      <c r="G342" s="138">
        <v>21</v>
      </c>
      <c r="H342" s="76">
        <v>2959.5</v>
      </c>
      <c r="I342" s="77">
        <v>645</v>
      </c>
      <c r="J342" s="101">
        <f>I342/F342</f>
        <v>80.625</v>
      </c>
      <c r="K342" s="51">
        <f>H342/I342</f>
        <v>4.588372093023255</v>
      </c>
      <c r="L342" s="78">
        <v>626489.5</v>
      </c>
      <c r="M342" s="101">
        <v>74984</v>
      </c>
      <c r="N342" s="220">
        <f>IF(L343&lt;&gt;0,L343/M343,"")</f>
        <v>8.387656546361937</v>
      </c>
      <c r="O342" s="208">
        <v>1</v>
      </c>
    </row>
    <row r="343" spans="1:15" ht="15">
      <c r="A343" s="104">
        <v>340</v>
      </c>
      <c r="B343" s="222" t="s">
        <v>42</v>
      </c>
      <c r="C343" s="46">
        <v>40067</v>
      </c>
      <c r="D343" s="48" t="s">
        <v>165</v>
      </c>
      <c r="E343" s="138">
        <v>105</v>
      </c>
      <c r="F343" s="138">
        <v>8</v>
      </c>
      <c r="G343" s="138">
        <v>20</v>
      </c>
      <c r="H343" s="44">
        <v>2029</v>
      </c>
      <c r="I343" s="40">
        <v>418</v>
      </c>
      <c r="J343" s="41">
        <f>IF(H343&lt;&gt;0,I343/F343,"")</f>
        <v>52.25</v>
      </c>
      <c r="K343" s="34">
        <f>IF(H343&lt;&gt;0,H343/I343,"")</f>
        <v>4.854066985645933</v>
      </c>
      <c r="L343" s="45">
        <v>623530</v>
      </c>
      <c r="M343" s="42">
        <v>74339</v>
      </c>
      <c r="N343" s="221">
        <f>L344/M344</f>
        <v>8.346852951727987</v>
      </c>
      <c r="O343" s="203">
        <v>1</v>
      </c>
    </row>
    <row r="344" spans="1:15" ht="15">
      <c r="A344" s="104">
        <v>341</v>
      </c>
      <c r="B344" s="222" t="s">
        <v>42</v>
      </c>
      <c r="C344" s="46">
        <v>40067</v>
      </c>
      <c r="D344" s="37" t="s">
        <v>165</v>
      </c>
      <c r="E344" s="138">
        <v>105</v>
      </c>
      <c r="F344" s="138">
        <v>8</v>
      </c>
      <c r="G344" s="138">
        <v>22</v>
      </c>
      <c r="H344" s="111">
        <v>1703</v>
      </c>
      <c r="I344" s="112">
        <v>277</v>
      </c>
      <c r="J344" s="101">
        <f>I344/F344</f>
        <v>34.625</v>
      </c>
      <c r="K344" s="51">
        <f>+H344/I344</f>
        <v>6.148014440433213</v>
      </c>
      <c r="L344" s="78">
        <v>628192.5</v>
      </c>
      <c r="M344" s="101">
        <v>75261</v>
      </c>
      <c r="N344" s="221">
        <f>+L345/M345</f>
        <v>8.324340575113649</v>
      </c>
      <c r="O344" s="201">
        <v>1</v>
      </c>
    </row>
    <row r="345" spans="1:15" ht="15">
      <c r="A345" s="104">
        <v>342</v>
      </c>
      <c r="B345" s="222" t="s">
        <v>42</v>
      </c>
      <c r="C345" s="117">
        <v>40067</v>
      </c>
      <c r="D345" s="118" t="s">
        <v>165</v>
      </c>
      <c r="E345" s="133">
        <v>105</v>
      </c>
      <c r="F345" s="133">
        <v>1</v>
      </c>
      <c r="G345" s="133">
        <v>24</v>
      </c>
      <c r="H345" s="119">
        <v>1164</v>
      </c>
      <c r="I345" s="120">
        <v>332</v>
      </c>
      <c r="J345" s="122">
        <f>IF(H345&lt;&gt;0,I345/F345,"")</f>
        <v>332</v>
      </c>
      <c r="K345" s="53">
        <f>H345/I345</f>
        <v>3.5060240963855422</v>
      </c>
      <c r="L345" s="52">
        <v>629919.5</v>
      </c>
      <c r="M345" s="122">
        <v>75672</v>
      </c>
      <c r="N345" s="224">
        <f>IF(L346&lt;&gt;0,L346/M346,"")</f>
        <v>8.56095703919945</v>
      </c>
      <c r="O345" s="201">
        <v>1</v>
      </c>
    </row>
    <row r="346" spans="1:15" ht="15">
      <c r="A346" s="104">
        <v>343</v>
      </c>
      <c r="B346" s="219" t="s">
        <v>42</v>
      </c>
      <c r="C346" s="29">
        <v>40067</v>
      </c>
      <c r="D346" s="43" t="s">
        <v>165</v>
      </c>
      <c r="E346" s="137">
        <v>105</v>
      </c>
      <c r="F346" s="137">
        <v>7</v>
      </c>
      <c r="G346" s="137">
        <v>17</v>
      </c>
      <c r="H346" s="54">
        <v>810</v>
      </c>
      <c r="I346" s="59">
        <v>154</v>
      </c>
      <c r="J346" s="60">
        <f>IF(H346&lt;&gt;0,I346/F346,"")</f>
        <v>22</v>
      </c>
      <c r="K346" s="57">
        <f>IF(H346&lt;&gt;0,H346/I346,"")</f>
        <v>5.259740259740259</v>
      </c>
      <c r="L346" s="58">
        <v>609976.75</v>
      </c>
      <c r="M346" s="122">
        <v>71251</v>
      </c>
      <c r="N346" s="221">
        <f>IF(L347&lt;&gt;0,L347/M347,"")</f>
        <v>8.34557340058402</v>
      </c>
      <c r="O346" s="199">
        <v>1</v>
      </c>
    </row>
    <row r="347" spans="1:15" ht="18">
      <c r="A347" s="104">
        <v>344</v>
      </c>
      <c r="B347" s="222" t="s">
        <v>42</v>
      </c>
      <c r="C347" s="46">
        <v>40067</v>
      </c>
      <c r="D347" s="37" t="s">
        <v>165</v>
      </c>
      <c r="E347" s="138">
        <v>105</v>
      </c>
      <c r="F347" s="138">
        <v>3</v>
      </c>
      <c r="G347" s="138">
        <v>23</v>
      </c>
      <c r="H347" s="115">
        <v>563</v>
      </c>
      <c r="I347" s="116">
        <v>79</v>
      </c>
      <c r="J347" s="122">
        <f>IF(H347&lt;&gt;0,I347/F347,"")</f>
        <v>26.333333333333332</v>
      </c>
      <c r="K347" s="53">
        <f>IF(H347&lt;&gt;0,H347/I347,"")</f>
        <v>7.1265822784810124</v>
      </c>
      <c r="L347" s="52">
        <v>628755.5</v>
      </c>
      <c r="M347" s="122">
        <v>75340</v>
      </c>
      <c r="N347" s="221">
        <f>+L348/M348</f>
        <v>8.290251909595062</v>
      </c>
      <c r="O347" s="215">
        <v>1</v>
      </c>
    </row>
    <row r="348" spans="1:15" ht="15">
      <c r="A348" s="104">
        <v>345</v>
      </c>
      <c r="B348" s="227" t="s">
        <v>42</v>
      </c>
      <c r="C348" s="117">
        <v>40067</v>
      </c>
      <c r="D348" s="118" t="s">
        <v>165</v>
      </c>
      <c r="E348" s="133">
        <v>105</v>
      </c>
      <c r="F348" s="133">
        <v>1</v>
      </c>
      <c r="G348" s="133">
        <v>25</v>
      </c>
      <c r="H348" s="119">
        <v>3920</v>
      </c>
      <c r="I348" s="120">
        <v>784</v>
      </c>
      <c r="J348" s="122">
        <f>I348/F348</f>
        <v>784</v>
      </c>
      <c r="K348" s="53">
        <f>H348/I348</f>
        <v>5</v>
      </c>
      <c r="L348" s="52">
        <v>633839.5</v>
      </c>
      <c r="M348" s="122">
        <v>76456</v>
      </c>
      <c r="N348" s="220">
        <f>IF(L349&lt;&gt;0,L349/M349,"")</f>
        <v>8.28410945312602</v>
      </c>
      <c r="O348" s="203"/>
    </row>
    <row r="349" spans="1:15" ht="15">
      <c r="A349" s="104">
        <v>346</v>
      </c>
      <c r="B349" s="219" t="s">
        <v>42</v>
      </c>
      <c r="C349" s="29">
        <v>40067</v>
      </c>
      <c r="D349" s="39" t="s">
        <v>165</v>
      </c>
      <c r="E349" s="137">
        <v>105</v>
      </c>
      <c r="F349" s="137">
        <v>1</v>
      </c>
      <c r="G349" s="137">
        <v>26</v>
      </c>
      <c r="H349" s="31">
        <v>715</v>
      </c>
      <c r="I349" s="40">
        <v>143</v>
      </c>
      <c r="J349" s="41">
        <f>IF(H349&lt;&gt;0,I349/F349,"")</f>
        <v>143</v>
      </c>
      <c r="K349" s="34">
        <f>IF(H349&lt;&gt;0,H349/I349,"")</f>
        <v>5</v>
      </c>
      <c r="L349" s="35">
        <v>634554.5</v>
      </c>
      <c r="M349" s="42">
        <v>76599</v>
      </c>
      <c r="N349" s="220">
        <f>L350/M350</f>
        <v>8.277619935096247</v>
      </c>
      <c r="O349" s="199"/>
    </row>
    <row r="350" spans="1:15" ht="15">
      <c r="A350" s="104">
        <v>347</v>
      </c>
      <c r="B350" s="227" t="s">
        <v>42</v>
      </c>
      <c r="C350" s="46">
        <v>40067</v>
      </c>
      <c r="D350" s="118" t="s">
        <v>165</v>
      </c>
      <c r="E350" s="133">
        <v>105</v>
      </c>
      <c r="F350" s="133">
        <v>2</v>
      </c>
      <c r="G350" s="133">
        <v>27</v>
      </c>
      <c r="H350" s="119">
        <v>579</v>
      </c>
      <c r="I350" s="120">
        <v>130</v>
      </c>
      <c r="J350" s="122">
        <f>I350/F350</f>
        <v>65</v>
      </c>
      <c r="K350" s="53">
        <f>H350/I350</f>
        <v>4.453846153846154</v>
      </c>
      <c r="L350" s="52">
        <v>635133.5</v>
      </c>
      <c r="M350" s="122">
        <v>76729</v>
      </c>
      <c r="N350" s="280">
        <f>+L350/M350</f>
        <v>8.277619935096247</v>
      </c>
      <c r="O350" s="351"/>
    </row>
    <row r="351" spans="1:15" ht="15">
      <c r="A351" s="104">
        <v>348</v>
      </c>
      <c r="B351" s="219" t="s">
        <v>42</v>
      </c>
      <c r="C351" s="46">
        <v>40067</v>
      </c>
      <c r="D351" s="118" t="s">
        <v>165</v>
      </c>
      <c r="E351" s="133">
        <v>105</v>
      </c>
      <c r="F351" s="133">
        <v>3</v>
      </c>
      <c r="G351" s="133">
        <v>28</v>
      </c>
      <c r="H351" s="119">
        <v>1086</v>
      </c>
      <c r="I351" s="120">
        <v>239</v>
      </c>
      <c r="J351" s="122">
        <f>I351/F351</f>
        <v>79.66666666666667</v>
      </c>
      <c r="K351" s="53">
        <f>+H351/I351</f>
        <v>4.543933054393306</v>
      </c>
      <c r="L351" s="52">
        <v>636219.5</v>
      </c>
      <c r="M351" s="122">
        <v>76968</v>
      </c>
      <c r="N351" s="280">
        <f>+L351/M351</f>
        <v>8.266026140733812</v>
      </c>
      <c r="O351" s="203"/>
    </row>
    <row r="352" spans="1:15" ht="15">
      <c r="A352" s="104">
        <v>349</v>
      </c>
      <c r="B352" s="219" t="s">
        <v>42</v>
      </c>
      <c r="C352" s="46">
        <v>40067</v>
      </c>
      <c r="D352" s="118" t="s">
        <v>165</v>
      </c>
      <c r="E352" s="133">
        <v>105</v>
      </c>
      <c r="F352" s="133">
        <v>1</v>
      </c>
      <c r="G352" s="133">
        <v>29</v>
      </c>
      <c r="H352" s="337">
        <v>473</v>
      </c>
      <c r="I352" s="338">
        <v>141</v>
      </c>
      <c r="J352" s="122">
        <f>IF(H352&lt;&gt;0,I352/F352,"")</f>
        <v>141</v>
      </c>
      <c r="K352" s="53">
        <f>IF(H352&lt;&gt;0,H352/I352,"")</f>
        <v>3.354609929078014</v>
      </c>
      <c r="L352" s="52">
        <v>636692.5</v>
      </c>
      <c r="M352" s="122">
        <v>77109</v>
      </c>
      <c r="N352" s="280">
        <f>IF(L352&lt;&gt;0,L352/M352,"")</f>
        <v>8.257045221699153</v>
      </c>
      <c r="O352" s="203"/>
    </row>
    <row r="353" spans="1:15" ht="18">
      <c r="A353" s="104">
        <v>350</v>
      </c>
      <c r="B353" s="222" t="s">
        <v>167</v>
      </c>
      <c r="C353" s="46">
        <v>39871</v>
      </c>
      <c r="D353" s="97" t="s">
        <v>163</v>
      </c>
      <c r="E353" s="138">
        <v>1</v>
      </c>
      <c r="F353" s="138">
        <v>1</v>
      </c>
      <c r="G353" s="138">
        <v>21</v>
      </c>
      <c r="H353" s="31">
        <v>1780</v>
      </c>
      <c r="I353" s="32">
        <v>445</v>
      </c>
      <c r="J353" s="33">
        <f>(I353/F353)</f>
        <v>445</v>
      </c>
      <c r="K353" s="34">
        <f>H353/I353</f>
        <v>4</v>
      </c>
      <c r="L353" s="35">
        <f>1088+1510+1304+856+387+214+424+106+162+130+476+60.5+118+96+1664+1780+454+259.5+1188+119.5+1188+1780</f>
        <v>15364.5</v>
      </c>
      <c r="M353" s="36">
        <f>267+175+155+102+46+26+51+12+18+16+57+8+22+16+416+445+57+31+297+19+297+445</f>
        <v>2978</v>
      </c>
      <c r="N353" s="220">
        <f>L354/M354</f>
        <v>5.0086181711948585</v>
      </c>
      <c r="O353" s="215"/>
    </row>
    <row r="354" spans="1:15" ht="15">
      <c r="A354" s="104">
        <v>351</v>
      </c>
      <c r="B354" s="222" t="s">
        <v>167</v>
      </c>
      <c r="C354" s="46">
        <v>39871</v>
      </c>
      <c r="D354" s="87" t="s">
        <v>163</v>
      </c>
      <c r="E354" s="138">
        <v>1</v>
      </c>
      <c r="F354" s="138">
        <v>1</v>
      </c>
      <c r="G354" s="138">
        <v>22</v>
      </c>
      <c r="H354" s="31">
        <v>1780</v>
      </c>
      <c r="I354" s="32">
        <v>445</v>
      </c>
      <c r="J354" s="33">
        <f>(I354/F354)</f>
        <v>445</v>
      </c>
      <c r="K354" s="38">
        <f>H354/I354</f>
        <v>4</v>
      </c>
      <c r="L354" s="35">
        <f>1088+1510+1304+856+387+214+424+106+162+130+476+60.5+118+96+1664+1780+454+259.5+1188+119.5+1188+1780+1780</f>
        <v>17144.5</v>
      </c>
      <c r="M354" s="36">
        <f>267+175+155+102+46+26+51+12+18+16+57+8+22+16+416+445+57+31+297+19+297+445+445</f>
        <v>3423</v>
      </c>
      <c r="N354" s="224">
        <f>IF(L355&lt;&gt;0,L355/M355,"")</f>
        <v>10.934982258401169</v>
      </c>
      <c r="O354" s="199">
        <v>1</v>
      </c>
    </row>
    <row r="355" spans="1:15" ht="15">
      <c r="A355" s="104">
        <v>352</v>
      </c>
      <c r="B355" s="231" t="s">
        <v>84</v>
      </c>
      <c r="C355" s="29">
        <v>40158</v>
      </c>
      <c r="D355" s="87" t="s">
        <v>85</v>
      </c>
      <c r="E355" s="142" t="s">
        <v>86</v>
      </c>
      <c r="F355" s="142" t="s">
        <v>86</v>
      </c>
      <c r="G355" s="142" t="s">
        <v>87</v>
      </c>
      <c r="H355" s="88">
        <v>10169</v>
      </c>
      <c r="I355" s="92">
        <v>1579</v>
      </c>
      <c r="J355" s="93">
        <f>+I355/F355</f>
        <v>157.9</v>
      </c>
      <c r="K355" s="61">
        <f>IF(H355&lt;&gt;0,H355/I355,"")</f>
        <v>6.440151994933502</v>
      </c>
      <c r="L355" s="90">
        <v>104779</v>
      </c>
      <c r="M355" s="94">
        <v>9582</v>
      </c>
      <c r="N355" s="224">
        <f>IF(L356&lt;&gt;0,L356/M356,"")</f>
        <v>10.378987548850313</v>
      </c>
      <c r="O355" s="204">
        <v>1</v>
      </c>
    </row>
    <row r="356" spans="1:15" ht="15">
      <c r="A356" s="104">
        <v>353</v>
      </c>
      <c r="B356" s="231" t="s">
        <v>84</v>
      </c>
      <c r="C356" s="29">
        <v>40158</v>
      </c>
      <c r="D356" s="87" t="s">
        <v>85</v>
      </c>
      <c r="E356" s="142" t="s">
        <v>86</v>
      </c>
      <c r="F356" s="142" t="s">
        <v>86</v>
      </c>
      <c r="G356" s="142" t="s">
        <v>4</v>
      </c>
      <c r="H356" s="88">
        <v>9421</v>
      </c>
      <c r="I356" s="89">
        <v>1421</v>
      </c>
      <c r="J356" s="95">
        <f>+I356/F356</f>
        <v>142.1</v>
      </c>
      <c r="K356" s="96"/>
      <c r="L356" s="90">
        <v>114200</v>
      </c>
      <c r="M356" s="91">
        <v>11003</v>
      </c>
      <c r="N356" s="221">
        <f>L357/M357</f>
        <v>10.20235824518814</v>
      </c>
      <c r="O356" s="201">
        <v>1</v>
      </c>
    </row>
    <row r="357" spans="1:15" ht="15">
      <c r="A357" s="104">
        <v>354</v>
      </c>
      <c r="B357" s="222" t="s">
        <v>84</v>
      </c>
      <c r="C357" s="46">
        <v>40158</v>
      </c>
      <c r="D357" s="37" t="s">
        <v>85</v>
      </c>
      <c r="E357" s="138" t="s">
        <v>86</v>
      </c>
      <c r="F357" s="138" t="s">
        <v>4</v>
      </c>
      <c r="G357" s="138" t="s">
        <v>169</v>
      </c>
      <c r="H357" s="111">
        <v>1882</v>
      </c>
      <c r="I357" s="112">
        <v>269</v>
      </c>
      <c r="J357" s="101">
        <f>(I357/F357)</f>
        <v>44.833333333333336</v>
      </c>
      <c r="K357" s="51">
        <f>(J357/G357)</f>
        <v>4.981481481481482</v>
      </c>
      <c r="L357" s="78">
        <v>117674</v>
      </c>
      <c r="M357" s="101">
        <v>11534</v>
      </c>
      <c r="N357" s="221">
        <f>L358/M358</f>
        <v>10.278916999556147</v>
      </c>
      <c r="O357" s="201">
        <v>1</v>
      </c>
    </row>
    <row r="358" spans="1:15" ht="15">
      <c r="A358" s="104">
        <v>355</v>
      </c>
      <c r="B358" s="231" t="s">
        <v>84</v>
      </c>
      <c r="C358" s="46">
        <v>40158</v>
      </c>
      <c r="D358" s="37" t="s">
        <v>85</v>
      </c>
      <c r="E358" s="138" t="s">
        <v>86</v>
      </c>
      <c r="F358" s="138" t="s">
        <v>87</v>
      </c>
      <c r="G358" s="138" t="s">
        <v>122</v>
      </c>
      <c r="H358" s="76">
        <v>1592</v>
      </c>
      <c r="I358" s="77">
        <v>262</v>
      </c>
      <c r="J358" s="101">
        <f>I358/F358</f>
        <v>52.4</v>
      </c>
      <c r="K358" s="51">
        <f>H358/I358</f>
        <v>6.076335877862595</v>
      </c>
      <c r="L358" s="78">
        <v>115792</v>
      </c>
      <c r="M358" s="101">
        <v>11265</v>
      </c>
      <c r="N358" s="221">
        <f>L359/M359</f>
        <v>8.840697826656193</v>
      </c>
      <c r="O358" s="203">
        <v>1</v>
      </c>
    </row>
    <row r="359" spans="1:15" ht="15">
      <c r="A359" s="104">
        <v>356</v>
      </c>
      <c r="B359" s="219" t="s">
        <v>280</v>
      </c>
      <c r="C359" s="46">
        <v>40123</v>
      </c>
      <c r="D359" s="47" t="s">
        <v>49</v>
      </c>
      <c r="E359" s="133">
        <v>42</v>
      </c>
      <c r="F359" s="133">
        <v>1</v>
      </c>
      <c r="G359" s="133">
        <v>7</v>
      </c>
      <c r="H359" s="337">
        <v>1474</v>
      </c>
      <c r="I359" s="338">
        <v>205</v>
      </c>
      <c r="J359" s="122">
        <f>I359/F359</f>
        <v>205</v>
      </c>
      <c r="K359" s="53">
        <f>H359/I359</f>
        <v>7.190243902439025</v>
      </c>
      <c r="L359" s="52">
        <f>47428.75+11738.5+1089+270+547+3735+1243+1474</f>
        <v>67525.25</v>
      </c>
      <c r="M359" s="122">
        <f>4865+1345+40+185+107+665+226+205</f>
        <v>7638</v>
      </c>
      <c r="N359" s="280">
        <f>+L359/M359</f>
        <v>8.840697826656193</v>
      </c>
      <c r="O359" s="203">
        <v>1</v>
      </c>
    </row>
    <row r="360" spans="1:15" ht="15">
      <c r="A360" s="104">
        <v>357</v>
      </c>
      <c r="B360" s="222" t="s">
        <v>12</v>
      </c>
      <c r="C360" s="117">
        <v>39920</v>
      </c>
      <c r="D360" s="37" t="s">
        <v>163</v>
      </c>
      <c r="E360" s="133">
        <v>43</v>
      </c>
      <c r="F360" s="133">
        <v>4</v>
      </c>
      <c r="G360" s="133">
        <v>30</v>
      </c>
      <c r="H360" s="119">
        <v>6292</v>
      </c>
      <c r="I360" s="120">
        <v>1573</v>
      </c>
      <c r="J360" s="122">
        <f>(I360/F360)</f>
        <v>393.25</v>
      </c>
      <c r="K360" s="53">
        <f>H360/I360</f>
        <v>4</v>
      </c>
      <c r="L360" s="52">
        <f>71921.5+55489+28896+23842.5+13474.5+19552.5+14027+10409+7091.5+1088.5+1046+1608+982+3368+433+2156+3870+2362+588+3564+2376+1424+1780+1424+1512+1188+952+952+952+6292</f>
        <v>284621</v>
      </c>
      <c r="M360" s="122">
        <f>9131+7791+4520+4728+2735+3857+3026+2110+1463+203+226+324+239+809+81+469+941+537+95+891+594+356+445+356+378+297+238+238+238+1573</f>
        <v>48889</v>
      </c>
      <c r="N360" s="221">
        <f>+L361/M361</f>
        <v>5.773355367951577</v>
      </c>
      <c r="O360" s="201">
        <v>1</v>
      </c>
    </row>
    <row r="361" spans="1:15" ht="15">
      <c r="A361" s="104">
        <v>358</v>
      </c>
      <c r="B361" s="222" t="s">
        <v>12</v>
      </c>
      <c r="C361" s="117">
        <v>39920</v>
      </c>
      <c r="D361" s="37" t="s">
        <v>163</v>
      </c>
      <c r="E361" s="133">
        <v>43</v>
      </c>
      <c r="F361" s="133">
        <v>3</v>
      </c>
      <c r="G361" s="133">
        <v>31</v>
      </c>
      <c r="H361" s="119">
        <v>5340</v>
      </c>
      <c r="I361" s="120">
        <v>1335</v>
      </c>
      <c r="J361" s="122">
        <f>(I361/F361)</f>
        <v>445</v>
      </c>
      <c r="K361" s="53">
        <f>H361/I361</f>
        <v>4</v>
      </c>
      <c r="L361" s="52">
        <f>71921.5+55489+28896+23842.5+13474.5+19552.5+14027+10409+7091.5+1088.5+1046+1608+982+3368+433+2156+3870+2362+588+3564+2376+1424+1780+1424+1512+1188+952+952+952+6292+5340</f>
        <v>289961</v>
      </c>
      <c r="M361" s="122">
        <f>9131+7791+4520+4728+2735+3857+3026+2110+1463+203+226+324+239+809+81+469+941+537+95+891+594+356+445+356+378+297+238+238+238+1573+1335</f>
        <v>50224</v>
      </c>
      <c r="N361" s="220">
        <f>L362/M362</f>
        <v>5.911184069353246</v>
      </c>
      <c r="O361" s="202">
        <v>1</v>
      </c>
    </row>
    <row r="362" spans="1:15" ht="15">
      <c r="A362" s="104">
        <v>359</v>
      </c>
      <c r="B362" s="222" t="s">
        <v>12</v>
      </c>
      <c r="C362" s="46">
        <v>39920</v>
      </c>
      <c r="D362" s="47" t="s">
        <v>163</v>
      </c>
      <c r="E362" s="138">
        <v>43</v>
      </c>
      <c r="F362" s="138">
        <v>1</v>
      </c>
      <c r="G362" s="138">
        <v>26</v>
      </c>
      <c r="H362" s="31">
        <v>1188</v>
      </c>
      <c r="I362" s="40">
        <v>297</v>
      </c>
      <c r="J362" s="41">
        <f>(I362/F362)</f>
        <v>297</v>
      </c>
      <c r="K362" s="34">
        <f>H362/I362</f>
        <v>4</v>
      </c>
      <c r="L362" s="35">
        <f>71921.5+55489+28896+23842.5+13474.5+19552.5+14027+10409+7091.5+1088.5+1046+1608+982+3368+433+2156+3870+2362+588+3564+2376+1424+1780+1424+1512+1188</f>
        <v>275473</v>
      </c>
      <c r="M362" s="42">
        <f>9131+7791+4520+4728+2735+3857+3026+2110+1463+203+226+324+239+809+81+469+941+537+95+891+594+356+445+356+378+297</f>
        <v>46602</v>
      </c>
      <c r="N362" s="221">
        <f>L363/M363</f>
        <v>5.901473099914603</v>
      </c>
      <c r="O362" s="200">
        <v>1</v>
      </c>
    </row>
    <row r="363" spans="1:15" ht="15">
      <c r="A363" s="104">
        <v>360</v>
      </c>
      <c r="B363" s="222" t="s">
        <v>12</v>
      </c>
      <c r="C363" s="46">
        <v>39920</v>
      </c>
      <c r="D363" s="37" t="s">
        <v>163</v>
      </c>
      <c r="E363" s="138">
        <v>43</v>
      </c>
      <c r="F363" s="138">
        <v>1</v>
      </c>
      <c r="G363" s="138">
        <v>27</v>
      </c>
      <c r="H363" s="111">
        <v>952</v>
      </c>
      <c r="I363" s="112">
        <v>238</v>
      </c>
      <c r="J363" s="101">
        <f>I363/F363</f>
        <v>238</v>
      </c>
      <c r="K363" s="51">
        <f>+H363/I363</f>
        <v>4</v>
      </c>
      <c r="L363" s="78">
        <f>71921.5+55489+28896+23842.5+13474.5+19552.5+14027+10409+7091.5+1088.5+1046+1608+982+3368+433+2156+3870+2362+588+3564+2376+1424+1780+1424+1512+1188+952</f>
        <v>276425</v>
      </c>
      <c r="M363" s="101">
        <f>9131+7791+4520+4728+2735+3857+3026+2110+1463+203+226+324+239+809+81+469+941+537+95+891+594+356+445+356+378+297+238</f>
        <v>46840</v>
      </c>
      <c r="N363" s="221">
        <f>L364/M364</f>
        <v>5.891860316920854</v>
      </c>
      <c r="O363" s="208">
        <v>1</v>
      </c>
    </row>
    <row r="364" spans="1:15" ht="15">
      <c r="A364" s="104">
        <v>361</v>
      </c>
      <c r="B364" s="222" t="s">
        <v>12</v>
      </c>
      <c r="C364" s="46">
        <v>39920</v>
      </c>
      <c r="D364" s="37" t="s">
        <v>163</v>
      </c>
      <c r="E364" s="138">
        <v>43</v>
      </c>
      <c r="F364" s="138">
        <v>1</v>
      </c>
      <c r="G364" s="138">
        <v>28</v>
      </c>
      <c r="H364" s="115">
        <v>952</v>
      </c>
      <c r="I364" s="116">
        <v>238</v>
      </c>
      <c r="J364" s="122">
        <f>(I364/F364)</f>
        <v>238</v>
      </c>
      <c r="K364" s="53">
        <f aca="true" t="shared" si="28" ref="K364:K370">H364/I364</f>
        <v>4</v>
      </c>
      <c r="L364" s="52">
        <f>71921.5+55489+28896+23842.5+13474.5+19552.5+14027+10409+7091.5+1088.5+1046+1608+982+3368+433+2156+3870+2362+588+3564+2376+1424+1780+1424+1512+1188+952+952</f>
        <v>277377</v>
      </c>
      <c r="M364" s="122">
        <f>9131+7791+4520+4728+2735+3857+3026+2110+1463+203+226+324+239+809+81+469+941+537+95+891+594+356+445+356+378+297+238+238</f>
        <v>47078</v>
      </c>
      <c r="N364" s="221">
        <f>+L365/M365</f>
        <v>5.882344238735311</v>
      </c>
      <c r="O364" s="199">
        <v>1</v>
      </c>
    </row>
    <row r="365" spans="1:15" ht="15">
      <c r="A365" s="104">
        <v>362</v>
      </c>
      <c r="B365" s="222" t="s">
        <v>12</v>
      </c>
      <c r="C365" s="46">
        <v>39920</v>
      </c>
      <c r="D365" s="37" t="s">
        <v>163</v>
      </c>
      <c r="E365" s="138">
        <v>43</v>
      </c>
      <c r="F365" s="138">
        <v>1</v>
      </c>
      <c r="G365" s="138">
        <v>29</v>
      </c>
      <c r="H365" s="115">
        <v>952</v>
      </c>
      <c r="I365" s="116">
        <v>238</v>
      </c>
      <c r="J365" s="122">
        <f>I365/F365</f>
        <v>238</v>
      </c>
      <c r="K365" s="53">
        <f t="shared" si="28"/>
        <v>4</v>
      </c>
      <c r="L365" s="52">
        <f>71921.5+55489+28896+23842.5+13474.5+19552.5+14027+10409+7091.5+1088.5+1046+1608+982+3368+433+2156+3870+2362+588+3564+2376+1424+1780+1424+1512+1188+952+952+952</f>
        <v>278329</v>
      </c>
      <c r="M365" s="122">
        <f>9131+7791+4520+4728+2735+3857+3026+2110+1463+203+226+324+239+809+81+469+941+537+95+891+594+356+445+356+378+297+238+238+238</f>
        <v>47316</v>
      </c>
      <c r="N365" s="220">
        <f>IF(L366&lt;&gt;0,L366/M366,"")</f>
        <v>5.760108296114778</v>
      </c>
      <c r="O365" s="203">
        <v>1</v>
      </c>
    </row>
    <row r="366" spans="1:15" ht="15">
      <c r="A366" s="104">
        <v>363</v>
      </c>
      <c r="B366" s="219" t="s">
        <v>12</v>
      </c>
      <c r="C366" s="29">
        <v>39920</v>
      </c>
      <c r="D366" s="37" t="s">
        <v>163</v>
      </c>
      <c r="E366" s="137">
        <v>43</v>
      </c>
      <c r="F366" s="137">
        <v>1</v>
      </c>
      <c r="G366" s="137">
        <v>32</v>
      </c>
      <c r="H366" s="31">
        <v>1512</v>
      </c>
      <c r="I366" s="32">
        <v>378</v>
      </c>
      <c r="J366" s="33">
        <f>(I366/F366)</f>
        <v>378</v>
      </c>
      <c r="K366" s="38">
        <f t="shared" si="28"/>
        <v>4</v>
      </c>
      <c r="L366" s="35">
        <f>71921.5+55489+28896+23842.5+13474.5+19552.5+14027+10409+7091.5+1088.5+1046+1608+982+3368+433+2156+3870+2362+588+3564+2376+1424+1780+1424+1512+1188+952+952+952+6292+5340+1512</f>
        <v>291473</v>
      </c>
      <c r="M366" s="36">
        <f>9131+7791+4520+4728+2735+3857+3026+2110+1463+203+226+324+239+809+81+469+941+537+95+891+594+356+445+356+378+297+238+238+238+1573+1335+378</f>
        <v>50602</v>
      </c>
      <c r="N366" s="221">
        <f>L367/M367</f>
        <v>5.729921336311547</v>
      </c>
      <c r="O366" s="199">
        <v>1</v>
      </c>
    </row>
    <row r="367" spans="1:15" ht="15">
      <c r="A367" s="104">
        <v>364</v>
      </c>
      <c r="B367" s="227" t="s">
        <v>12</v>
      </c>
      <c r="C367" s="46">
        <v>39920</v>
      </c>
      <c r="D367" s="37" t="s">
        <v>163</v>
      </c>
      <c r="E367" s="133">
        <v>43</v>
      </c>
      <c r="F367" s="133">
        <v>2</v>
      </c>
      <c r="G367" s="133">
        <v>33</v>
      </c>
      <c r="H367" s="119">
        <v>3532</v>
      </c>
      <c r="I367" s="120">
        <v>883</v>
      </c>
      <c r="J367" s="122">
        <f>(I367/F367)</f>
        <v>441.5</v>
      </c>
      <c r="K367" s="53">
        <f t="shared" si="28"/>
        <v>4</v>
      </c>
      <c r="L367" s="52">
        <f>71921.5+55489+28896+23842.5+13474.5+19552.5+14027+10409+7091.5+1088.5+1046+1608+982+3368+433+2156+3870+2362+588+3564+2376+1424+1780+1424+1512+1188+952+952+952+6292+5340+1512+3532</f>
        <v>295005</v>
      </c>
      <c r="M367" s="122">
        <f>9131+7791+4520+4728+2735+3857+3026+2110+1463+203+226+324+239+809+81+469+941+537+95+891+594+356+445+356+378+297+238+238+238+1573+1335+378+883</f>
        <v>51485</v>
      </c>
      <c r="N367" s="280">
        <f>L367/M367</f>
        <v>5.729921336311547</v>
      </c>
      <c r="O367" s="277">
        <v>1</v>
      </c>
    </row>
    <row r="368" spans="1:15" ht="15">
      <c r="A368" s="104">
        <v>365</v>
      </c>
      <c r="B368" s="219" t="s">
        <v>12</v>
      </c>
      <c r="C368" s="46">
        <v>39920</v>
      </c>
      <c r="D368" s="37" t="s">
        <v>163</v>
      </c>
      <c r="E368" s="133">
        <v>43</v>
      </c>
      <c r="F368" s="133">
        <v>1</v>
      </c>
      <c r="G368" s="133">
        <v>34</v>
      </c>
      <c r="H368" s="337">
        <v>1780</v>
      </c>
      <c r="I368" s="338">
        <v>445</v>
      </c>
      <c r="J368" s="122">
        <f>(I368/F368)</f>
        <v>445</v>
      </c>
      <c r="K368" s="53">
        <f t="shared" si="28"/>
        <v>4</v>
      </c>
      <c r="L368" s="52">
        <f>71921.5+55489+28896+23842.5+13474.5+19552.5+14027+10409+7091.5+1088.5+1046+1608+982+3368+433+2156+3870+2362+588+3564+2376+1424+1780+1424+1512+1188+952+952+952+6292+5340+1512+3532+1780</f>
        <v>296785</v>
      </c>
      <c r="M368" s="122">
        <f>9131+7791+4520+4728+2735+3857+3026+2110+1463+203+226+324+239+809+81+469+941+537+95+891+594+356+445+356+378+297+238+238+238+1573+1335+378+883+445</f>
        <v>51930</v>
      </c>
      <c r="N368" s="280">
        <f>L368/M368</f>
        <v>5.7150972462930865</v>
      </c>
      <c r="O368" s="203">
        <v>1</v>
      </c>
    </row>
    <row r="369" spans="1:15" ht="15">
      <c r="A369" s="104">
        <v>366</v>
      </c>
      <c r="B369" s="222" t="s">
        <v>179</v>
      </c>
      <c r="C369" s="46">
        <v>39955</v>
      </c>
      <c r="D369" s="37" t="s">
        <v>163</v>
      </c>
      <c r="E369" s="138">
        <v>49</v>
      </c>
      <c r="F369" s="138">
        <v>1</v>
      </c>
      <c r="G369" s="138">
        <v>20</v>
      </c>
      <c r="H369" s="115">
        <v>1780</v>
      </c>
      <c r="I369" s="116">
        <v>445</v>
      </c>
      <c r="J369" s="122">
        <f>(I369/F369)</f>
        <v>445</v>
      </c>
      <c r="K369" s="53">
        <f t="shared" si="28"/>
        <v>4</v>
      </c>
      <c r="L369" s="52">
        <f>156835.75+123241.75+64169.25+38530+14718+8349.5+5553+9905+6647+2168.5+2346+2372+3658.5+879+4291.5+2227+3697.5+1188+476+1780</f>
        <v>453033.25</v>
      </c>
      <c r="M369" s="122">
        <f>15124+12366+7559+6566+2380+1342+923+1526+1461+575+437+426+642+167+566+379+627+297+119+445</f>
        <v>53927</v>
      </c>
      <c r="N369" s="221">
        <f>+L370/M370</f>
        <v>8.364843117781211</v>
      </c>
      <c r="O369" s="200">
        <v>1</v>
      </c>
    </row>
    <row r="370" spans="1:15" ht="15">
      <c r="A370" s="104">
        <v>367</v>
      </c>
      <c r="B370" s="222" t="s">
        <v>179</v>
      </c>
      <c r="C370" s="46">
        <v>39955</v>
      </c>
      <c r="D370" s="37" t="s">
        <v>163</v>
      </c>
      <c r="E370" s="138">
        <v>49</v>
      </c>
      <c r="F370" s="138">
        <v>1</v>
      </c>
      <c r="G370" s="138">
        <v>21</v>
      </c>
      <c r="H370" s="115">
        <v>1780</v>
      </c>
      <c r="I370" s="116">
        <v>445</v>
      </c>
      <c r="J370" s="122">
        <f>I370/F370</f>
        <v>445</v>
      </c>
      <c r="K370" s="53">
        <f t="shared" si="28"/>
        <v>4</v>
      </c>
      <c r="L370" s="52">
        <f>156835.75+123241.75+64169.25+38530+14718+8349.5+5553+9905+6647+2168.5+2346+2372+3658.5+879+4291.5+2227+3697.5+1188+476+1780+1780</f>
        <v>454813.25</v>
      </c>
      <c r="M370" s="122">
        <f>15124+12366+7559+6566+2380+1342+923+1526+1461+575+437+426+642+167+566+379+627+297+119+445+445</f>
        <v>54372</v>
      </c>
      <c r="N370" s="224">
        <f>IF(L371&lt;&gt;0,L371/M371,"")</f>
        <v>8.151244707920165</v>
      </c>
      <c r="O370" s="201">
        <v>1</v>
      </c>
    </row>
    <row r="371" spans="1:15" ht="15">
      <c r="A371" s="104">
        <v>368</v>
      </c>
      <c r="B371" s="219" t="s">
        <v>93</v>
      </c>
      <c r="C371" s="29">
        <v>40102</v>
      </c>
      <c r="D371" s="43" t="s">
        <v>165</v>
      </c>
      <c r="E371" s="137">
        <v>319</v>
      </c>
      <c r="F371" s="137">
        <v>13</v>
      </c>
      <c r="G371" s="137">
        <v>12</v>
      </c>
      <c r="H371" s="54">
        <v>6659</v>
      </c>
      <c r="I371" s="59">
        <v>990</v>
      </c>
      <c r="J371" s="60">
        <f>IF(H371&lt;&gt;0,I371/F371,"")</f>
        <v>76.15384615384616</v>
      </c>
      <c r="K371" s="57">
        <f>IF(H371&lt;&gt;0,H371/I371,"")</f>
        <v>6.726262626262626</v>
      </c>
      <c r="L371" s="58">
        <v>19727039.25</v>
      </c>
      <c r="M371" s="122">
        <v>2420126</v>
      </c>
      <c r="N371" s="221">
        <f>+L372/M372</f>
        <v>8.145321986420493</v>
      </c>
      <c r="O371" s="201">
        <v>1</v>
      </c>
    </row>
    <row r="372" spans="1:15" ht="15">
      <c r="A372" s="104">
        <v>369</v>
      </c>
      <c r="B372" s="222" t="s">
        <v>93</v>
      </c>
      <c r="C372" s="46">
        <v>40102</v>
      </c>
      <c r="D372" s="37" t="s">
        <v>165</v>
      </c>
      <c r="E372" s="138">
        <v>319</v>
      </c>
      <c r="F372" s="138">
        <v>3</v>
      </c>
      <c r="G372" s="138">
        <v>19</v>
      </c>
      <c r="H372" s="115">
        <v>5750</v>
      </c>
      <c r="I372" s="116">
        <v>1314</v>
      </c>
      <c r="J372" s="122">
        <f>I372/F372</f>
        <v>438</v>
      </c>
      <c r="K372" s="53">
        <f>H372/I372</f>
        <v>4.375951293759513</v>
      </c>
      <c r="L372" s="52">
        <v>19749823.75</v>
      </c>
      <c r="M372" s="122">
        <v>2424683</v>
      </c>
      <c r="N372" s="220">
        <f>IF(L373&lt;&gt;0,L373/M373,"")</f>
        <v>8.148806980343684</v>
      </c>
      <c r="O372" s="205">
        <v>1</v>
      </c>
    </row>
    <row r="373" spans="1:15" ht="15">
      <c r="A373" s="104">
        <v>370</v>
      </c>
      <c r="B373" s="222" t="s">
        <v>93</v>
      </c>
      <c r="C373" s="46">
        <v>40102</v>
      </c>
      <c r="D373" s="48" t="s">
        <v>165</v>
      </c>
      <c r="E373" s="138">
        <v>319</v>
      </c>
      <c r="F373" s="138">
        <v>4</v>
      </c>
      <c r="G373" s="138">
        <v>15</v>
      </c>
      <c r="H373" s="44">
        <v>5067</v>
      </c>
      <c r="I373" s="40">
        <v>1028</v>
      </c>
      <c r="J373" s="41">
        <f>IF(H373&lt;&gt;0,I373/F373,"")</f>
        <v>257</v>
      </c>
      <c r="K373" s="34">
        <f>IF(H373&lt;&gt;0,H373/I373,"")</f>
        <v>4.928988326848249</v>
      </c>
      <c r="L373" s="45">
        <v>19737820.25</v>
      </c>
      <c r="M373" s="42">
        <v>2422173</v>
      </c>
      <c r="N373" s="224">
        <f>IF(L374&lt;&gt;0,L374/M374,"")</f>
        <v>8.15017409118413</v>
      </c>
      <c r="O373" s="201">
        <v>1</v>
      </c>
    </row>
    <row r="374" spans="1:15" ht="15">
      <c r="A374" s="104">
        <v>371</v>
      </c>
      <c r="B374" s="219" t="s">
        <v>6</v>
      </c>
      <c r="C374" s="29">
        <v>40102</v>
      </c>
      <c r="D374" s="37" t="s">
        <v>165</v>
      </c>
      <c r="E374" s="137">
        <v>319</v>
      </c>
      <c r="F374" s="137">
        <v>6</v>
      </c>
      <c r="G374" s="137">
        <v>14</v>
      </c>
      <c r="H374" s="54">
        <v>3814</v>
      </c>
      <c r="I374" s="55">
        <v>755</v>
      </c>
      <c r="J374" s="56">
        <f>IF(H374&lt;&gt;0,I374/F374,"")</f>
        <v>125.83333333333333</v>
      </c>
      <c r="K374" s="57">
        <f>IF(H374&lt;&gt;0,H374/I374,"")</f>
        <v>5.051655629139073</v>
      </c>
      <c r="L374" s="58">
        <v>19732753.25</v>
      </c>
      <c r="M374" s="101">
        <v>2421145</v>
      </c>
      <c r="N374" s="221">
        <f>+L375/M375</f>
        <v>8.144201656039506</v>
      </c>
      <c r="O374" s="216">
        <v>1</v>
      </c>
    </row>
    <row r="375" spans="1:15" ht="15">
      <c r="A375" s="104">
        <v>372</v>
      </c>
      <c r="B375" s="222" t="s">
        <v>93</v>
      </c>
      <c r="C375" s="117">
        <v>40102</v>
      </c>
      <c r="D375" s="118" t="s">
        <v>165</v>
      </c>
      <c r="E375" s="133">
        <v>319</v>
      </c>
      <c r="F375" s="133">
        <v>1</v>
      </c>
      <c r="G375" s="133">
        <v>21</v>
      </c>
      <c r="H375" s="119">
        <v>3564</v>
      </c>
      <c r="I375" s="120">
        <v>713</v>
      </c>
      <c r="J375" s="122">
        <f>IF(H375&lt;&gt;0,I375/F375,"")</f>
        <v>713</v>
      </c>
      <c r="K375" s="53">
        <f>H375/I375</f>
        <v>4.998597475455821</v>
      </c>
      <c r="L375" s="52">
        <v>19754135.75</v>
      </c>
      <c r="M375" s="122">
        <v>2425546</v>
      </c>
      <c r="N375" s="221">
        <f>IF(L376&lt;&gt;0,L376/M376,"")</f>
        <v>8.147355113056074</v>
      </c>
      <c r="O375" s="201"/>
    </row>
    <row r="376" spans="1:15" ht="15">
      <c r="A376" s="104">
        <v>373</v>
      </c>
      <c r="B376" s="222" t="s">
        <v>93</v>
      </c>
      <c r="C376" s="46">
        <v>40102</v>
      </c>
      <c r="D376" s="37" t="s">
        <v>165</v>
      </c>
      <c r="E376" s="138">
        <v>319</v>
      </c>
      <c r="F376" s="138">
        <v>3</v>
      </c>
      <c r="G376" s="138">
        <v>17</v>
      </c>
      <c r="H376" s="111">
        <v>3454.5</v>
      </c>
      <c r="I376" s="112">
        <v>766</v>
      </c>
      <c r="J376" s="101">
        <f>I376/F376</f>
        <v>255.33333333333334</v>
      </c>
      <c r="K376" s="51">
        <f>+H376/I376</f>
        <v>4.509791122715405</v>
      </c>
      <c r="L376" s="78">
        <v>19743933.75</v>
      </c>
      <c r="M376" s="101">
        <v>2423355</v>
      </c>
      <c r="N376" s="221">
        <f>L377/M377</f>
        <v>8.14850527679272</v>
      </c>
      <c r="O376" s="208"/>
    </row>
    <row r="377" spans="1:15" ht="15">
      <c r="A377" s="104">
        <v>374</v>
      </c>
      <c r="B377" s="222" t="s">
        <v>93</v>
      </c>
      <c r="C377" s="46">
        <v>40102</v>
      </c>
      <c r="D377" s="37" t="s">
        <v>165</v>
      </c>
      <c r="E377" s="138">
        <v>319</v>
      </c>
      <c r="F377" s="138">
        <v>2</v>
      </c>
      <c r="G377" s="138">
        <v>16</v>
      </c>
      <c r="H377" s="76">
        <v>2659</v>
      </c>
      <c r="I377" s="77">
        <v>416</v>
      </c>
      <c r="J377" s="101">
        <f>I377/F377</f>
        <v>208</v>
      </c>
      <c r="K377" s="51">
        <f>H377/I377</f>
        <v>6.391826923076923</v>
      </c>
      <c r="L377" s="78">
        <v>19740479.25</v>
      </c>
      <c r="M377" s="101">
        <v>2422589</v>
      </c>
      <c r="N377" s="224">
        <f>IF(L378&lt;&gt;0,L378/M378,"")</f>
        <v>8.151140621965881</v>
      </c>
      <c r="O377" s="207">
        <v>1</v>
      </c>
    </row>
    <row r="378" spans="1:16" s="127" customFormat="1" ht="15">
      <c r="A378" s="104">
        <v>375</v>
      </c>
      <c r="B378" s="219" t="s">
        <v>93</v>
      </c>
      <c r="C378" s="29">
        <v>40102</v>
      </c>
      <c r="D378" s="37" t="s">
        <v>165</v>
      </c>
      <c r="E378" s="137">
        <v>319</v>
      </c>
      <c r="F378" s="137">
        <v>7</v>
      </c>
      <c r="G378" s="137">
        <v>13</v>
      </c>
      <c r="H378" s="54">
        <v>1900</v>
      </c>
      <c r="I378" s="59">
        <v>264</v>
      </c>
      <c r="J378" s="60">
        <f>IF(H378&lt;&gt;0,I378/F378,"")</f>
        <v>37.714285714285715</v>
      </c>
      <c r="K378" s="61">
        <f>IF(H378&lt;&gt;0,H378/I378,"")</f>
        <v>7.196969696969697</v>
      </c>
      <c r="L378" s="58">
        <v>19728939.25</v>
      </c>
      <c r="M378" s="122">
        <v>2420390</v>
      </c>
      <c r="N378" s="221">
        <f>+L379/M379</f>
        <v>8.145126592223052</v>
      </c>
      <c r="O378" s="203">
        <v>1</v>
      </c>
      <c r="P378" s="130"/>
    </row>
    <row r="379" spans="1:16" s="127" customFormat="1" ht="15">
      <c r="A379" s="104">
        <v>376</v>
      </c>
      <c r="B379" s="222" t="s">
        <v>93</v>
      </c>
      <c r="C379" s="117">
        <v>40102</v>
      </c>
      <c r="D379" s="37" t="s">
        <v>165</v>
      </c>
      <c r="E379" s="133">
        <v>319</v>
      </c>
      <c r="F379" s="133">
        <v>1</v>
      </c>
      <c r="G379" s="133">
        <v>20</v>
      </c>
      <c r="H379" s="119">
        <v>748</v>
      </c>
      <c r="I379" s="120">
        <v>150</v>
      </c>
      <c r="J379" s="122">
        <f>I379/F379</f>
        <v>150</v>
      </c>
      <c r="K379" s="53">
        <f>H379/I379</f>
        <v>4.986666666666666</v>
      </c>
      <c r="L379" s="52">
        <v>19750571.75</v>
      </c>
      <c r="M379" s="122">
        <v>2424833</v>
      </c>
      <c r="N379" s="221">
        <f>IF(L380&lt;&gt;0,L380/M380,"")</f>
        <v>8.147365815936409</v>
      </c>
      <c r="O379" s="199">
        <v>1</v>
      </c>
      <c r="P379" s="130"/>
    </row>
    <row r="380" spans="1:16" s="127" customFormat="1" ht="15">
      <c r="A380" s="104">
        <v>377</v>
      </c>
      <c r="B380" s="222" t="s">
        <v>93</v>
      </c>
      <c r="C380" s="46">
        <v>40102</v>
      </c>
      <c r="D380" s="37" t="s">
        <v>165</v>
      </c>
      <c r="E380" s="138">
        <v>319</v>
      </c>
      <c r="F380" s="138">
        <v>1</v>
      </c>
      <c r="G380" s="138">
        <v>18</v>
      </c>
      <c r="H380" s="115">
        <v>140</v>
      </c>
      <c r="I380" s="116">
        <v>14</v>
      </c>
      <c r="J380" s="122">
        <f>IF(H380&lt;&gt;0,I380/F380,"")</f>
        <v>14</v>
      </c>
      <c r="K380" s="53">
        <f>IF(H380&lt;&gt;0,H380/I380,"")</f>
        <v>10</v>
      </c>
      <c r="L380" s="52">
        <v>19744073.75</v>
      </c>
      <c r="M380" s="122">
        <v>2423369</v>
      </c>
      <c r="N380" s="221">
        <f>+L381/M381</f>
        <v>8.140869376307595</v>
      </c>
      <c r="O380" s="203"/>
      <c r="P380" s="130"/>
    </row>
    <row r="381" spans="1:16" s="127" customFormat="1" ht="15">
      <c r="A381" s="104">
        <v>378</v>
      </c>
      <c r="B381" s="227" t="s">
        <v>93</v>
      </c>
      <c r="C381" s="117">
        <v>40102</v>
      </c>
      <c r="D381" s="118" t="s">
        <v>165</v>
      </c>
      <c r="E381" s="133">
        <v>319</v>
      </c>
      <c r="F381" s="133">
        <v>3</v>
      </c>
      <c r="G381" s="133">
        <v>22</v>
      </c>
      <c r="H381" s="119">
        <v>12872</v>
      </c>
      <c r="I381" s="120">
        <v>2574</v>
      </c>
      <c r="J381" s="122">
        <f>I381/F381</f>
        <v>858</v>
      </c>
      <c r="K381" s="53">
        <f>H381/I381</f>
        <v>5.000777000777001</v>
      </c>
      <c r="L381" s="52">
        <v>19767007.75</v>
      </c>
      <c r="M381" s="122">
        <v>2428120</v>
      </c>
      <c r="N381" s="221">
        <f>+L382/M382</f>
        <v>8.140830570599016</v>
      </c>
      <c r="O381" s="217">
        <v>1</v>
      </c>
      <c r="P381" s="130"/>
    </row>
    <row r="382" spans="1:16" s="127" customFormat="1" ht="15">
      <c r="A382" s="104">
        <v>379</v>
      </c>
      <c r="B382" s="227" t="s">
        <v>93</v>
      </c>
      <c r="C382" s="117">
        <v>40102</v>
      </c>
      <c r="D382" s="118" t="s">
        <v>165</v>
      </c>
      <c r="E382" s="133">
        <v>319</v>
      </c>
      <c r="F382" s="133">
        <v>1</v>
      </c>
      <c r="G382" s="133">
        <v>23</v>
      </c>
      <c r="H382" s="119">
        <v>150</v>
      </c>
      <c r="I382" s="120">
        <v>30</v>
      </c>
      <c r="J382" s="122">
        <f>I382/F382</f>
        <v>30</v>
      </c>
      <c r="K382" s="53">
        <f>H382/I382</f>
        <v>5</v>
      </c>
      <c r="L382" s="52">
        <v>19767157.75</v>
      </c>
      <c r="M382" s="122">
        <v>2428150</v>
      </c>
      <c r="N382" s="220">
        <f>IF(L383&lt;&gt;0,L383/M383,"")</f>
        <v>8.140809874613186</v>
      </c>
      <c r="O382" s="203">
        <v>1</v>
      </c>
      <c r="P382" s="130"/>
    </row>
    <row r="383" spans="1:16" s="127" customFormat="1" ht="15">
      <c r="A383" s="104">
        <v>380</v>
      </c>
      <c r="B383" s="219" t="s">
        <v>93</v>
      </c>
      <c r="C383" s="29">
        <v>40102</v>
      </c>
      <c r="D383" s="39" t="s">
        <v>165</v>
      </c>
      <c r="E383" s="137">
        <v>319</v>
      </c>
      <c r="F383" s="137">
        <v>1</v>
      </c>
      <c r="G383" s="137">
        <v>24</v>
      </c>
      <c r="H383" s="31">
        <v>80</v>
      </c>
      <c r="I383" s="40">
        <v>16</v>
      </c>
      <c r="J383" s="41">
        <f>IF(H383&lt;&gt;0,I383/F383,"")</f>
        <v>16</v>
      </c>
      <c r="K383" s="34">
        <f>IF(H383&lt;&gt;0,H383/I383,"")</f>
        <v>5</v>
      </c>
      <c r="L383" s="35">
        <v>19767237.75</v>
      </c>
      <c r="M383" s="42">
        <v>2428166</v>
      </c>
      <c r="N383" s="226">
        <f>+L384/M384</f>
        <v>8.140193412535313</v>
      </c>
      <c r="O383" s="208"/>
      <c r="P383" s="130"/>
    </row>
    <row r="384" spans="1:16" s="127" customFormat="1" ht="15">
      <c r="A384" s="104">
        <v>381</v>
      </c>
      <c r="B384" s="227" t="s">
        <v>93</v>
      </c>
      <c r="C384" s="46">
        <v>40102</v>
      </c>
      <c r="D384" s="118" t="s">
        <v>165</v>
      </c>
      <c r="E384" s="133">
        <v>319</v>
      </c>
      <c r="F384" s="133">
        <v>1</v>
      </c>
      <c r="G384" s="133">
        <v>25</v>
      </c>
      <c r="H384" s="119">
        <v>2376</v>
      </c>
      <c r="I384" s="120">
        <v>475</v>
      </c>
      <c r="J384" s="122">
        <f aca="true" t="shared" si="29" ref="J384:J390">I384/F384</f>
        <v>475</v>
      </c>
      <c r="K384" s="53">
        <f>H384/I384</f>
        <v>5.002105263157895</v>
      </c>
      <c r="L384" s="52">
        <v>19769623.75</v>
      </c>
      <c r="M384" s="122">
        <v>2428643</v>
      </c>
      <c r="N384" s="280">
        <f>+L384/M384</f>
        <v>8.140193412535313</v>
      </c>
      <c r="O384" s="351">
        <v>1</v>
      </c>
      <c r="P384" s="130"/>
    </row>
    <row r="385" spans="1:16" s="128" customFormat="1" ht="15">
      <c r="A385" s="104">
        <v>382</v>
      </c>
      <c r="B385" s="219" t="s">
        <v>93</v>
      </c>
      <c r="C385" s="46">
        <v>40102</v>
      </c>
      <c r="D385" s="118" t="s">
        <v>165</v>
      </c>
      <c r="E385" s="133">
        <v>319</v>
      </c>
      <c r="F385" s="133">
        <v>1</v>
      </c>
      <c r="G385" s="133">
        <v>26</v>
      </c>
      <c r="H385" s="119">
        <v>1188</v>
      </c>
      <c r="I385" s="120">
        <v>396</v>
      </c>
      <c r="J385" s="122">
        <f t="shared" si="29"/>
        <v>396</v>
      </c>
      <c r="K385" s="53">
        <f>+H385/I385</f>
        <v>3</v>
      </c>
      <c r="L385" s="52">
        <v>19770811.75</v>
      </c>
      <c r="M385" s="122">
        <v>2429039</v>
      </c>
      <c r="N385" s="280">
        <f>+L385/M385</f>
        <v>8.139355419982964</v>
      </c>
      <c r="O385" s="203">
        <v>1</v>
      </c>
      <c r="P385" s="131"/>
    </row>
    <row r="386" spans="1:16" s="127" customFormat="1" ht="15">
      <c r="A386" s="104">
        <v>383</v>
      </c>
      <c r="B386" s="225" t="s">
        <v>1</v>
      </c>
      <c r="C386" s="29">
        <v>40144</v>
      </c>
      <c r="D386" s="64" t="s">
        <v>114</v>
      </c>
      <c r="E386" s="140">
        <v>258</v>
      </c>
      <c r="F386" s="140">
        <v>176</v>
      </c>
      <c r="G386" s="140">
        <v>6</v>
      </c>
      <c r="H386" s="65">
        <v>225694.5</v>
      </c>
      <c r="I386" s="66">
        <v>35788</v>
      </c>
      <c r="J386" s="67">
        <f t="shared" si="29"/>
        <v>203.3409090909091</v>
      </c>
      <c r="K386" s="68">
        <f>H386/I386</f>
        <v>6.306429529451212</v>
      </c>
      <c r="L386" s="69">
        <v>9551615.25</v>
      </c>
      <c r="M386" s="70">
        <v>1107368</v>
      </c>
      <c r="N386" s="224">
        <f>IF(L387&lt;&gt;0,L387/M387,"")</f>
        <v>8.60634048334202</v>
      </c>
      <c r="O386" s="201"/>
      <c r="P386" s="130"/>
    </row>
    <row r="387" spans="1:16" s="129" customFormat="1" ht="15">
      <c r="A387" s="104">
        <v>384</v>
      </c>
      <c r="B387" s="225" t="s">
        <v>70</v>
      </c>
      <c r="C387" s="29">
        <v>40144</v>
      </c>
      <c r="D387" s="71" t="s">
        <v>114</v>
      </c>
      <c r="E387" s="140">
        <v>258</v>
      </c>
      <c r="F387" s="140">
        <v>55</v>
      </c>
      <c r="G387" s="140">
        <v>7</v>
      </c>
      <c r="H387" s="65">
        <v>58586</v>
      </c>
      <c r="I387" s="66">
        <v>9274</v>
      </c>
      <c r="J387" s="67">
        <f t="shared" si="29"/>
        <v>168.61818181818182</v>
      </c>
      <c r="K387" s="72">
        <f>H387/I387</f>
        <v>6.317230968298468</v>
      </c>
      <c r="L387" s="69">
        <v>9610201.25</v>
      </c>
      <c r="M387" s="70">
        <v>1116642</v>
      </c>
      <c r="N387" s="224">
        <f>IF(L388&lt;&gt;0,L388/M388,"")</f>
        <v>8.59450453332668</v>
      </c>
      <c r="O387" s="199"/>
      <c r="P387" s="132"/>
    </row>
    <row r="388" spans="1:16" s="128" customFormat="1" ht="15">
      <c r="A388" s="104">
        <v>385</v>
      </c>
      <c r="B388" s="225" t="s">
        <v>1</v>
      </c>
      <c r="C388" s="29">
        <v>40144</v>
      </c>
      <c r="D388" s="71" t="s">
        <v>114</v>
      </c>
      <c r="E388" s="140">
        <v>258</v>
      </c>
      <c r="F388" s="140">
        <v>27</v>
      </c>
      <c r="G388" s="140">
        <v>8</v>
      </c>
      <c r="H388" s="65">
        <v>33984.5</v>
      </c>
      <c r="I388" s="73">
        <v>5492</v>
      </c>
      <c r="J388" s="74">
        <f t="shared" si="29"/>
        <v>203.40740740740742</v>
      </c>
      <c r="K388" s="68">
        <f>H388/I388</f>
        <v>6.18800072833212</v>
      </c>
      <c r="L388" s="69">
        <v>9644185.75</v>
      </c>
      <c r="M388" s="75">
        <v>1122134</v>
      </c>
      <c r="N388" s="220">
        <f>+L389/M389</f>
        <v>8.586948196986127</v>
      </c>
      <c r="O388" s="201"/>
      <c r="P388" s="131"/>
    </row>
    <row r="389" spans="1:16" s="127" customFormat="1" ht="15">
      <c r="A389" s="104">
        <v>386</v>
      </c>
      <c r="B389" s="222" t="s">
        <v>1</v>
      </c>
      <c r="C389" s="46">
        <v>40144</v>
      </c>
      <c r="D389" s="43" t="s">
        <v>114</v>
      </c>
      <c r="E389" s="138">
        <v>258</v>
      </c>
      <c r="F389" s="138">
        <v>13</v>
      </c>
      <c r="G389" s="138">
        <v>9</v>
      </c>
      <c r="H389" s="76">
        <v>9270</v>
      </c>
      <c r="I389" s="77">
        <v>2067</v>
      </c>
      <c r="J389" s="41">
        <f t="shared" si="29"/>
        <v>159</v>
      </c>
      <c r="K389" s="34">
        <f>H389/I389</f>
        <v>4.484760522496371</v>
      </c>
      <c r="L389" s="78">
        <v>9653455.75</v>
      </c>
      <c r="M389" s="101">
        <v>1124201</v>
      </c>
      <c r="N389" s="221">
        <f>L390/M390</f>
        <v>8.584887040676378</v>
      </c>
      <c r="O389" s="202"/>
      <c r="P389" s="130"/>
    </row>
    <row r="390" spans="1:16" s="127" customFormat="1" ht="15">
      <c r="A390" s="104">
        <v>387</v>
      </c>
      <c r="B390" s="222" t="s">
        <v>1</v>
      </c>
      <c r="C390" s="46">
        <v>40144</v>
      </c>
      <c r="D390" s="37" t="s">
        <v>114</v>
      </c>
      <c r="E390" s="138">
        <v>258</v>
      </c>
      <c r="F390" s="138">
        <v>7</v>
      </c>
      <c r="G390" s="138">
        <v>9</v>
      </c>
      <c r="H390" s="76">
        <v>4980</v>
      </c>
      <c r="I390" s="77">
        <v>850</v>
      </c>
      <c r="J390" s="101">
        <f t="shared" si="29"/>
        <v>121.42857142857143</v>
      </c>
      <c r="K390" s="51">
        <f>H390/I390</f>
        <v>5.858823529411764</v>
      </c>
      <c r="L390" s="78">
        <v>9658435.75</v>
      </c>
      <c r="M390" s="101">
        <v>1125051</v>
      </c>
      <c r="N390" s="221">
        <f>L391/M391</f>
        <v>8.584972996655798</v>
      </c>
      <c r="O390" s="208"/>
      <c r="P390" s="130"/>
    </row>
    <row r="391" spans="1:16" s="127" customFormat="1" ht="15">
      <c r="A391" s="104">
        <v>388</v>
      </c>
      <c r="B391" s="222" t="s">
        <v>1</v>
      </c>
      <c r="C391" s="46">
        <v>40144</v>
      </c>
      <c r="D391" s="37" t="s">
        <v>114</v>
      </c>
      <c r="E391" s="138">
        <v>258</v>
      </c>
      <c r="F391" s="138">
        <v>5</v>
      </c>
      <c r="G391" s="138">
        <v>11</v>
      </c>
      <c r="H391" s="111">
        <v>1642</v>
      </c>
      <c r="I391" s="112">
        <v>180</v>
      </c>
      <c r="J391" s="101">
        <f>(I391/F391)</f>
        <v>36</v>
      </c>
      <c r="K391" s="51">
        <f>(J391/G391)</f>
        <v>3.272727272727273</v>
      </c>
      <c r="L391" s="78">
        <v>9660077.75</v>
      </c>
      <c r="M391" s="101">
        <v>1125231</v>
      </c>
      <c r="N391" s="221">
        <f>+L392/M392</f>
        <v>8.583208214989147</v>
      </c>
      <c r="O391" s="200">
        <v>1</v>
      </c>
      <c r="P391" s="130"/>
    </row>
    <row r="392" spans="1:16" s="128" customFormat="1" ht="15">
      <c r="A392" s="104">
        <v>389</v>
      </c>
      <c r="B392" s="222" t="s">
        <v>1</v>
      </c>
      <c r="C392" s="46">
        <v>40144</v>
      </c>
      <c r="D392" s="37" t="s">
        <v>114</v>
      </c>
      <c r="E392" s="133">
        <v>258</v>
      </c>
      <c r="F392" s="133">
        <v>1</v>
      </c>
      <c r="G392" s="133">
        <v>13</v>
      </c>
      <c r="H392" s="119">
        <v>1190</v>
      </c>
      <c r="I392" s="120">
        <v>370</v>
      </c>
      <c r="J392" s="122">
        <f>I392/F392</f>
        <v>370</v>
      </c>
      <c r="K392" s="53">
        <f aca="true" t="shared" si="30" ref="K392:K401">H392/I392</f>
        <v>3.2162162162162162</v>
      </c>
      <c r="L392" s="52">
        <v>9661267.75</v>
      </c>
      <c r="M392" s="122">
        <v>1125601</v>
      </c>
      <c r="N392" s="220">
        <f>L393/M393</f>
        <v>7.678665539350384</v>
      </c>
      <c r="O392" s="199">
        <v>1</v>
      </c>
      <c r="P392" s="131"/>
    </row>
    <row r="393" spans="1:16" s="129" customFormat="1" ht="15">
      <c r="A393" s="104">
        <v>390</v>
      </c>
      <c r="B393" s="222" t="s">
        <v>227</v>
      </c>
      <c r="C393" s="46">
        <v>39955</v>
      </c>
      <c r="D393" s="48" t="s">
        <v>163</v>
      </c>
      <c r="E393" s="138">
        <v>88</v>
      </c>
      <c r="F393" s="138">
        <v>1</v>
      </c>
      <c r="G393" s="138">
        <v>25</v>
      </c>
      <c r="H393" s="44">
        <v>1188</v>
      </c>
      <c r="I393" s="40">
        <v>297</v>
      </c>
      <c r="J393" s="41">
        <f>(I393/F393)</f>
        <v>297</v>
      </c>
      <c r="K393" s="34">
        <f t="shared" si="30"/>
        <v>4</v>
      </c>
      <c r="L393" s="45">
        <f>253985.25+197941+176827+129137.25+73306.5+36496.5+20735+12653+3137+3974+3108+6704.75+3312+1885+643+108556.75+31027+8660.5+1196.5+2137+5262+2140+4040+1780+1188</f>
        <v>1089833</v>
      </c>
      <c r="M393" s="42">
        <f>26929+21325+23241+17550+10624+6388+4049+2644+577+882+663+1354+764+460+116+14641+4967+986+117+181+1185+535+1010+445+297</f>
        <v>141930</v>
      </c>
      <c r="N393" s="221">
        <f>+L394/M394</f>
        <v>7.66716769095698</v>
      </c>
      <c r="O393" s="201">
        <v>1</v>
      </c>
      <c r="P393" s="132"/>
    </row>
    <row r="394" spans="1:16" s="127" customFormat="1" ht="15">
      <c r="A394" s="104">
        <v>391</v>
      </c>
      <c r="B394" s="222" t="s">
        <v>227</v>
      </c>
      <c r="C394" s="117">
        <v>39955</v>
      </c>
      <c r="D394" s="37" t="s">
        <v>163</v>
      </c>
      <c r="E394" s="133">
        <v>88</v>
      </c>
      <c r="F394" s="133">
        <v>1</v>
      </c>
      <c r="G394" s="133">
        <v>26</v>
      </c>
      <c r="H394" s="119">
        <v>1780</v>
      </c>
      <c r="I394" s="120">
        <v>445</v>
      </c>
      <c r="J394" s="122">
        <f>I394/F394</f>
        <v>445</v>
      </c>
      <c r="K394" s="53">
        <f t="shared" si="30"/>
        <v>4</v>
      </c>
      <c r="L394" s="52">
        <f>253985.25+197941+176827+129137.25+73306.5+36496.5+20735+12653+3137+3974+3108+6704.75+3312+1885+643+108556.75+31027+8660.5+1196.5+2137+5262+2140+4040+1780+1188+1780</f>
        <v>1091613</v>
      </c>
      <c r="M394" s="122">
        <f>26929+21325+23241+17550+10624+6388+4049+2644+577+882+663+1354+764+460+116+14641+4967+986+117+181+1185+535+1010+445+297+445</f>
        <v>142375</v>
      </c>
      <c r="N394" s="221">
        <f>+L395/M395</f>
        <v>7.406269572025052</v>
      </c>
      <c r="O394" s="210"/>
      <c r="P394" s="130"/>
    </row>
    <row r="395" spans="1:16" s="127" customFormat="1" ht="15">
      <c r="A395" s="104">
        <v>392</v>
      </c>
      <c r="B395" s="222" t="s">
        <v>227</v>
      </c>
      <c r="C395" s="117">
        <v>39955</v>
      </c>
      <c r="D395" s="37" t="s">
        <v>163</v>
      </c>
      <c r="E395" s="133">
        <v>88</v>
      </c>
      <c r="F395" s="133">
        <v>1</v>
      </c>
      <c r="G395" s="133">
        <v>27</v>
      </c>
      <c r="H395" s="119">
        <v>43620</v>
      </c>
      <c r="I395" s="120">
        <v>10905</v>
      </c>
      <c r="J395" s="122">
        <f>I395/F395</f>
        <v>10905</v>
      </c>
      <c r="K395" s="53">
        <f t="shared" si="30"/>
        <v>4</v>
      </c>
      <c r="L395" s="52">
        <f>253985.25+197941+176827+129137.25+73306.5+36496.5+20735+12653+3137+3974+3108+6704.75+3312+1885+643+108556.75+31027+8660.5+1196.5+2137+5262+2140+4040+1780+1188+1780+43620</f>
        <v>1135233</v>
      </c>
      <c r="M395" s="122">
        <f>26929+21325+23241+17550+10624+6388+4049+2644+577+882+663+1354+764+460+116+14641+4967+986+117+181+1185+535+1010+445+297+445+10905</f>
        <v>153280</v>
      </c>
      <c r="N395" s="221">
        <f>L396/M396</f>
        <v>7.299029119848959</v>
      </c>
      <c r="O395" s="201">
        <v>1</v>
      </c>
      <c r="P395" s="130"/>
    </row>
    <row r="396" spans="1:16" s="127" customFormat="1" ht="15">
      <c r="A396" s="104">
        <v>393</v>
      </c>
      <c r="B396" s="222" t="s">
        <v>76</v>
      </c>
      <c r="C396" s="117">
        <v>39864</v>
      </c>
      <c r="D396" s="37" t="s">
        <v>163</v>
      </c>
      <c r="E396" s="133">
        <v>55</v>
      </c>
      <c r="F396" s="133">
        <v>1</v>
      </c>
      <c r="G396" s="133">
        <v>26</v>
      </c>
      <c r="H396" s="119">
        <v>1780</v>
      </c>
      <c r="I396" s="120">
        <v>445</v>
      </c>
      <c r="J396" s="122">
        <f>(I396/F396)</f>
        <v>445</v>
      </c>
      <c r="K396" s="53">
        <f t="shared" si="30"/>
        <v>4</v>
      </c>
      <c r="L396" s="52">
        <f>190777.5+154065+60826.5+20820+23589+29712+19396.5+16102+12940+11034+3005+981+1140+40+98.25+284+1000+300+220+1211.5+155+156+63+1780+5228+1780</f>
        <v>556704.25</v>
      </c>
      <c r="M396" s="122">
        <f>20518+17650+7809+3283+4115+5826+3911+3770+2981+2505+653+199+194+8+18+60+100+75+44+292+22+22+19+445+1307+445</f>
        <v>76271</v>
      </c>
      <c r="N396" s="221">
        <f>+L397/M397</f>
        <v>7.297752992953135</v>
      </c>
      <c r="O396" s="211"/>
      <c r="P396" s="130"/>
    </row>
    <row r="397" spans="1:15" ht="15">
      <c r="A397" s="104">
        <v>394</v>
      </c>
      <c r="B397" s="227" t="s">
        <v>76</v>
      </c>
      <c r="C397" s="117">
        <v>39864</v>
      </c>
      <c r="D397" s="37" t="s">
        <v>163</v>
      </c>
      <c r="E397" s="133">
        <v>55</v>
      </c>
      <c r="F397" s="133">
        <v>1</v>
      </c>
      <c r="G397" s="133">
        <v>27</v>
      </c>
      <c r="H397" s="119">
        <v>450</v>
      </c>
      <c r="I397" s="120">
        <v>75</v>
      </c>
      <c r="J397" s="122">
        <f>I397/F397</f>
        <v>75</v>
      </c>
      <c r="K397" s="53">
        <f t="shared" si="30"/>
        <v>6</v>
      </c>
      <c r="L397" s="52">
        <f>190777.5+154065+60826.5+20820+23589+29712+19396.5+16102+12940+11034+3005+981+1140+40+98.25+284+1000+300+220+1211.5+155+156+63+1780+5228+1780+450</f>
        <v>557154.25</v>
      </c>
      <c r="M397" s="122">
        <f>20518+17650+7809+3283+4115+5826+3911+3770+2981+2505+653+199+194+8+18+60+100+75+44+292+22+22+19+445+1307+445+75</f>
        <v>76346</v>
      </c>
      <c r="N397" s="221">
        <f>+L398/M398</f>
        <v>7.2875045701452</v>
      </c>
      <c r="O397" s="202">
        <v>1</v>
      </c>
    </row>
    <row r="398" spans="1:15" ht="15">
      <c r="A398" s="104">
        <v>395</v>
      </c>
      <c r="B398" s="227" t="s">
        <v>76</v>
      </c>
      <c r="C398" s="46">
        <v>39864</v>
      </c>
      <c r="D398" s="37" t="s">
        <v>163</v>
      </c>
      <c r="E398" s="133">
        <v>55</v>
      </c>
      <c r="F398" s="133">
        <v>1</v>
      </c>
      <c r="G398" s="133">
        <v>28</v>
      </c>
      <c r="H398" s="119">
        <v>952</v>
      </c>
      <c r="I398" s="120">
        <v>238</v>
      </c>
      <c r="J398" s="122">
        <f>I398/F398</f>
        <v>238</v>
      </c>
      <c r="K398" s="53">
        <f t="shared" si="30"/>
        <v>4</v>
      </c>
      <c r="L398" s="52">
        <f>190777.5+154065+60826.5+20820+23589+29712+19396.5+16102+12940+11034+3005+981+1140+40+98.25+284+1000+300+220+1211.5+155+156+63+1780+5228+1780+450+952</f>
        <v>558106.25</v>
      </c>
      <c r="M398" s="122">
        <f>20518+17650+7809+3283+4115+5826+3911+3770+2981+2505+653+199+194+8+18+60+100+75+44+292+22+22+19+445+1307+445+75+238</f>
        <v>76584</v>
      </c>
      <c r="N398" s="280">
        <f>+L398/M398</f>
        <v>7.2875045701452</v>
      </c>
      <c r="O398" s="350"/>
    </row>
    <row r="399" spans="1:15" ht="15">
      <c r="A399" s="104">
        <v>396</v>
      </c>
      <c r="B399" s="222" t="s">
        <v>136</v>
      </c>
      <c r="C399" s="46">
        <v>39941</v>
      </c>
      <c r="D399" s="37" t="s">
        <v>163</v>
      </c>
      <c r="E399" s="138">
        <v>26</v>
      </c>
      <c r="F399" s="138">
        <v>1</v>
      </c>
      <c r="G399" s="138">
        <v>22</v>
      </c>
      <c r="H399" s="115">
        <v>3800</v>
      </c>
      <c r="I399" s="116">
        <v>950</v>
      </c>
      <c r="J399" s="122">
        <f>I399/F399</f>
        <v>950</v>
      </c>
      <c r="K399" s="53">
        <f t="shared" si="30"/>
        <v>4</v>
      </c>
      <c r="L399" s="52">
        <f>36482.75+16583.5+5922.75+3249+4769+4925+4199.5+5525+366+924+414+2215+2444+33+1987+838+1440+537+604+3792+2376+1780+3800</f>
        <v>105206.5</v>
      </c>
      <c r="M399" s="122">
        <f>4495+1934+744+517+1003+1215+722+968+65+193+83+369+384+5+336+159+238+83+151+948+594+445+950</f>
        <v>16601</v>
      </c>
      <c r="N399" s="221">
        <f>+L400/M400</f>
        <v>6.256615295143937</v>
      </c>
      <c r="O399" s="199"/>
    </row>
    <row r="400" spans="1:15" ht="15">
      <c r="A400" s="104">
        <v>397</v>
      </c>
      <c r="B400" s="222" t="s">
        <v>136</v>
      </c>
      <c r="C400" s="117">
        <v>39941</v>
      </c>
      <c r="D400" s="37" t="s">
        <v>163</v>
      </c>
      <c r="E400" s="133">
        <v>26</v>
      </c>
      <c r="F400" s="133">
        <v>1</v>
      </c>
      <c r="G400" s="133">
        <v>23</v>
      </c>
      <c r="H400" s="119">
        <v>2376</v>
      </c>
      <c r="I400" s="120">
        <v>594</v>
      </c>
      <c r="J400" s="122">
        <f>(I400/F400)</f>
        <v>594</v>
      </c>
      <c r="K400" s="53">
        <f t="shared" si="30"/>
        <v>4</v>
      </c>
      <c r="L400" s="52">
        <f>36482.75+16583.5+5922.75+3249+4769+4925+4199.5+5525+366+924+414+2215+2444+33+1987+838+1440+537+604+3792+2376+1780+3800+2376</f>
        <v>107582.5</v>
      </c>
      <c r="M400" s="122">
        <f>4495+1934+744+517+1003+1215+722+968+65+193+83+369+384+5+336+159+238+83+151+948+594+445+950+594</f>
        <v>17195</v>
      </c>
      <c r="N400" s="220">
        <f>L401/M401</f>
        <v>6.479234553702639</v>
      </c>
      <c r="O400" s="199"/>
    </row>
    <row r="401" spans="1:15" ht="15">
      <c r="A401" s="104">
        <v>398</v>
      </c>
      <c r="B401" s="222" t="s">
        <v>136</v>
      </c>
      <c r="C401" s="46">
        <v>39941</v>
      </c>
      <c r="D401" s="97" t="s">
        <v>163</v>
      </c>
      <c r="E401" s="138">
        <v>26</v>
      </c>
      <c r="F401" s="138">
        <v>1</v>
      </c>
      <c r="G401" s="138">
        <v>21</v>
      </c>
      <c r="H401" s="31">
        <v>1780</v>
      </c>
      <c r="I401" s="32">
        <v>445</v>
      </c>
      <c r="J401" s="33">
        <f>(I401/F401)</f>
        <v>445</v>
      </c>
      <c r="K401" s="34">
        <f t="shared" si="30"/>
        <v>4</v>
      </c>
      <c r="L401" s="35">
        <f>36482.75+16583.5+5922.75+3249+4769+4925+4199.5+5525+366+924+414+2215+2444+33+1987+838+1440+537+604+3792+2376+1780</f>
        <v>101406.5</v>
      </c>
      <c r="M401" s="36">
        <f>4495+1934+744+517+1003+1215+722+968+65+193+83+369+384+5+336+159+238+83+151+948+594+445</f>
        <v>15651</v>
      </c>
      <c r="N401" s="221">
        <f>+L402/M402</f>
        <v>6.248520298835929</v>
      </c>
      <c r="O401" s="201"/>
    </row>
    <row r="402" spans="1:15" ht="15">
      <c r="A402" s="104">
        <v>399</v>
      </c>
      <c r="B402" s="219" t="s">
        <v>136</v>
      </c>
      <c r="C402" s="46">
        <v>39941</v>
      </c>
      <c r="D402" s="37" t="s">
        <v>163</v>
      </c>
      <c r="E402" s="133">
        <v>26</v>
      </c>
      <c r="F402" s="133">
        <v>1</v>
      </c>
      <c r="G402" s="133">
        <v>24</v>
      </c>
      <c r="H402" s="119">
        <v>310.7</v>
      </c>
      <c r="I402" s="120">
        <v>72</v>
      </c>
      <c r="J402" s="122">
        <f>I402/F402</f>
        <v>72</v>
      </c>
      <c r="K402" s="53">
        <f>+H402/I402</f>
        <v>4.315277777777777</v>
      </c>
      <c r="L402" s="52">
        <f>36482.75+16583.5+5922.75+3249+4769+4925+4199.5+5525+366+924+414+2215+2444+33+1987+838+1440+537+604+3792+2376+1780+3800+2376+310.7</f>
        <v>107893.2</v>
      </c>
      <c r="M402" s="122">
        <f>4495+1934+744+517+1003+1215+722+968+65+193+83+369+384+5+336+159+238+83+151+948+594+445+950+594+72</f>
        <v>17267</v>
      </c>
      <c r="N402" s="280">
        <f>+L402/M402</f>
        <v>6.248520298835929</v>
      </c>
      <c r="O402" s="203">
        <v>1</v>
      </c>
    </row>
    <row r="403" spans="1:15" ht="15">
      <c r="A403" s="104">
        <v>400</v>
      </c>
      <c r="B403" s="219" t="s">
        <v>136</v>
      </c>
      <c r="C403" s="46">
        <v>39941</v>
      </c>
      <c r="D403" s="37" t="s">
        <v>163</v>
      </c>
      <c r="E403" s="133">
        <v>26</v>
      </c>
      <c r="F403" s="133">
        <v>1</v>
      </c>
      <c r="G403" s="133">
        <v>25</v>
      </c>
      <c r="H403" s="337">
        <v>381.86</v>
      </c>
      <c r="I403" s="338">
        <v>92</v>
      </c>
      <c r="J403" s="122">
        <f>(I403/F403)</f>
        <v>92</v>
      </c>
      <c r="K403" s="53">
        <f>H403/I403</f>
        <v>4.150652173913044</v>
      </c>
      <c r="L403" s="52">
        <f>36482.75+16583.5+5922.75+3249+4769+4925+4199.5+5525+366+924+414+2215+2444+33+1987+838+1440+537+604+3792+2376+1780+3800+2376+310.7+381.86</f>
        <v>108275.06</v>
      </c>
      <c r="M403" s="122">
        <f>4495+1934+744+517+1003+1215+722+968+65+193+83+369+384+5+336+159+238+83+151+948+594+445+950+594+72+92</f>
        <v>17359</v>
      </c>
      <c r="N403" s="280">
        <f>L403/M403</f>
        <v>6.237401924073967</v>
      </c>
      <c r="O403" s="203">
        <v>1</v>
      </c>
    </row>
    <row r="404" spans="1:15" ht="15">
      <c r="A404" s="104">
        <v>401</v>
      </c>
      <c r="B404" s="222" t="s">
        <v>171</v>
      </c>
      <c r="C404" s="117">
        <v>39976</v>
      </c>
      <c r="D404" s="37" t="s">
        <v>163</v>
      </c>
      <c r="E404" s="133">
        <v>2</v>
      </c>
      <c r="F404" s="133">
        <v>1</v>
      </c>
      <c r="G404" s="133">
        <v>16</v>
      </c>
      <c r="H404" s="119">
        <v>1780</v>
      </c>
      <c r="I404" s="120">
        <v>445</v>
      </c>
      <c r="J404" s="122">
        <f>(I404/F404)</f>
        <v>445</v>
      </c>
      <c r="K404" s="53">
        <f>H404/I404</f>
        <v>4</v>
      </c>
      <c r="L404" s="52">
        <f>4047+2102+1183+288+2185+769.5+1362.5+929+117+25+266+133+952+1424+1780+1780</f>
        <v>19343</v>
      </c>
      <c r="M404" s="122">
        <f>502+366+177+30+537+130+151+131+15+2+54+19+238+356+445+445</f>
        <v>3598</v>
      </c>
      <c r="N404" s="221">
        <f>L405/M405</f>
        <v>5.570250555026958</v>
      </c>
      <c r="O404" s="201"/>
    </row>
    <row r="405" spans="1:15" ht="15">
      <c r="A405" s="104">
        <v>402</v>
      </c>
      <c r="B405" s="222" t="s">
        <v>171</v>
      </c>
      <c r="C405" s="117">
        <v>39976</v>
      </c>
      <c r="D405" s="37" t="s">
        <v>163</v>
      </c>
      <c r="E405" s="133">
        <v>2</v>
      </c>
      <c r="F405" s="133">
        <v>1</v>
      </c>
      <c r="G405" s="133">
        <v>15</v>
      </c>
      <c r="H405" s="119">
        <v>1780</v>
      </c>
      <c r="I405" s="120">
        <v>445</v>
      </c>
      <c r="J405" s="122">
        <f>(I405/F405)</f>
        <v>445</v>
      </c>
      <c r="K405" s="53">
        <f>H405/I405</f>
        <v>4</v>
      </c>
      <c r="L405" s="52">
        <f>4047+2102+1183+288+2185+769.5+1362.5+929+117+25+266+133+952+1424+1780</f>
        <v>17563</v>
      </c>
      <c r="M405" s="122">
        <f>502+366+177+30+537+130+151+131+15+2+54+19+238+356+445</f>
        <v>3153</v>
      </c>
      <c r="N405" s="221">
        <f>L406/M406</f>
        <v>5.828286558345643</v>
      </c>
      <c r="O405" s="218"/>
    </row>
    <row r="406" spans="1:15" ht="15">
      <c r="A406" s="104">
        <v>403</v>
      </c>
      <c r="B406" s="222" t="s">
        <v>171</v>
      </c>
      <c r="C406" s="46">
        <v>39976</v>
      </c>
      <c r="D406" s="37" t="s">
        <v>163</v>
      </c>
      <c r="E406" s="138">
        <v>2</v>
      </c>
      <c r="F406" s="138">
        <v>1</v>
      </c>
      <c r="G406" s="138">
        <v>14</v>
      </c>
      <c r="H406" s="111">
        <v>1424</v>
      </c>
      <c r="I406" s="112">
        <v>356</v>
      </c>
      <c r="J406" s="101">
        <f>I406/F406</f>
        <v>356</v>
      </c>
      <c r="K406" s="51">
        <f>+H406/I406</f>
        <v>4</v>
      </c>
      <c r="L406" s="78">
        <f>4047+2102+1183+288+2185+769.5+1362.5+929+117+25+266+133+952+1424</f>
        <v>15783</v>
      </c>
      <c r="M406" s="101">
        <f>502+366+177+30+537+130+151+131+15+2+54+19+238+356</f>
        <v>2708</v>
      </c>
      <c r="N406" s="221">
        <f>+L407/M407</f>
        <v>5.361602209944752</v>
      </c>
      <c r="O406" s="201"/>
    </row>
    <row r="407" spans="1:15" ht="15">
      <c r="A407" s="104">
        <v>404</v>
      </c>
      <c r="B407" s="227" t="s">
        <v>171</v>
      </c>
      <c r="C407" s="117">
        <v>39976</v>
      </c>
      <c r="D407" s="37" t="s">
        <v>163</v>
      </c>
      <c r="E407" s="133">
        <v>2</v>
      </c>
      <c r="F407" s="133">
        <v>1</v>
      </c>
      <c r="G407" s="133">
        <v>17</v>
      </c>
      <c r="H407" s="119">
        <v>66</v>
      </c>
      <c r="I407" s="120">
        <v>22</v>
      </c>
      <c r="J407" s="122">
        <f>I407/F407</f>
        <v>22</v>
      </c>
      <c r="K407" s="53">
        <f>H407/I407</f>
        <v>3</v>
      </c>
      <c r="L407" s="52">
        <f>4047+2102+1183+288+2185+769.5+1362.5+929+117+25+266+133+952+1424+1780+1780+66</f>
        <v>19409</v>
      </c>
      <c r="M407" s="122">
        <f>502+366+177+30+537+130+151+131+15+2+54+19+238+356+445+445+22</f>
        <v>3620</v>
      </c>
      <c r="N407" s="221">
        <f>+L408/M408</f>
        <v>5.346692286576997</v>
      </c>
      <c r="O407" s="210"/>
    </row>
    <row r="408" spans="1:15" ht="15">
      <c r="A408" s="104">
        <v>405</v>
      </c>
      <c r="B408" s="227" t="s">
        <v>171</v>
      </c>
      <c r="C408" s="117">
        <v>39976</v>
      </c>
      <c r="D408" s="37" t="s">
        <v>163</v>
      </c>
      <c r="E408" s="133">
        <v>2</v>
      </c>
      <c r="F408" s="133">
        <v>1</v>
      </c>
      <c r="G408" s="133">
        <v>18</v>
      </c>
      <c r="H408" s="119">
        <v>69</v>
      </c>
      <c r="I408" s="120">
        <v>23</v>
      </c>
      <c r="J408" s="122">
        <f>I408/F408</f>
        <v>23</v>
      </c>
      <c r="K408" s="53">
        <f>H408/I408</f>
        <v>3</v>
      </c>
      <c r="L408" s="52">
        <f>4047+2102+1183+288+2185+769.5+1362.5+929+117+25+266+133+952+1424+1780+1780+66+69</f>
        <v>19478</v>
      </c>
      <c r="M408" s="122">
        <f>502+366+177+30+537+130+151+131+15+2+54+19+238+356+445+445+22+23</f>
        <v>3643</v>
      </c>
      <c r="N408" s="220">
        <f>L409/M409</f>
        <v>7.377014363286039</v>
      </c>
      <c r="O408" s="200"/>
    </row>
    <row r="409" spans="1:15" ht="15">
      <c r="A409" s="104">
        <v>406</v>
      </c>
      <c r="B409" s="222" t="s">
        <v>94</v>
      </c>
      <c r="C409" s="46">
        <v>39829</v>
      </c>
      <c r="D409" s="87" t="s">
        <v>163</v>
      </c>
      <c r="E409" s="138">
        <v>65</v>
      </c>
      <c r="F409" s="138">
        <v>1</v>
      </c>
      <c r="G409" s="138">
        <v>34</v>
      </c>
      <c r="H409" s="31">
        <v>1780</v>
      </c>
      <c r="I409" s="32">
        <v>445</v>
      </c>
      <c r="J409" s="33">
        <f>(I409/F409)</f>
        <v>445</v>
      </c>
      <c r="K409" s="38">
        <f>H409/I409</f>
        <v>4</v>
      </c>
      <c r="L409" s="35">
        <f>237023+244842+160469+47021+21536+18820+18020.5+26440+10695+9162.5+9870+6322+1787+2032+757+348+420.5+158+4053+339.5+3161.5+1729.5+752+1417+1780+64+1208+952+552+139.5+544+40+8072+1780</f>
        <v>842307.5</v>
      </c>
      <c r="M409" s="36">
        <f>25678+28966+21290+6590+4890+3520+3479+4786+1907+1716+2388+1533+368+541+126+70+67+48+991+81+743+414+155+169+445+16+302+238+117+23+48+12+2018+445</f>
        <v>114180</v>
      </c>
      <c r="N409" s="221">
        <f>L410/M410</f>
        <v>7.35348883728616</v>
      </c>
      <c r="O409" s="201"/>
    </row>
    <row r="410" spans="1:15" ht="15">
      <c r="A410" s="104">
        <v>407</v>
      </c>
      <c r="B410" s="222" t="s">
        <v>94</v>
      </c>
      <c r="C410" s="46">
        <v>39829</v>
      </c>
      <c r="D410" s="37" t="s">
        <v>163</v>
      </c>
      <c r="E410" s="138">
        <v>65</v>
      </c>
      <c r="F410" s="138">
        <v>1</v>
      </c>
      <c r="G410" s="138">
        <v>36</v>
      </c>
      <c r="H410" s="111">
        <v>1780</v>
      </c>
      <c r="I410" s="112">
        <v>445</v>
      </c>
      <c r="J410" s="101">
        <f>(I410/F410)</f>
        <v>445</v>
      </c>
      <c r="K410" s="51">
        <f>(J410/G410)</f>
        <v>12.36111111111111</v>
      </c>
      <c r="L410" s="78">
        <f>237023+244842+160469+47021+21536+18820+18020.5+26440+10695+9162.5+9870+6322+1787+2032+757+348+420.5+158+4053+339.5+3161.5+1729.5+752+1417+1780+64+1208+952+552+139.5+544+40+8072+1780+1424+1780</f>
        <v>845511.5</v>
      </c>
      <c r="M410" s="101">
        <f>25678+28966+21290+6590+4890+3520+3479+4786+1907+1716+2388+1533+368+541+126+70+67+48+991+81+743+414+155+169+445+16+302+238+117+23+48+12+2018+445+356+445</f>
        <v>114981</v>
      </c>
      <c r="N410" s="220">
        <f>L411/M411</f>
        <v>7.366517950687993</v>
      </c>
      <c r="O410" s="199"/>
    </row>
    <row r="411" spans="1:15" ht="15">
      <c r="A411" s="104">
        <v>408</v>
      </c>
      <c r="B411" s="223" t="s">
        <v>94</v>
      </c>
      <c r="C411" s="62">
        <v>39829</v>
      </c>
      <c r="D411" s="63" t="s">
        <v>163</v>
      </c>
      <c r="E411" s="139">
        <v>65</v>
      </c>
      <c r="F411" s="139">
        <v>1</v>
      </c>
      <c r="G411" s="139">
        <v>35</v>
      </c>
      <c r="H411" s="44">
        <v>1424</v>
      </c>
      <c r="I411" s="40">
        <v>356</v>
      </c>
      <c r="J411" s="41">
        <f>(I411/F411)</f>
        <v>356</v>
      </c>
      <c r="K411" s="51">
        <f>+H411/I411</f>
        <v>4</v>
      </c>
      <c r="L411" s="45">
        <f>237023+244842+160469+47021+21536+18820+18020.5+26440+10695+9162.5+9870+6322+1787+2032+757+348+420.5+158+4053+339.5+3161.5+1729.5+752+1417+1780+64+1208+952+552+139.5+544+40+8072+1780+1424</f>
        <v>843731.5</v>
      </c>
      <c r="M411" s="42">
        <f>25678+28966+21290+6590+4890+3520+3479+4786+1907+1716+2388+1533+368+541+126+70+67+48+991+81+743+414+155+169+445+16+302+238+117+23+48+12+2018+445+356</f>
        <v>114536</v>
      </c>
      <c r="N411" s="221">
        <f>L412/M412</f>
        <v>7.353797941513961</v>
      </c>
      <c r="O411" s="201"/>
    </row>
    <row r="412" spans="1:15" ht="15">
      <c r="A412" s="104">
        <v>409</v>
      </c>
      <c r="B412" s="222" t="s">
        <v>94</v>
      </c>
      <c r="C412" s="117">
        <v>39829</v>
      </c>
      <c r="D412" s="37" t="s">
        <v>163</v>
      </c>
      <c r="E412" s="133">
        <v>65</v>
      </c>
      <c r="F412" s="133">
        <v>1</v>
      </c>
      <c r="G412" s="133">
        <v>37</v>
      </c>
      <c r="H412" s="119">
        <v>440</v>
      </c>
      <c r="I412" s="120">
        <v>55</v>
      </c>
      <c r="J412" s="122">
        <f>(I412/F412)</f>
        <v>55</v>
      </c>
      <c r="K412" s="53">
        <f>H412/I412</f>
        <v>8</v>
      </c>
      <c r="L412" s="52">
        <f>237023+244842+160469+47021+21536+18820+18020.5+26440+10695+9162.5+9870+6322+1787+2032+757+348+420.5+158+4053+339.5+3161.5+1729.5+752+1417+1780+64+1208+952+552+139.5+544+40+8072+1780+1424+1780+440</f>
        <v>845951.5</v>
      </c>
      <c r="M412" s="122">
        <f>25678+28966+21290+6590+4890+3520+3479+4786+1907+1716+2388+1533+368+541+126+70+67+48+991+81+743+414+155+169+445+16+302+238+117+23+48+12+2018+445+356+445+55</f>
        <v>115036</v>
      </c>
      <c r="N412" s="220">
        <f>L413/M413</f>
        <v>7.340874256371178</v>
      </c>
      <c r="O412" s="203"/>
    </row>
    <row r="413" spans="1:15" ht="15">
      <c r="A413" s="104">
        <v>410</v>
      </c>
      <c r="B413" s="219" t="s">
        <v>94</v>
      </c>
      <c r="C413" s="29">
        <v>39829</v>
      </c>
      <c r="D413" s="39" t="s">
        <v>163</v>
      </c>
      <c r="E413" s="137">
        <v>65</v>
      </c>
      <c r="F413" s="137">
        <v>1</v>
      </c>
      <c r="G413" s="137">
        <v>38</v>
      </c>
      <c r="H413" s="31">
        <v>1780</v>
      </c>
      <c r="I413" s="40">
        <v>445</v>
      </c>
      <c r="J413" s="41">
        <f>(I413/F413)</f>
        <v>445</v>
      </c>
      <c r="K413" s="34">
        <f>H413/I413</f>
        <v>4</v>
      </c>
      <c r="L413" s="35">
        <f>237023+244842+160469+47021+21536+18820+18020.5+26440+10695+9162.5+9870+6322+1787+2032+757+348+420.5+158+4053+339.5+3161.5+1729.5+752+1417+1780+64+1208+952+552+139.5+544+40+8072+1780+1424+1780+440+1780</f>
        <v>847731.5</v>
      </c>
      <c r="M413" s="42">
        <f>25678+28966+21290+6590+4890+3520+3479+4786+1907+1716+2388+1533+368+541+126+70+67+48+991+81+743+414+155+169+445+16+302+238+117+23+48+12+2018+445+356+445+55+445</f>
        <v>115481</v>
      </c>
      <c r="N413" s="221">
        <f>+L414/M414</f>
        <v>7.332304064675499</v>
      </c>
      <c r="O413" s="202"/>
    </row>
    <row r="414" spans="1:15" ht="15">
      <c r="A414" s="104">
        <v>411</v>
      </c>
      <c r="B414" s="227" t="s">
        <v>94</v>
      </c>
      <c r="C414" s="46">
        <v>39829</v>
      </c>
      <c r="D414" s="37" t="s">
        <v>163</v>
      </c>
      <c r="E414" s="133">
        <v>65</v>
      </c>
      <c r="F414" s="133">
        <v>1</v>
      </c>
      <c r="G414" s="133">
        <v>39</v>
      </c>
      <c r="H414" s="119">
        <v>1188</v>
      </c>
      <c r="I414" s="120">
        <v>297</v>
      </c>
      <c r="J414" s="122">
        <f>I414/F414</f>
        <v>297</v>
      </c>
      <c r="K414" s="53">
        <f>H414/I414</f>
        <v>4</v>
      </c>
      <c r="L414" s="52">
        <f>237023+244842+160469+47021+21536+18820+18020.5+26440+10695+9162.5+9870+6322+1787+2032+757+348+420.5+158+4053+339.5+3161.5+1729.5+752+1417+1780+64+1208+952+552+139.5+544+40+8072+1780+1424+1780+440+1780+1188</f>
        <v>848919.5</v>
      </c>
      <c r="M414" s="122">
        <f>25678+28966+21290+6590+4890+3520+3479+4786+1907+1716+2388+1533+368+541+126+70+67+48+991+81+743+414+155+169+445+16+302+238+117+23+48+12+2018+445+356+445+55+445+297</f>
        <v>115778</v>
      </c>
      <c r="N414" s="280">
        <f>+L414/M414</f>
        <v>7.332304064675499</v>
      </c>
      <c r="O414" s="350"/>
    </row>
    <row r="415" spans="1:15" ht="15">
      <c r="A415" s="104">
        <v>412</v>
      </c>
      <c r="B415" s="222" t="s">
        <v>91</v>
      </c>
      <c r="C415" s="46">
        <v>40172</v>
      </c>
      <c r="D415" s="47" t="s">
        <v>49</v>
      </c>
      <c r="E415" s="138">
        <v>10</v>
      </c>
      <c r="F415" s="138">
        <v>9</v>
      </c>
      <c r="G415" s="138">
        <v>3</v>
      </c>
      <c r="H415" s="49">
        <v>3129.5</v>
      </c>
      <c r="I415" s="50">
        <v>431</v>
      </c>
      <c r="J415" s="122">
        <f>I415/F415</f>
        <v>47.888888888888886</v>
      </c>
      <c r="K415" s="53">
        <f>+H415/I415</f>
        <v>7.261020881670533</v>
      </c>
      <c r="L415" s="52">
        <f>9917+0.75+3107+3129+0.5</f>
        <v>16154.25</v>
      </c>
      <c r="M415" s="122">
        <f>987+335+431</f>
        <v>1753</v>
      </c>
      <c r="N415" s="224">
        <f>IF(L416&lt;&gt;0,L416/M416,"")</f>
        <v>9.85230711043873</v>
      </c>
      <c r="O415" s="201"/>
    </row>
    <row r="416" spans="1:15" ht="15">
      <c r="A416" s="104">
        <v>413</v>
      </c>
      <c r="B416" s="222" t="s">
        <v>8</v>
      </c>
      <c r="C416" s="46">
        <v>40172</v>
      </c>
      <c r="D416" s="48" t="s">
        <v>49</v>
      </c>
      <c r="E416" s="138">
        <v>10</v>
      </c>
      <c r="F416" s="138">
        <v>9</v>
      </c>
      <c r="G416" s="138">
        <v>2</v>
      </c>
      <c r="H416" s="49">
        <v>3107</v>
      </c>
      <c r="I416" s="50">
        <v>335</v>
      </c>
      <c r="J416" s="60">
        <f>IF(H416&lt;&gt;0,I416/F416,"")</f>
        <v>37.22222222222222</v>
      </c>
      <c r="K416" s="57">
        <f>IF(H416&lt;&gt;0,H416/I416,"")</f>
        <v>9.274626865671642</v>
      </c>
      <c r="L416" s="52">
        <f>9917+0.75+3107</f>
        <v>13024.75</v>
      </c>
      <c r="M416" s="122">
        <f>987+335</f>
        <v>1322</v>
      </c>
      <c r="N416" s="224">
        <f>+L417/M417</f>
        <v>8.537476937269373</v>
      </c>
      <c r="O416" s="199"/>
    </row>
    <row r="417" spans="1:15" ht="15">
      <c r="A417" s="104">
        <v>414</v>
      </c>
      <c r="B417" s="222" t="s">
        <v>8</v>
      </c>
      <c r="C417" s="46">
        <v>40172</v>
      </c>
      <c r="D417" s="47" t="s">
        <v>49</v>
      </c>
      <c r="E417" s="138">
        <v>10</v>
      </c>
      <c r="F417" s="138">
        <v>5</v>
      </c>
      <c r="G417" s="138">
        <v>4</v>
      </c>
      <c r="H417" s="49">
        <v>2355</v>
      </c>
      <c r="I417" s="77">
        <v>415</v>
      </c>
      <c r="J417" s="56">
        <f>+I417/F417</f>
        <v>83</v>
      </c>
      <c r="K417" s="57">
        <f>+H417/I417</f>
        <v>5.674698795180723</v>
      </c>
      <c r="L417" s="52">
        <f>9917+0.75+3107+3129+0.5+2355</f>
        <v>18509.25</v>
      </c>
      <c r="M417" s="101">
        <f>987+335+431+415</f>
        <v>2168</v>
      </c>
      <c r="N417" s="220">
        <f>+L418/M418</f>
        <v>8.417349137931035</v>
      </c>
      <c r="O417" s="203"/>
    </row>
    <row r="418" spans="1:15" ht="15">
      <c r="A418" s="104">
        <v>415</v>
      </c>
      <c r="B418" s="222" t="s">
        <v>8</v>
      </c>
      <c r="C418" s="46">
        <v>40172</v>
      </c>
      <c r="D418" s="43" t="s">
        <v>49</v>
      </c>
      <c r="E418" s="138">
        <v>10</v>
      </c>
      <c r="F418" s="138">
        <v>4</v>
      </c>
      <c r="G418" s="138">
        <v>5</v>
      </c>
      <c r="H418" s="76">
        <v>1019</v>
      </c>
      <c r="I418" s="77">
        <v>152</v>
      </c>
      <c r="J418" s="41">
        <f>I418/F418</f>
        <v>38</v>
      </c>
      <c r="K418" s="34">
        <f>H418/I418</f>
        <v>6.703947368421052</v>
      </c>
      <c r="L418" s="78">
        <f>9917+0.75+3107+3129+0.5+2355+1019</f>
        <v>19528.25</v>
      </c>
      <c r="M418" s="101">
        <f>987+335+431+415+152</f>
        <v>2320</v>
      </c>
      <c r="N418" s="221">
        <f>L419/M419</f>
        <v>8.350503566932439</v>
      </c>
      <c r="O418" s="202"/>
    </row>
    <row r="419" spans="1:15" ht="15">
      <c r="A419" s="104">
        <v>416</v>
      </c>
      <c r="B419" s="222" t="s">
        <v>8</v>
      </c>
      <c r="C419" s="46">
        <v>40172</v>
      </c>
      <c r="D419" s="37" t="s">
        <v>49</v>
      </c>
      <c r="E419" s="138">
        <v>10</v>
      </c>
      <c r="F419" s="138">
        <v>2</v>
      </c>
      <c r="G419" s="138">
        <v>5</v>
      </c>
      <c r="H419" s="76">
        <v>371</v>
      </c>
      <c r="I419" s="77">
        <v>63</v>
      </c>
      <c r="J419" s="101">
        <f>I419/F419</f>
        <v>31.5</v>
      </c>
      <c r="K419" s="51">
        <f>H419/I419</f>
        <v>5.888888888888889</v>
      </c>
      <c r="L419" s="78">
        <f>9917+0.75+3107+3129+0.5+2355+1019+371</f>
        <v>19899.25</v>
      </c>
      <c r="M419" s="101">
        <f>987+335+431+415+152+63</f>
        <v>2383</v>
      </c>
      <c r="N419" s="232">
        <f>L420/M420</f>
        <v>7.753578639843201</v>
      </c>
      <c r="O419" s="208"/>
    </row>
    <row r="420" spans="1:15" ht="15">
      <c r="A420" s="104">
        <v>417</v>
      </c>
      <c r="B420" s="219" t="s">
        <v>131</v>
      </c>
      <c r="C420" s="46">
        <v>39836</v>
      </c>
      <c r="D420" s="37" t="s">
        <v>163</v>
      </c>
      <c r="E420" s="133">
        <v>13</v>
      </c>
      <c r="F420" s="133">
        <v>1</v>
      </c>
      <c r="G420" s="133">
        <v>24</v>
      </c>
      <c r="H420" s="119">
        <v>463.52</v>
      </c>
      <c r="I420" s="120">
        <v>102</v>
      </c>
      <c r="J420" s="122">
        <f>I420/F420</f>
        <v>102</v>
      </c>
      <c r="K420" s="53">
        <f>+H420/I420</f>
        <v>4.544313725490196</v>
      </c>
      <c r="L420" s="52">
        <f>57133.5+23554+18557+9186+29743.5+13631.5+13446+7072+7029+8018.5+7220.5+2856.5+1828+102+3517+635+324+30+2146+1842+376+154+799+463.52</f>
        <v>209664.52</v>
      </c>
      <c r="M420" s="122">
        <f>5405+2651+2356+1389+3583+1713+1661+1216+1174+1324+1425+542+453+16+757+96+108+10+508+436+35+14+67+102</f>
        <v>27041</v>
      </c>
      <c r="N420" s="280">
        <f>+L420/M420</f>
        <v>7.753578639843201</v>
      </c>
      <c r="O420" s="203">
        <v>1</v>
      </c>
    </row>
    <row r="421" spans="1:15" ht="15">
      <c r="A421" s="104">
        <v>418</v>
      </c>
      <c r="B421" s="219" t="s">
        <v>131</v>
      </c>
      <c r="C421" s="46">
        <v>39836</v>
      </c>
      <c r="D421" s="37" t="s">
        <v>163</v>
      </c>
      <c r="E421" s="133">
        <v>13</v>
      </c>
      <c r="F421" s="133">
        <v>1</v>
      </c>
      <c r="G421" s="133">
        <v>25</v>
      </c>
      <c r="H421" s="337">
        <v>415.64</v>
      </c>
      <c r="I421" s="338">
        <v>95</v>
      </c>
      <c r="J421" s="122">
        <f>(I421/F421)</f>
        <v>95</v>
      </c>
      <c r="K421" s="53">
        <f>H421/I421</f>
        <v>4.375157894736842</v>
      </c>
      <c r="L421" s="52">
        <f>57133.5+23554+18557+9186+29743.5+13631.5+13446+7072+7029+8018.5+7220.5+2856.5+1828+102+3517+635+324+30+2146+1842+376+154+799+463.52+415.64</f>
        <v>210080.16</v>
      </c>
      <c r="M421" s="122">
        <f>5405+2651+2356+1389+3583+1713+1661+1216+1174+1324+1425+542+453+16+757+96+108+10+508+436+35+14+67+102+95</f>
        <v>27136</v>
      </c>
      <c r="N421" s="280">
        <f>L421/M421</f>
        <v>7.741751179245283</v>
      </c>
      <c r="O421" s="203">
        <v>1</v>
      </c>
    </row>
    <row r="422" spans="1:15" ht="15">
      <c r="A422" s="104">
        <v>419</v>
      </c>
      <c r="B422" s="222" t="s">
        <v>113</v>
      </c>
      <c r="C422" s="46">
        <v>39745</v>
      </c>
      <c r="D422" s="48" t="s">
        <v>163</v>
      </c>
      <c r="E422" s="138">
        <v>7</v>
      </c>
      <c r="F422" s="138">
        <v>1</v>
      </c>
      <c r="G422" s="138">
        <v>17</v>
      </c>
      <c r="H422" s="88">
        <v>87</v>
      </c>
      <c r="I422" s="92">
        <v>29</v>
      </c>
      <c r="J422" s="93">
        <f>(I422/F422)</f>
        <v>29</v>
      </c>
      <c r="K422" s="96">
        <f>H422/I422</f>
        <v>3</v>
      </c>
      <c r="L422" s="90">
        <f>31758.5+8225.5+1958+2180+395+7254.5+494+2046+429+128+135+1066+1003+620+20+120+87</f>
        <v>57919.5</v>
      </c>
      <c r="M422" s="94">
        <f>2732+851+288+247+46+761+52+333+72+22+23+258+223+133+2+12+29</f>
        <v>6084</v>
      </c>
      <c r="N422" s="232">
        <f>L423/M423</f>
        <v>9.503935071323168</v>
      </c>
      <c r="O422" s="208">
        <v>1</v>
      </c>
    </row>
    <row r="423" spans="1:15" ht="15">
      <c r="A423" s="104">
        <v>420</v>
      </c>
      <c r="B423" s="222" t="s">
        <v>113</v>
      </c>
      <c r="C423" s="46">
        <v>39745</v>
      </c>
      <c r="D423" s="47" t="s">
        <v>163</v>
      </c>
      <c r="E423" s="138">
        <v>7</v>
      </c>
      <c r="F423" s="138">
        <v>1</v>
      </c>
      <c r="G423" s="138">
        <v>18</v>
      </c>
      <c r="H423" s="88">
        <v>45</v>
      </c>
      <c r="I423" s="92">
        <v>15</v>
      </c>
      <c r="J423" s="93">
        <f>(I423/F423)</f>
        <v>15</v>
      </c>
      <c r="K423" s="99">
        <f>H423/I423</f>
        <v>3</v>
      </c>
      <c r="L423" s="90">
        <f>31758.5+8225.5+1958+2180+395+7254.5+494+2046+429+128+135+1066+1003+620+20+120+87+45</f>
        <v>57964.5</v>
      </c>
      <c r="M423" s="94">
        <f>2732+851+288+247+46+761+52+333+72+22+23+258+223+133+2+12+29+15</f>
        <v>6099</v>
      </c>
      <c r="N423" s="220">
        <f>L424/M424</f>
        <v>8.165328336902213</v>
      </c>
      <c r="O423" s="204"/>
    </row>
    <row r="424" spans="1:15" ht="15">
      <c r="A424" s="104">
        <v>421</v>
      </c>
      <c r="B424" s="222" t="s">
        <v>40</v>
      </c>
      <c r="C424" s="46">
        <v>40074</v>
      </c>
      <c r="D424" s="48" t="s">
        <v>163</v>
      </c>
      <c r="E424" s="138">
        <v>7</v>
      </c>
      <c r="F424" s="138">
        <v>1</v>
      </c>
      <c r="G424" s="138">
        <v>11</v>
      </c>
      <c r="H424" s="44">
        <v>136</v>
      </c>
      <c r="I424" s="40">
        <v>34</v>
      </c>
      <c r="J424" s="41">
        <f>(I424/F424)</f>
        <v>34</v>
      </c>
      <c r="K424" s="34">
        <f>H424/I424</f>
        <v>4</v>
      </c>
      <c r="L424" s="45">
        <f>24901+4873+3754+4238+1794.5+1565+1393.5+1381.5+1482+240+136</f>
        <v>45758.5</v>
      </c>
      <c r="M424" s="42">
        <f>2240+626+482+732+293+342+244+327+247+37+34</f>
        <v>5604</v>
      </c>
      <c r="N424" s="221">
        <f>+L425/M425</f>
        <v>8.136227544910179</v>
      </c>
      <c r="O424" s="201">
        <v>1</v>
      </c>
    </row>
    <row r="425" spans="1:15" ht="15">
      <c r="A425" s="104">
        <v>422</v>
      </c>
      <c r="B425" s="219" t="s">
        <v>40</v>
      </c>
      <c r="C425" s="46">
        <v>40074</v>
      </c>
      <c r="D425" s="37" t="s">
        <v>163</v>
      </c>
      <c r="E425" s="133">
        <v>7</v>
      </c>
      <c r="F425" s="133">
        <v>1</v>
      </c>
      <c r="G425" s="133">
        <v>12</v>
      </c>
      <c r="H425" s="119">
        <v>439</v>
      </c>
      <c r="I425" s="120">
        <v>74</v>
      </c>
      <c r="J425" s="122">
        <f aca="true" t="shared" si="31" ref="J425:J436">I425/F425</f>
        <v>74</v>
      </c>
      <c r="K425" s="53">
        <f>+H425/I425</f>
        <v>5.9324324324324325</v>
      </c>
      <c r="L425" s="52">
        <f>24901+4873+3754+4238+1794.5+1565+1393.5+1381.5+1482+240+136+439</f>
        <v>46197.5</v>
      </c>
      <c r="M425" s="122">
        <f>2240+626+482+732+293+342+244+327+247+37+34+74</f>
        <v>5678</v>
      </c>
      <c r="N425" s="280">
        <f>+L425/M425</f>
        <v>8.136227544910179</v>
      </c>
      <c r="O425" s="203"/>
    </row>
    <row r="426" spans="1:15" ht="15">
      <c r="A426" s="104">
        <v>423</v>
      </c>
      <c r="B426" s="222" t="s">
        <v>36</v>
      </c>
      <c r="C426" s="46">
        <v>40004</v>
      </c>
      <c r="D426" s="86" t="s">
        <v>162</v>
      </c>
      <c r="E426" s="138">
        <v>68</v>
      </c>
      <c r="F426" s="138">
        <v>1</v>
      </c>
      <c r="G426" s="138">
        <v>26</v>
      </c>
      <c r="H426" s="76">
        <v>609</v>
      </c>
      <c r="I426" s="77">
        <v>280</v>
      </c>
      <c r="J426" s="101">
        <f t="shared" si="31"/>
        <v>280</v>
      </c>
      <c r="K426" s="51">
        <f>+H426/I426</f>
        <v>2.175</v>
      </c>
      <c r="L426" s="78">
        <v>1217628</v>
      </c>
      <c r="M426" s="101">
        <v>132046</v>
      </c>
      <c r="N426" s="221">
        <f aca="true" t="shared" si="32" ref="N426:N432">+L427/M427</f>
        <v>9.206331333222495</v>
      </c>
      <c r="O426" s="207"/>
    </row>
    <row r="427" spans="1:15" ht="15">
      <c r="A427" s="104">
        <v>424</v>
      </c>
      <c r="B427" s="222" t="s">
        <v>36</v>
      </c>
      <c r="C427" s="46">
        <v>40004</v>
      </c>
      <c r="D427" s="37" t="s">
        <v>162</v>
      </c>
      <c r="E427" s="138">
        <v>68</v>
      </c>
      <c r="F427" s="138">
        <v>1</v>
      </c>
      <c r="G427" s="138">
        <v>30</v>
      </c>
      <c r="H427" s="115">
        <v>609</v>
      </c>
      <c r="I427" s="116">
        <v>280</v>
      </c>
      <c r="J427" s="122">
        <f t="shared" si="31"/>
        <v>280</v>
      </c>
      <c r="K427" s="53">
        <f aca="true" t="shared" si="33" ref="K427:K433">H427/I427</f>
        <v>2.175</v>
      </c>
      <c r="L427" s="52">
        <v>1218237</v>
      </c>
      <c r="M427" s="122">
        <v>132326</v>
      </c>
      <c r="N427" s="220">
        <f t="shared" si="32"/>
        <v>7.336733071950832</v>
      </c>
      <c r="O427" s="208"/>
    </row>
    <row r="428" spans="1:15" ht="15">
      <c r="A428" s="104">
        <v>425</v>
      </c>
      <c r="B428" s="219" t="s">
        <v>37</v>
      </c>
      <c r="C428" s="29">
        <v>39962</v>
      </c>
      <c r="D428" s="43" t="s">
        <v>112</v>
      </c>
      <c r="E428" s="137">
        <v>72</v>
      </c>
      <c r="F428" s="137">
        <v>1</v>
      </c>
      <c r="G428" s="137">
        <v>23</v>
      </c>
      <c r="H428" s="44">
        <v>516</v>
      </c>
      <c r="I428" s="40">
        <v>158</v>
      </c>
      <c r="J428" s="41">
        <f t="shared" si="31"/>
        <v>158</v>
      </c>
      <c r="K428" s="34">
        <f t="shared" si="33"/>
        <v>3.2658227848101267</v>
      </c>
      <c r="L428" s="45">
        <v>276947</v>
      </c>
      <c r="M428" s="42">
        <v>37748</v>
      </c>
      <c r="N428" s="220">
        <f t="shared" si="32"/>
        <v>8.614293629382615</v>
      </c>
      <c r="O428" s="201">
        <v>1</v>
      </c>
    </row>
    <row r="429" spans="1:15" ht="15">
      <c r="A429" s="104">
        <v>426</v>
      </c>
      <c r="B429" s="219" t="s">
        <v>58</v>
      </c>
      <c r="C429" s="29">
        <v>40158</v>
      </c>
      <c r="D429" s="37" t="s">
        <v>161</v>
      </c>
      <c r="E429" s="137">
        <v>141</v>
      </c>
      <c r="F429" s="137">
        <v>34</v>
      </c>
      <c r="G429" s="137">
        <v>5</v>
      </c>
      <c r="H429" s="31">
        <v>32443</v>
      </c>
      <c r="I429" s="32">
        <v>5335</v>
      </c>
      <c r="J429" s="33">
        <f t="shared" si="31"/>
        <v>156.91176470588235</v>
      </c>
      <c r="K429" s="38">
        <f t="shared" si="33"/>
        <v>6.08116213683224</v>
      </c>
      <c r="L429" s="35">
        <f>1607914+23244+32443</f>
        <v>1663601</v>
      </c>
      <c r="M429" s="36">
        <f>183968+3818+5335</f>
        <v>193121</v>
      </c>
      <c r="N429" s="220">
        <f t="shared" si="32"/>
        <v>8.528182556948098</v>
      </c>
      <c r="O429" s="201">
        <v>1</v>
      </c>
    </row>
    <row r="430" spans="1:15" ht="15">
      <c r="A430" s="104">
        <v>427</v>
      </c>
      <c r="B430" s="219" t="s">
        <v>58</v>
      </c>
      <c r="C430" s="29">
        <v>40158</v>
      </c>
      <c r="D430" s="39" t="s">
        <v>161</v>
      </c>
      <c r="E430" s="137">
        <v>141</v>
      </c>
      <c r="F430" s="137">
        <v>21</v>
      </c>
      <c r="G430" s="137">
        <v>6</v>
      </c>
      <c r="H430" s="31">
        <v>25994</v>
      </c>
      <c r="I430" s="40">
        <v>4998</v>
      </c>
      <c r="J430" s="41">
        <f t="shared" si="31"/>
        <v>238</v>
      </c>
      <c r="K430" s="34">
        <f t="shared" si="33"/>
        <v>5.200880352140857</v>
      </c>
      <c r="L430" s="35">
        <f>1607914+23244+32443+25994</f>
        <v>1689595</v>
      </c>
      <c r="M430" s="42">
        <f>183968+3818+5335+4998</f>
        <v>198119</v>
      </c>
      <c r="N430" s="220">
        <f t="shared" si="32"/>
        <v>8.686259891578713</v>
      </c>
      <c r="O430" s="199">
        <v>1</v>
      </c>
    </row>
    <row r="431" spans="1:15" ht="15">
      <c r="A431" s="104">
        <v>428</v>
      </c>
      <c r="B431" s="219" t="s">
        <v>58</v>
      </c>
      <c r="C431" s="29">
        <v>40158</v>
      </c>
      <c r="D431" s="30" t="s">
        <v>161</v>
      </c>
      <c r="E431" s="137">
        <v>141</v>
      </c>
      <c r="F431" s="137">
        <v>27</v>
      </c>
      <c r="G431" s="137">
        <v>4</v>
      </c>
      <c r="H431" s="31">
        <v>23244</v>
      </c>
      <c r="I431" s="32">
        <v>3818</v>
      </c>
      <c r="J431" s="33">
        <f t="shared" si="31"/>
        <v>141.40740740740742</v>
      </c>
      <c r="K431" s="34">
        <f t="shared" si="33"/>
        <v>6.088004190675746</v>
      </c>
      <c r="L431" s="35">
        <f>1607914+23244</f>
        <v>1631158</v>
      </c>
      <c r="M431" s="36">
        <f>183968+3818</f>
        <v>187786</v>
      </c>
      <c r="N431" s="220">
        <f t="shared" si="32"/>
        <v>8.504841674974076</v>
      </c>
      <c r="O431" s="202">
        <v>1</v>
      </c>
    </row>
    <row r="432" spans="1:15" ht="15">
      <c r="A432" s="104">
        <v>429</v>
      </c>
      <c r="B432" s="219" t="s">
        <v>58</v>
      </c>
      <c r="C432" s="29">
        <v>40158</v>
      </c>
      <c r="D432" s="43" t="s">
        <v>161</v>
      </c>
      <c r="E432" s="137">
        <v>141</v>
      </c>
      <c r="F432" s="137">
        <v>8</v>
      </c>
      <c r="G432" s="137">
        <v>7</v>
      </c>
      <c r="H432" s="44">
        <v>8150</v>
      </c>
      <c r="I432" s="40">
        <v>1502</v>
      </c>
      <c r="J432" s="41">
        <f t="shared" si="31"/>
        <v>187.75</v>
      </c>
      <c r="K432" s="34">
        <f t="shared" si="33"/>
        <v>5.426098535286285</v>
      </c>
      <c r="L432" s="45">
        <f>1607914+23244+32443+25994+8150</f>
        <v>1697745</v>
      </c>
      <c r="M432" s="42">
        <f>183968+3818+5335+4998+1502</f>
        <v>199621</v>
      </c>
      <c r="N432" s="221">
        <f t="shared" si="32"/>
        <v>8.499817548349688</v>
      </c>
      <c r="O432" s="201">
        <v>1</v>
      </c>
    </row>
    <row r="433" spans="1:15" ht="15">
      <c r="A433" s="104">
        <v>430</v>
      </c>
      <c r="B433" s="219" t="s">
        <v>58</v>
      </c>
      <c r="C433" s="46">
        <v>40158</v>
      </c>
      <c r="D433" s="37" t="s">
        <v>161</v>
      </c>
      <c r="E433" s="138">
        <v>141</v>
      </c>
      <c r="F433" s="138">
        <v>4</v>
      </c>
      <c r="G433" s="138">
        <v>8</v>
      </c>
      <c r="H433" s="76">
        <v>2669</v>
      </c>
      <c r="I433" s="77">
        <v>432</v>
      </c>
      <c r="J433" s="101">
        <f t="shared" si="31"/>
        <v>108</v>
      </c>
      <c r="K433" s="51">
        <f t="shared" si="33"/>
        <v>6.1782407407407405</v>
      </c>
      <c r="L433" s="78">
        <f>1607914+23244+32443+25994+8150+2669</f>
        <v>1700414</v>
      </c>
      <c r="M433" s="101">
        <f>183968+3818+5335+4998+1502+432</f>
        <v>200053</v>
      </c>
      <c r="N433" s="221">
        <f>L434/M434</f>
        <v>8.49824170554562</v>
      </c>
      <c r="O433" s="199">
        <v>1</v>
      </c>
    </row>
    <row r="434" spans="1:15" ht="15">
      <c r="A434" s="104">
        <v>431</v>
      </c>
      <c r="B434" s="222" t="s">
        <v>58</v>
      </c>
      <c r="C434" s="46">
        <v>40158</v>
      </c>
      <c r="D434" s="37" t="s">
        <v>161</v>
      </c>
      <c r="E434" s="138">
        <v>141</v>
      </c>
      <c r="F434" s="138">
        <v>3</v>
      </c>
      <c r="G434" s="138">
        <v>9</v>
      </c>
      <c r="H434" s="111">
        <v>883</v>
      </c>
      <c r="I434" s="112">
        <v>141</v>
      </c>
      <c r="J434" s="101">
        <f t="shared" si="31"/>
        <v>47</v>
      </c>
      <c r="K434" s="51">
        <f>+H434/I434</f>
        <v>6.26241134751773</v>
      </c>
      <c r="L434" s="78">
        <f>1700414+883</f>
        <v>1701297</v>
      </c>
      <c r="M434" s="101">
        <f>200053+141</f>
        <v>200194</v>
      </c>
      <c r="N434" s="221">
        <f>+L435/M435</f>
        <v>8.494355724124164</v>
      </c>
      <c r="O434" s="202"/>
    </row>
    <row r="435" spans="1:15" ht="15">
      <c r="A435" s="104">
        <v>432</v>
      </c>
      <c r="B435" s="222" t="s">
        <v>58</v>
      </c>
      <c r="C435" s="46">
        <v>40158</v>
      </c>
      <c r="D435" s="37" t="s">
        <v>161</v>
      </c>
      <c r="E435" s="138">
        <v>141</v>
      </c>
      <c r="F435" s="138">
        <v>1</v>
      </c>
      <c r="G435" s="138">
        <v>10</v>
      </c>
      <c r="H435" s="115">
        <v>803</v>
      </c>
      <c r="I435" s="116">
        <v>186</v>
      </c>
      <c r="J435" s="122">
        <f t="shared" si="31"/>
        <v>186</v>
      </c>
      <c r="K435" s="53">
        <f>H435/I435</f>
        <v>4.317204301075269</v>
      </c>
      <c r="L435" s="52">
        <v>1702099</v>
      </c>
      <c r="M435" s="122">
        <v>200380</v>
      </c>
      <c r="N435" s="221">
        <f>+L436/M436</f>
        <v>8.491651289212507</v>
      </c>
      <c r="O435" s="200"/>
    </row>
    <row r="436" spans="1:15" ht="15">
      <c r="A436" s="104">
        <v>433</v>
      </c>
      <c r="B436" s="222" t="s">
        <v>58</v>
      </c>
      <c r="C436" s="46">
        <v>40158</v>
      </c>
      <c r="D436" s="37" t="s">
        <v>161</v>
      </c>
      <c r="E436" s="138">
        <v>141</v>
      </c>
      <c r="F436" s="138">
        <v>1</v>
      </c>
      <c r="G436" s="138">
        <v>11</v>
      </c>
      <c r="H436" s="115">
        <v>562</v>
      </c>
      <c r="I436" s="116">
        <v>130</v>
      </c>
      <c r="J436" s="122">
        <f t="shared" si="31"/>
        <v>130</v>
      </c>
      <c r="K436" s="53">
        <f>H436/I436</f>
        <v>4.323076923076923</v>
      </c>
      <c r="L436" s="52">
        <v>1702661</v>
      </c>
      <c r="M436" s="122">
        <v>200510</v>
      </c>
      <c r="N436" s="220">
        <f>L437/M437</f>
        <v>7.9497653835882955</v>
      </c>
      <c r="O436" s="199"/>
    </row>
    <row r="437" spans="1:15" ht="15">
      <c r="A437" s="104">
        <v>434</v>
      </c>
      <c r="B437" s="223" t="s">
        <v>121</v>
      </c>
      <c r="C437" s="62">
        <v>39920</v>
      </c>
      <c r="D437" s="63" t="s">
        <v>163</v>
      </c>
      <c r="E437" s="139">
        <v>133</v>
      </c>
      <c r="F437" s="139">
        <v>1</v>
      </c>
      <c r="G437" s="139">
        <v>20</v>
      </c>
      <c r="H437" s="44">
        <v>1780</v>
      </c>
      <c r="I437" s="40">
        <v>445</v>
      </c>
      <c r="J437" s="41">
        <f>(I437/F437)</f>
        <v>445</v>
      </c>
      <c r="K437" s="51">
        <f>+H437/I437</f>
        <v>4</v>
      </c>
      <c r="L437" s="45">
        <f>814797.5+158602+44526+7105.5+1443+731+330+3273+1356+388+2317+2290.5+138+112.5+37+1136+51+98+1424+1780</f>
        <v>1041936</v>
      </c>
      <c r="M437" s="42">
        <f>100614+19257+6285+1176+234+205+67+783+301+48+521+500+23+18+9+170+23+30+356+445</f>
        <v>131065</v>
      </c>
      <c r="N437" s="221">
        <f>L438/M438</f>
        <v>7.936400273743441</v>
      </c>
      <c r="O437" s="201"/>
    </row>
    <row r="438" spans="1:15" ht="15">
      <c r="A438" s="104">
        <v>435</v>
      </c>
      <c r="B438" s="222" t="s">
        <v>121</v>
      </c>
      <c r="C438" s="117">
        <v>39920</v>
      </c>
      <c r="D438" s="37" t="s">
        <v>163</v>
      </c>
      <c r="E438" s="133">
        <v>133</v>
      </c>
      <c r="F438" s="133">
        <v>1</v>
      </c>
      <c r="G438" s="133">
        <v>21</v>
      </c>
      <c r="H438" s="119">
        <v>1780</v>
      </c>
      <c r="I438" s="120">
        <v>445</v>
      </c>
      <c r="J438" s="122">
        <f>(I438/F438)</f>
        <v>445</v>
      </c>
      <c r="K438" s="53">
        <f>H438/I438</f>
        <v>4</v>
      </c>
      <c r="L438" s="52">
        <f>814797.5+158602+44526+7105.5+1443+731+330+3273+1356+388+2317+2290.5+138+112.5+37+1136+51+98+1424+1780+1780</f>
        <v>1043716</v>
      </c>
      <c r="M438" s="122">
        <f>100614+19257+6285+1176+234+205+67+783+301+48+521+500+23+18+9+170+23+30+356+445+445</f>
        <v>131510</v>
      </c>
      <c r="N438" s="221">
        <f>+L439/M439</f>
        <v>7.921342271711548</v>
      </c>
      <c r="O438" s="201"/>
    </row>
    <row r="439" spans="1:15" ht="15">
      <c r="A439" s="104">
        <v>436</v>
      </c>
      <c r="B439" s="219" t="s">
        <v>121</v>
      </c>
      <c r="C439" s="46">
        <v>39920</v>
      </c>
      <c r="D439" s="37" t="s">
        <v>163</v>
      </c>
      <c r="E439" s="133">
        <v>133</v>
      </c>
      <c r="F439" s="133">
        <v>1</v>
      </c>
      <c r="G439" s="133">
        <v>22</v>
      </c>
      <c r="H439" s="337">
        <v>2020</v>
      </c>
      <c r="I439" s="338">
        <v>505</v>
      </c>
      <c r="J439" s="122">
        <f>(I439/F439)</f>
        <v>505</v>
      </c>
      <c r="K439" s="53">
        <f>H439/I439</f>
        <v>4</v>
      </c>
      <c r="L439" s="52">
        <f>814797.5+158602+44526+7105.5+1443+731+330+3273+1356+388+2317+2290.5+138+112.5+37+1136+51+98+1424+1780+1780+2020</f>
        <v>1045736</v>
      </c>
      <c r="M439" s="122">
        <f>100614+19257+6285+1176+234+205+67+783+301+48+521+500+23+18+9+170+23+30+356+445+445+505</f>
        <v>132015</v>
      </c>
      <c r="N439" s="280">
        <f>L439/M439</f>
        <v>7.921342271711548</v>
      </c>
      <c r="O439" s="203"/>
    </row>
    <row r="440" spans="1:15" ht="15">
      <c r="A440" s="104">
        <v>437</v>
      </c>
      <c r="B440" s="222" t="s">
        <v>186</v>
      </c>
      <c r="C440" s="117">
        <v>40074</v>
      </c>
      <c r="D440" s="37" t="s">
        <v>165</v>
      </c>
      <c r="E440" s="133">
        <v>142</v>
      </c>
      <c r="F440" s="133">
        <v>2</v>
      </c>
      <c r="G440" s="133">
        <v>13</v>
      </c>
      <c r="H440" s="119">
        <v>2077</v>
      </c>
      <c r="I440" s="120">
        <v>415</v>
      </c>
      <c r="J440" s="122">
        <f>I440/F440</f>
        <v>207.5</v>
      </c>
      <c r="K440" s="53">
        <f>H440/I440</f>
        <v>5.004819277108433</v>
      </c>
      <c r="L440" s="52">
        <v>812953.5</v>
      </c>
      <c r="M440" s="122">
        <v>102837</v>
      </c>
      <c r="N440" s="221">
        <f>+L441/M441</f>
        <v>7.917014899142762</v>
      </c>
      <c r="O440" s="200"/>
    </row>
    <row r="441" spans="1:15" ht="15">
      <c r="A441" s="104">
        <v>438</v>
      </c>
      <c r="B441" s="222" t="s">
        <v>186</v>
      </c>
      <c r="C441" s="46">
        <v>40074</v>
      </c>
      <c r="D441" s="37" t="s">
        <v>165</v>
      </c>
      <c r="E441" s="138">
        <v>142</v>
      </c>
      <c r="F441" s="138">
        <v>1</v>
      </c>
      <c r="G441" s="138">
        <v>12</v>
      </c>
      <c r="H441" s="115">
        <v>220</v>
      </c>
      <c r="I441" s="116">
        <v>31</v>
      </c>
      <c r="J441" s="122">
        <f>I441/F441</f>
        <v>31</v>
      </c>
      <c r="K441" s="53">
        <f>H441/I441</f>
        <v>7.096774193548387</v>
      </c>
      <c r="L441" s="52">
        <v>810876.5</v>
      </c>
      <c r="M441" s="122">
        <v>102422</v>
      </c>
      <c r="N441" s="224">
        <f>IF(L442&lt;&gt;0,L442/M442,"")</f>
        <v>7.917263236026604</v>
      </c>
      <c r="O441" s="201"/>
    </row>
    <row r="442" spans="1:15" ht="15">
      <c r="A442" s="104">
        <v>439</v>
      </c>
      <c r="B442" s="219" t="s">
        <v>25</v>
      </c>
      <c r="C442" s="29">
        <v>40074</v>
      </c>
      <c r="D442" s="37" t="s">
        <v>165</v>
      </c>
      <c r="E442" s="137">
        <v>142</v>
      </c>
      <c r="F442" s="137">
        <v>1</v>
      </c>
      <c r="G442" s="137">
        <v>11</v>
      </c>
      <c r="H442" s="54">
        <v>203</v>
      </c>
      <c r="I442" s="55">
        <v>35</v>
      </c>
      <c r="J442" s="56">
        <f>IF(H442&lt;&gt;0,I442/F442,"")</f>
        <v>35</v>
      </c>
      <c r="K442" s="57">
        <f>IF(H442&lt;&gt;0,H442/I442,"")</f>
        <v>5.8</v>
      </c>
      <c r="L442" s="58">
        <v>810656.5</v>
      </c>
      <c r="M442" s="101">
        <v>102391</v>
      </c>
      <c r="N442" s="221">
        <f>L443/M443</f>
        <v>6.628820520573488</v>
      </c>
      <c r="O442" s="211">
        <v>1</v>
      </c>
    </row>
    <row r="443" spans="1:15" ht="15">
      <c r="A443" s="104">
        <v>440</v>
      </c>
      <c r="B443" s="222" t="s">
        <v>224</v>
      </c>
      <c r="C443" s="117">
        <v>39766</v>
      </c>
      <c r="D443" s="37" t="s">
        <v>168</v>
      </c>
      <c r="E443" s="133">
        <v>50</v>
      </c>
      <c r="F443" s="133">
        <v>2</v>
      </c>
      <c r="G443" s="133">
        <v>33</v>
      </c>
      <c r="H443" s="119">
        <v>2372</v>
      </c>
      <c r="I443" s="120">
        <v>474</v>
      </c>
      <c r="J443" s="122">
        <f>I443/F443</f>
        <v>237</v>
      </c>
      <c r="K443" s="53">
        <f>H443/I443</f>
        <v>5.0042194092827</v>
      </c>
      <c r="L443" s="52">
        <v>263078</v>
      </c>
      <c r="M443" s="122">
        <v>39687</v>
      </c>
      <c r="N443" s="221">
        <f>+L444/M444</f>
        <v>7.406699820324224</v>
      </c>
      <c r="O443" s="213">
        <v>1</v>
      </c>
    </row>
    <row r="444" spans="1:15" ht="15">
      <c r="A444" s="104">
        <v>441</v>
      </c>
      <c r="B444" s="227" t="s">
        <v>257</v>
      </c>
      <c r="C444" s="46">
        <v>39801</v>
      </c>
      <c r="D444" s="37" t="s">
        <v>163</v>
      </c>
      <c r="E444" s="133">
        <v>42</v>
      </c>
      <c r="F444" s="133">
        <v>1</v>
      </c>
      <c r="G444" s="133">
        <v>33</v>
      </c>
      <c r="H444" s="119">
        <v>2020</v>
      </c>
      <c r="I444" s="120">
        <v>505</v>
      </c>
      <c r="J444" s="122">
        <f>I444/F444</f>
        <v>505</v>
      </c>
      <c r="K444" s="53">
        <f>H444/I444</f>
        <v>4</v>
      </c>
      <c r="L444" s="52">
        <f>295344+204961.5+145464.5+116108.5+111972.5+49984+26327+32042+18579+20005+19180+15980+2686.5+3166.5+366+13433+4493+735.5+607.5+2528+83+198+248+2348+825+2700+2268+393+2002+2063+343+1188+2020</f>
        <v>1100643</v>
      </c>
      <c r="M444" s="122">
        <f>36142+24747+19417+15404+14719+7567+3314+5289+3173+3275+3534+2826+540+724+52+2536+882+130+150+615+21+66+51+497+165+675+506+78+241+404+59+297+505</f>
        <v>148601</v>
      </c>
      <c r="N444" s="280">
        <f>+L444/M444</f>
        <v>7.406699820324224</v>
      </c>
      <c r="O444" s="350">
        <v>1</v>
      </c>
    </row>
    <row r="445" spans="1:15" ht="15">
      <c r="A445" s="104">
        <v>442</v>
      </c>
      <c r="B445" s="219" t="s">
        <v>257</v>
      </c>
      <c r="C445" s="46">
        <v>39801</v>
      </c>
      <c r="D445" s="37" t="s">
        <v>163</v>
      </c>
      <c r="E445" s="133">
        <v>42</v>
      </c>
      <c r="F445" s="133">
        <v>1</v>
      </c>
      <c r="G445" s="133">
        <v>34</v>
      </c>
      <c r="H445" s="119">
        <v>398.46</v>
      </c>
      <c r="I445" s="120">
        <v>86</v>
      </c>
      <c r="J445" s="122">
        <f>I445/F445</f>
        <v>86</v>
      </c>
      <c r="K445" s="53">
        <f>+H445/I445</f>
        <v>4.633255813953488</v>
      </c>
      <c r="L445" s="52">
        <f>295344+204961.5+145464.5+116108.5+111972.5+49984+26327+32042+18579+20005+19180+15980+2686.5+3166.5+366+13433+4493+735.5+607.5+2528+83+198+248+2348+825+2700+2268+393+2002+2063+343+1188+2020+398.46</f>
        <v>1101041.46</v>
      </c>
      <c r="M445" s="122">
        <f>36142+24747+19417+15404+14719+7567+3314+5289+3173+3275+3534+2826+540+724+52+2536+882+130+150+615+21+66+51+497+165+675+506+78+241+404+59+297+505+86</f>
        <v>148687</v>
      </c>
      <c r="N445" s="280">
        <f>+L445/M445</f>
        <v>7.405095670771487</v>
      </c>
      <c r="O445" s="203">
        <v>1</v>
      </c>
    </row>
    <row r="446" spans="1:15" ht="15">
      <c r="A446" s="104">
        <v>443</v>
      </c>
      <c r="B446" s="219" t="s">
        <v>257</v>
      </c>
      <c r="C446" s="46">
        <v>39801</v>
      </c>
      <c r="D446" s="37" t="s">
        <v>163</v>
      </c>
      <c r="E446" s="133">
        <v>42</v>
      </c>
      <c r="F446" s="133">
        <v>1</v>
      </c>
      <c r="G446" s="133">
        <v>35</v>
      </c>
      <c r="H446" s="337">
        <v>291.4</v>
      </c>
      <c r="I446" s="338">
        <v>63</v>
      </c>
      <c r="J446" s="122">
        <f>(I446/F446)</f>
        <v>63</v>
      </c>
      <c r="K446" s="53">
        <f aca="true" t="shared" si="34" ref="K446:K457">H446/I446</f>
        <v>4.625396825396825</v>
      </c>
      <c r="L446" s="52">
        <f>295344+204961.5+145464.5+116108.5+111972.5+49984+26327+32042+18579+20005+19180+15980+2686.5+3166.5+366+13433+4493+735.5+607.5+2528+83+198+248+2348+825+2700+2268+393+2002+2063+343+1188+2020+398.46+291.4</f>
        <v>1101332.8599999999</v>
      </c>
      <c r="M446" s="122">
        <f>36142+24747+19417+15404+14719+7567+3314+5289+3173+3275+3534+2826+540+724+52+2536+882+130+150+615+21+66+51+497+165+675+506+78+241+404+59+297+505+86+63</f>
        <v>148750</v>
      </c>
      <c r="N446" s="280">
        <f>L446/M446</f>
        <v>7.403918386554621</v>
      </c>
      <c r="O446" s="203">
        <v>1</v>
      </c>
    </row>
    <row r="447" spans="1:15" ht="15">
      <c r="A447" s="104">
        <v>444</v>
      </c>
      <c r="B447" s="227" t="s">
        <v>225</v>
      </c>
      <c r="C447" s="46">
        <v>40074</v>
      </c>
      <c r="D447" s="47" t="s">
        <v>49</v>
      </c>
      <c r="E447" s="133">
        <v>201</v>
      </c>
      <c r="F447" s="133">
        <v>1</v>
      </c>
      <c r="G447" s="133">
        <v>11</v>
      </c>
      <c r="H447" s="119">
        <v>1918.5</v>
      </c>
      <c r="I447" s="120">
        <v>320</v>
      </c>
      <c r="J447" s="122">
        <f>I447/F447</f>
        <v>320</v>
      </c>
      <c r="K447" s="53">
        <f t="shared" si="34"/>
        <v>5.9953125</v>
      </c>
      <c r="L447" s="52">
        <f>492395.5+172608.75+93279.75+41455.5+4013+0.5+709.5+90+170+100+2036+1918+0.5</f>
        <v>808777</v>
      </c>
      <c r="M447" s="122">
        <f>60122+23227+13952+6612+619+91+9+17+10+407+320</f>
        <v>105386</v>
      </c>
      <c r="N447" s="221">
        <f>+L448/M448</f>
        <v>10.148082785175678</v>
      </c>
      <c r="O447" s="202"/>
    </row>
    <row r="448" spans="1:15" ht="15">
      <c r="A448" s="104">
        <v>445</v>
      </c>
      <c r="B448" s="222" t="s">
        <v>187</v>
      </c>
      <c r="C448" s="46">
        <v>40053</v>
      </c>
      <c r="D448" s="37" t="s">
        <v>163</v>
      </c>
      <c r="E448" s="138">
        <v>14</v>
      </c>
      <c r="F448" s="138">
        <v>1</v>
      </c>
      <c r="G448" s="138">
        <v>9</v>
      </c>
      <c r="H448" s="115">
        <v>83</v>
      </c>
      <c r="I448" s="116">
        <v>20</v>
      </c>
      <c r="J448" s="122">
        <f>I448/F448</f>
        <v>20</v>
      </c>
      <c r="K448" s="53">
        <f t="shared" si="34"/>
        <v>4.15</v>
      </c>
      <c r="L448" s="52">
        <f>46744+27773.5+29652+15092+1850+3126+1717.5+468+83</f>
        <v>126506</v>
      </c>
      <c r="M448" s="122">
        <f>3724+2772+2752+1903+308+472+380+135+20</f>
        <v>12466</v>
      </c>
      <c r="N448" s="221">
        <f>L449/M449</f>
        <v>10.137776353732779</v>
      </c>
      <c r="O448" s="199"/>
    </row>
    <row r="449" spans="1:15" ht="15">
      <c r="A449" s="104">
        <v>446</v>
      </c>
      <c r="B449" s="222" t="s">
        <v>187</v>
      </c>
      <c r="C449" s="117">
        <v>40053</v>
      </c>
      <c r="D449" s="37" t="s">
        <v>163</v>
      </c>
      <c r="E449" s="133">
        <v>14</v>
      </c>
      <c r="F449" s="133">
        <v>1</v>
      </c>
      <c r="G449" s="133">
        <v>10</v>
      </c>
      <c r="H449" s="119">
        <v>54</v>
      </c>
      <c r="I449" s="120">
        <v>18</v>
      </c>
      <c r="J449" s="122">
        <f>(I449/F449)</f>
        <v>18</v>
      </c>
      <c r="K449" s="53">
        <f t="shared" si="34"/>
        <v>3</v>
      </c>
      <c r="L449" s="52">
        <f>46744+27773.5+29652+15092+1850+3126+1717.5+468+83+54</f>
        <v>126560</v>
      </c>
      <c r="M449" s="122">
        <f>3724+2772+2752+1903+308+472+380+135+20+18</f>
        <v>12484</v>
      </c>
      <c r="N449" s="220">
        <f aca="true" t="shared" si="35" ref="N449:N458">+L450/M450</f>
        <v>8.884296940780242</v>
      </c>
      <c r="O449" s="201"/>
    </row>
    <row r="450" spans="1:15" ht="15">
      <c r="A450" s="104">
        <v>447</v>
      </c>
      <c r="B450" s="219" t="s">
        <v>5</v>
      </c>
      <c r="C450" s="29">
        <v>40165</v>
      </c>
      <c r="D450" s="39" t="s">
        <v>161</v>
      </c>
      <c r="E450" s="137">
        <v>36</v>
      </c>
      <c r="F450" s="137">
        <v>8</v>
      </c>
      <c r="G450" s="137">
        <v>4</v>
      </c>
      <c r="H450" s="31">
        <v>7119</v>
      </c>
      <c r="I450" s="40">
        <v>1206</v>
      </c>
      <c r="J450" s="41">
        <f aca="true" t="shared" si="36" ref="J450:J457">I450/F450</f>
        <v>150.75</v>
      </c>
      <c r="K450" s="34">
        <f t="shared" si="34"/>
        <v>5.902985074626866</v>
      </c>
      <c r="L450" s="35">
        <f>119500+7119</f>
        <v>126619</v>
      </c>
      <c r="M450" s="42">
        <f>13046+1206</f>
        <v>14252</v>
      </c>
      <c r="N450" s="220">
        <f t="shared" si="35"/>
        <v>8.822309224534653</v>
      </c>
      <c r="O450" s="202">
        <v>1</v>
      </c>
    </row>
    <row r="451" spans="1:15" ht="15">
      <c r="A451" s="104">
        <v>448</v>
      </c>
      <c r="B451" s="219" t="s">
        <v>5</v>
      </c>
      <c r="C451" s="29">
        <v>40165</v>
      </c>
      <c r="D451" s="43" t="s">
        <v>161</v>
      </c>
      <c r="E451" s="137">
        <v>36</v>
      </c>
      <c r="F451" s="137">
        <v>5</v>
      </c>
      <c r="G451" s="137">
        <v>5</v>
      </c>
      <c r="H451" s="44">
        <v>1825</v>
      </c>
      <c r="I451" s="40">
        <v>307</v>
      </c>
      <c r="J451" s="41">
        <f t="shared" si="36"/>
        <v>61.4</v>
      </c>
      <c r="K451" s="34">
        <f t="shared" si="34"/>
        <v>5.944625407166124</v>
      </c>
      <c r="L451" s="45">
        <f>119500+7119+1825</f>
        <v>128444</v>
      </c>
      <c r="M451" s="42">
        <f>13046+1206+307</f>
        <v>14559</v>
      </c>
      <c r="N451" s="220">
        <f t="shared" si="35"/>
        <v>9.159895753487659</v>
      </c>
      <c r="O451" s="201">
        <v>1</v>
      </c>
    </row>
    <row r="452" spans="1:15" ht="15">
      <c r="A452" s="104">
        <v>449</v>
      </c>
      <c r="B452" s="219" t="s">
        <v>137</v>
      </c>
      <c r="C452" s="29">
        <v>40165</v>
      </c>
      <c r="D452" s="30" t="s">
        <v>161</v>
      </c>
      <c r="E452" s="137">
        <v>36</v>
      </c>
      <c r="F452" s="137">
        <v>1</v>
      </c>
      <c r="G452" s="137">
        <v>3</v>
      </c>
      <c r="H452" s="31">
        <v>852</v>
      </c>
      <c r="I452" s="32">
        <v>142</v>
      </c>
      <c r="J452" s="33">
        <f t="shared" si="36"/>
        <v>142</v>
      </c>
      <c r="K452" s="34">
        <f t="shared" si="34"/>
        <v>6</v>
      </c>
      <c r="L452" s="35">
        <v>119500</v>
      </c>
      <c r="M452" s="36">
        <v>13046</v>
      </c>
      <c r="N452" s="221">
        <f t="shared" si="35"/>
        <v>8.813629851968074</v>
      </c>
      <c r="O452" s="201">
        <v>1</v>
      </c>
    </row>
    <row r="453" spans="1:15" ht="15">
      <c r="A453" s="104">
        <v>450</v>
      </c>
      <c r="B453" s="219" t="s">
        <v>5</v>
      </c>
      <c r="C453" s="46">
        <v>40165</v>
      </c>
      <c r="D453" s="37" t="s">
        <v>161</v>
      </c>
      <c r="E453" s="138">
        <v>36</v>
      </c>
      <c r="F453" s="138">
        <v>2</v>
      </c>
      <c r="G453" s="138">
        <v>6</v>
      </c>
      <c r="H453" s="76">
        <v>755</v>
      </c>
      <c r="I453" s="77">
        <v>100</v>
      </c>
      <c r="J453" s="101">
        <f t="shared" si="36"/>
        <v>50</v>
      </c>
      <c r="K453" s="51">
        <f t="shared" si="34"/>
        <v>7.55</v>
      </c>
      <c r="L453" s="78">
        <f>119500+7119+1825+755</f>
        <v>129199</v>
      </c>
      <c r="M453" s="101">
        <f>13046+1206+307+100</f>
        <v>14659</v>
      </c>
      <c r="N453" s="221">
        <f t="shared" si="35"/>
        <v>8.807668732547844</v>
      </c>
      <c r="O453" s="200">
        <v>1</v>
      </c>
    </row>
    <row r="454" spans="1:15" ht="15">
      <c r="A454" s="104">
        <v>451</v>
      </c>
      <c r="B454" s="222" t="s">
        <v>5</v>
      </c>
      <c r="C454" s="46">
        <v>40165</v>
      </c>
      <c r="D454" s="37" t="s">
        <v>161</v>
      </c>
      <c r="E454" s="138">
        <v>36</v>
      </c>
      <c r="F454" s="138">
        <v>1</v>
      </c>
      <c r="G454" s="138">
        <v>7</v>
      </c>
      <c r="H454" s="111">
        <v>124</v>
      </c>
      <c r="I454" s="112">
        <v>24</v>
      </c>
      <c r="J454" s="101">
        <f t="shared" si="36"/>
        <v>24</v>
      </c>
      <c r="K454" s="51">
        <f t="shared" si="34"/>
        <v>5.166666666666667</v>
      </c>
      <c r="L454" s="78">
        <f>129199+124</f>
        <v>129323</v>
      </c>
      <c r="M454" s="101">
        <f>14659+24</f>
        <v>14683</v>
      </c>
      <c r="N454" s="221">
        <f t="shared" si="35"/>
        <v>8.803809523809523</v>
      </c>
      <c r="O454" s="199">
        <v>1</v>
      </c>
    </row>
    <row r="455" spans="1:15" ht="15">
      <c r="A455" s="104">
        <v>452</v>
      </c>
      <c r="B455" s="222" t="s">
        <v>5</v>
      </c>
      <c r="C455" s="46">
        <v>40165</v>
      </c>
      <c r="D455" s="37" t="s">
        <v>161</v>
      </c>
      <c r="E455" s="138">
        <v>36</v>
      </c>
      <c r="F455" s="138">
        <v>1</v>
      </c>
      <c r="G455" s="138">
        <v>8</v>
      </c>
      <c r="H455" s="115">
        <v>93</v>
      </c>
      <c r="I455" s="116">
        <v>17</v>
      </c>
      <c r="J455" s="122">
        <f t="shared" si="36"/>
        <v>17</v>
      </c>
      <c r="K455" s="53">
        <f t="shared" si="34"/>
        <v>5.470588235294118</v>
      </c>
      <c r="L455" s="52">
        <v>129416</v>
      </c>
      <c r="M455" s="122">
        <v>14700</v>
      </c>
      <c r="N455" s="221">
        <f t="shared" si="35"/>
        <v>8.642736156351791</v>
      </c>
      <c r="O455" s="213">
        <v>1</v>
      </c>
    </row>
    <row r="456" spans="1:15" ht="15">
      <c r="A456" s="104">
        <v>453</v>
      </c>
      <c r="B456" s="227" t="s">
        <v>5</v>
      </c>
      <c r="C456" s="117">
        <v>40165</v>
      </c>
      <c r="D456" s="37" t="s">
        <v>161</v>
      </c>
      <c r="E456" s="133">
        <v>36</v>
      </c>
      <c r="F456" s="133">
        <v>1</v>
      </c>
      <c r="G456" s="133">
        <v>9</v>
      </c>
      <c r="H456" s="119">
        <v>3250</v>
      </c>
      <c r="I456" s="120">
        <v>650</v>
      </c>
      <c r="J456" s="122">
        <f t="shared" si="36"/>
        <v>650</v>
      </c>
      <c r="K456" s="53">
        <f t="shared" si="34"/>
        <v>5</v>
      </c>
      <c r="L456" s="52">
        <f>129416+3250</f>
        <v>132666</v>
      </c>
      <c r="M456" s="122">
        <f>14700+650</f>
        <v>15350</v>
      </c>
      <c r="N456" s="220">
        <f t="shared" si="35"/>
        <v>8.587027651247835</v>
      </c>
      <c r="O456" s="203">
        <v>1</v>
      </c>
    </row>
    <row r="457" spans="1:16" s="271" customFormat="1" ht="15">
      <c r="A457" s="104">
        <v>454</v>
      </c>
      <c r="B457" s="219" t="s">
        <v>5</v>
      </c>
      <c r="C457" s="29">
        <v>40165</v>
      </c>
      <c r="D457" s="39" t="s">
        <v>161</v>
      </c>
      <c r="E457" s="137">
        <v>36</v>
      </c>
      <c r="F457" s="137">
        <v>1</v>
      </c>
      <c r="G457" s="137">
        <v>10</v>
      </c>
      <c r="H457" s="31">
        <v>1180</v>
      </c>
      <c r="I457" s="40">
        <v>237</v>
      </c>
      <c r="J457" s="41">
        <f t="shared" si="36"/>
        <v>237</v>
      </c>
      <c r="K457" s="34">
        <f t="shared" si="34"/>
        <v>4.9789029535864975</v>
      </c>
      <c r="L457" s="35">
        <f>129416+3250+1180</f>
        <v>133846</v>
      </c>
      <c r="M457" s="42">
        <f>14700+650+237</f>
        <v>15587</v>
      </c>
      <c r="N457" s="221">
        <f t="shared" si="35"/>
        <v>12.39297124600639</v>
      </c>
      <c r="O457" s="201">
        <v>1</v>
      </c>
      <c r="P457" s="274"/>
    </row>
    <row r="458" spans="1:16" s="271" customFormat="1" ht="15">
      <c r="A458" s="104">
        <v>455</v>
      </c>
      <c r="B458" s="222" t="s">
        <v>124</v>
      </c>
      <c r="C458" s="46">
        <v>40088</v>
      </c>
      <c r="D458" s="37" t="s">
        <v>112</v>
      </c>
      <c r="E458" s="138">
        <v>5</v>
      </c>
      <c r="F458" s="138">
        <v>4</v>
      </c>
      <c r="G458" s="138">
        <v>6</v>
      </c>
      <c r="H458" s="76">
        <v>898</v>
      </c>
      <c r="I458" s="77">
        <v>104</v>
      </c>
      <c r="J458" s="101">
        <f>+I458/F458</f>
        <v>26</v>
      </c>
      <c r="K458" s="51">
        <f>+H458/I458</f>
        <v>8.634615384615385</v>
      </c>
      <c r="L458" s="78">
        <v>11637</v>
      </c>
      <c r="M458" s="101">
        <v>939</v>
      </c>
      <c r="N458" s="221">
        <f t="shared" si="35"/>
        <v>7.166826499884179</v>
      </c>
      <c r="O458" s="199">
        <v>1</v>
      </c>
      <c r="P458" s="274"/>
    </row>
    <row r="459" spans="1:16" s="271" customFormat="1" ht="15">
      <c r="A459" s="104">
        <v>456</v>
      </c>
      <c r="B459" s="219" t="s">
        <v>134</v>
      </c>
      <c r="C459" s="46">
        <v>39703</v>
      </c>
      <c r="D459" s="37" t="s">
        <v>163</v>
      </c>
      <c r="E459" s="133">
        <v>6</v>
      </c>
      <c r="F459" s="133">
        <v>1</v>
      </c>
      <c r="G459" s="133">
        <v>19</v>
      </c>
      <c r="H459" s="119">
        <v>75.88</v>
      </c>
      <c r="I459" s="120">
        <v>18</v>
      </c>
      <c r="J459" s="122">
        <f>I459/F459</f>
        <v>18</v>
      </c>
      <c r="K459" s="53">
        <f>+H459/I459</f>
        <v>4.2155555555555555</v>
      </c>
      <c r="L459" s="52">
        <f>18453+18044+4959+3105.5+2221+2795+1156+907+1188+3416+108+86+53+73+1664+1508+46+2020+75.88</f>
        <v>61878.38</v>
      </c>
      <c r="M459" s="122">
        <f>1896+1808+596+485+314+510+270+216+297+854+33+15+9+11+416+377+4+505+18</f>
        <v>8634</v>
      </c>
      <c r="N459" s="280">
        <f>+L459/M459</f>
        <v>7.166826499884179</v>
      </c>
      <c r="O459" s="203">
        <v>1</v>
      </c>
      <c r="P459" s="274"/>
    </row>
    <row r="460" spans="1:16" s="271" customFormat="1" ht="15">
      <c r="A460" s="104">
        <v>457</v>
      </c>
      <c r="B460" s="219" t="s">
        <v>134</v>
      </c>
      <c r="C460" s="46">
        <v>39703</v>
      </c>
      <c r="D460" s="37" t="s">
        <v>163</v>
      </c>
      <c r="E460" s="133">
        <v>6</v>
      </c>
      <c r="F460" s="133">
        <v>1</v>
      </c>
      <c r="G460" s="133">
        <v>20</v>
      </c>
      <c r="H460" s="337">
        <v>226.58</v>
      </c>
      <c r="I460" s="338">
        <v>57</v>
      </c>
      <c r="J460" s="122">
        <f>(I460/F460)</f>
        <v>57</v>
      </c>
      <c r="K460" s="53">
        <f>H460/I460</f>
        <v>3.9750877192982457</v>
      </c>
      <c r="L460" s="52">
        <f>18453+18044+4959+3105.5+2221+2795+1156+907+1188+3416+108+86+53+73+1664+1508+46+2020+75.88+226.58</f>
        <v>62104.96</v>
      </c>
      <c r="M460" s="122">
        <f>1896+1808+596+485+314+510+270+216+297+854+33+15+9+11+416+377+4+505+18+57</f>
        <v>8691</v>
      </c>
      <c r="N460" s="280">
        <f>L460/M460</f>
        <v>7.1458934529973535</v>
      </c>
      <c r="O460" s="203">
        <v>1</v>
      </c>
      <c r="P460" s="274"/>
    </row>
    <row r="461" spans="1:16" s="271" customFormat="1" ht="15">
      <c r="A461" s="104">
        <v>458</v>
      </c>
      <c r="B461" s="227" t="s">
        <v>260</v>
      </c>
      <c r="C461" s="46">
        <v>39164</v>
      </c>
      <c r="D461" s="118" t="s">
        <v>165</v>
      </c>
      <c r="E461" s="133">
        <v>118</v>
      </c>
      <c r="F461" s="133">
        <v>1</v>
      </c>
      <c r="G461" s="133">
        <v>32</v>
      </c>
      <c r="H461" s="119">
        <v>150</v>
      </c>
      <c r="I461" s="120">
        <v>30</v>
      </c>
      <c r="J461" s="122">
        <f>I461/F461</f>
        <v>30</v>
      </c>
      <c r="K461" s="53">
        <f>H461/I461</f>
        <v>5</v>
      </c>
      <c r="L461" s="52">
        <v>1513549.5</v>
      </c>
      <c r="M461" s="122">
        <v>202489</v>
      </c>
      <c r="N461" s="280">
        <f>+L461/M461</f>
        <v>7.474724552938678</v>
      </c>
      <c r="O461" s="351"/>
      <c r="P461" s="274"/>
    </row>
    <row r="462" spans="1:16" s="271" customFormat="1" ht="15">
      <c r="A462" s="104">
        <v>459</v>
      </c>
      <c r="B462" s="222" t="s">
        <v>48</v>
      </c>
      <c r="C462" s="46">
        <v>40046</v>
      </c>
      <c r="D462" s="79" t="s">
        <v>162</v>
      </c>
      <c r="E462" s="138">
        <v>55</v>
      </c>
      <c r="F462" s="138">
        <v>2</v>
      </c>
      <c r="G462" s="138">
        <v>12</v>
      </c>
      <c r="H462" s="49">
        <v>2059</v>
      </c>
      <c r="I462" s="50">
        <v>466</v>
      </c>
      <c r="J462" s="122">
        <f>I462/F462</f>
        <v>233</v>
      </c>
      <c r="K462" s="53">
        <f aca="true" t="shared" si="37" ref="K462:K469">+H462/I462</f>
        <v>4.418454935622318</v>
      </c>
      <c r="L462" s="52">
        <v>189359</v>
      </c>
      <c r="M462" s="122">
        <v>19405</v>
      </c>
      <c r="N462" s="229">
        <f>+L463/M463</f>
        <v>9.889645704630656</v>
      </c>
      <c r="O462" s="199"/>
      <c r="P462" s="274"/>
    </row>
    <row r="463" spans="1:16" s="271" customFormat="1" ht="15">
      <c r="A463" s="104">
        <v>460</v>
      </c>
      <c r="B463" s="228" t="s">
        <v>48</v>
      </c>
      <c r="C463" s="80">
        <v>40046</v>
      </c>
      <c r="D463" s="81" t="s">
        <v>162</v>
      </c>
      <c r="E463" s="141">
        <v>55</v>
      </c>
      <c r="F463" s="141">
        <v>1</v>
      </c>
      <c r="G463" s="141">
        <v>11</v>
      </c>
      <c r="H463" s="82">
        <v>650</v>
      </c>
      <c r="I463" s="98">
        <v>100</v>
      </c>
      <c r="J463" s="83">
        <f>I463/F463</f>
        <v>100</v>
      </c>
      <c r="K463" s="85">
        <f t="shared" si="37"/>
        <v>6.5</v>
      </c>
      <c r="L463" s="84">
        <v>187300</v>
      </c>
      <c r="M463" s="83">
        <v>18939</v>
      </c>
      <c r="N463" s="221">
        <f>+L464/M464</f>
        <v>9.756229406919275</v>
      </c>
      <c r="O463" s="199"/>
      <c r="P463" s="274"/>
    </row>
    <row r="464" spans="1:16" s="271" customFormat="1" ht="15">
      <c r="A464" s="104">
        <v>461</v>
      </c>
      <c r="B464" s="222" t="s">
        <v>48</v>
      </c>
      <c r="C464" s="46">
        <v>40046</v>
      </c>
      <c r="D464" s="79" t="s">
        <v>162</v>
      </c>
      <c r="E464" s="138">
        <v>55</v>
      </c>
      <c r="F464" s="138">
        <v>1</v>
      </c>
      <c r="G464" s="138">
        <v>13</v>
      </c>
      <c r="H464" s="49">
        <v>146</v>
      </c>
      <c r="I464" s="77">
        <v>19</v>
      </c>
      <c r="J464" s="101">
        <f>I464/F464</f>
        <v>19</v>
      </c>
      <c r="K464" s="51">
        <f t="shared" si="37"/>
        <v>7.684210526315789</v>
      </c>
      <c r="L464" s="52">
        <v>189505</v>
      </c>
      <c r="M464" s="101">
        <v>19424</v>
      </c>
      <c r="N464" s="221">
        <f>+L465/M465</f>
        <v>10.168084042021011</v>
      </c>
      <c r="O464" s="201"/>
      <c r="P464" s="274"/>
    </row>
    <row r="465" spans="1:16" s="271" customFormat="1" ht="15">
      <c r="A465" s="104">
        <v>462</v>
      </c>
      <c r="B465" s="225" t="s">
        <v>52</v>
      </c>
      <c r="C465" s="29">
        <v>40130</v>
      </c>
      <c r="D465" s="87" t="s">
        <v>112</v>
      </c>
      <c r="E465" s="140">
        <v>17</v>
      </c>
      <c r="F465" s="140">
        <v>10</v>
      </c>
      <c r="G465" s="140">
        <v>9</v>
      </c>
      <c r="H465" s="88">
        <v>5776</v>
      </c>
      <c r="I465" s="89">
        <v>991</v>
      </c>
      <c r="J465" s="56">
        <f>+I465/F465</f>
        <v>99.1</v>
      </c>
      <c r="K465" s="57">
        <f t="shared" si="37"/>
        <v>5.8284561049445</v>
      </c>
      <c r="L465" s="90">
        <v>60978</v>
      </c>
      <c r="M465" s="91">
        <v>5997</v>
      </c>
      <c r="N465" s="224">
        <f>+L466/M466</f>
        <v>11.027167399121055</v>
      </c>
      <c r="O465" s="201"/>
      <c r="P465" s="274"/>
    </row>
    <row r="466" spans="1:16" s="273" customFormat="1" ht="15">
      <c r="A466" s="104">
        <v>463</v>
      </c>
      <c r="B466" s="225" t="s">
        <v>52</v>
      </c>
      <c r="C466" s="29">
        <v>40130</v>
      </c>
      <c r="D466" s="87" t="s">
        <v>112</v>
      </c>
      <c r="E466" s="140">
        <v>17</v>
      </c>
      <c r="F466" s="140">
        <v>8</v>
      </c>
      <c r="G466" s="140">
        <v>8</v>
      </c>
      <c r="H466" s="88">
        <v>3794</v>
      </c>
      <c r="I466" s="92">
        <v>543</v>
      </c>
      <c r="J466" s="60">
        <f>+I466/F466</f>
        <v>67.875</v>
      </c>
      <c r="K466" s="61">
        <f t="shared" si="37"/>
        <v>6.987108655616943</v>
      </c>
      <c r="L466" s="90">
        <v>55202</v>
      </c>
      <c r="M466" s="94">
        <v>5006</v>
      </c>
      <c r="N466" s="221">
        <f>L467/M467</f>
        <v>9.839816933638444</v>
      </c>
      <c r="O466" s="202"/>
      <c r="P466" s="275"/>
    </row>
    <row r="467" spans="1:16" s="271" customFormat="1" ht="15">
      <c r="A467" s="104">
        <v>464</v>
      </c>
      <c r="B467" s="222" t="s">
        <v>52</v>
      </c>
      <c r="C467" s="46">
        <v>40130</v>
      </c>
      <c r="D467" s="37" t="s">
        <v>112</v>
      </c>
      <c r="E467" s="138">
        <v>17</v>
      </c>
      <c r="F467" s="138">
        <v>2</v>
      </c>
      <c r="G467" s="138">
        <v>12</v>
      </c>
      <c r="H467" s="111">
        <v>1939</v>
      </c>
      <c r="I467" s="112">
        <v>254</v>
      </c>
      <c r="J467" s="101">
        <f>I467/F467</f>
        <v>127</v>
      </c>
      <c r="K467" s="51">
        <f t="shared" si="37"/>
        <v>7.633858267716535</v>
      </c>
      <c r="L467" s="78">
        <v>64500</v>
      </c>
      <c r="M467" s="101">
        <v>6555</v>
      </c>
      <c r="N467" s="221">
        <f>+L468/M468</f>
        <v>9.928741469608</v>
      </c>
      <c r="O467" s="208"/>
      <c r="P467" s="274"/>
    </row>
    <row r="468" spans="1:16" s="272" customFormat="1" ht="15">
      <c r="A468" s="104">
        <v>465</v>
      </c>
      <c r="B468" s="225" t="s">
        <v>52</v>
      </c>
      <c r="C468" s="46">
        <v>40130</v>
      </c>
      <c r="D468" s="37" t="s">
        <v>112</v>
      </c>
      <c r="E468" s="138">
        <v>17</v>
      </c>
      <c r="F468" s="138">
        <v>4</v>
      </c>
      <c r="G468" s="138">
        <v>11</v>
      </c>
      <c r="H468" s="76">
        <v>1442</v>
      </c>
      <c r="I468" s="77">
        <v>266</v>
      </c>
      <c r="J468" s="101">
        <f>+I468/F468</f>
        <v>66.5</v>
      </c>
      <c r="K468" s="51">
        <f t="shared" si="37"/>
        <v>5.421052631578948</v>
      </c>
      <c r="L468" s="78">
        <v>62561</v>
      </c>
      <c r="M468" s="101">
        <v>6301</v>
      </c>
      <c r="N468" s="224">
        <f>+L469/M469</f>
        <v>11.518709388303831</v>
      </c>
      <c r="O468" s="207"/>
      <c r="P468" s="276"/>
    </row>
    <row r="469" spans="1:16" s="271" customFormat="1" ht="15">
      <c r="A469" s="104">
        <v>466</v>
      </c>
      <c r="B469" s="225" t="s">
        <v>52</v>
      </c>
      <c r="C469" s="29">
        <v>40130</v>
      </c>
      <c r="D469" s="97" t="s">
        <v>112</v>
      </c>
      <c r="E469" s="140">
        <v>17</v>
      </c>
      <c r="F469" s="140">
        <v>2</v>
      </c>
      <c r="G469" s="140">
        <v>7</v>
      </c>
      <c r="H469" s="88">
        <v>254</v>
      </c>
      <c r="I469" s="92">
        <v>41</v>
      </c>
      <c r="J469" s="60">
        <f>+I469/F469</f>
        <v>20.5</v>
      </c>
      <c r="K469" s="57">
        <f t="shared" si="37"/>
        <v>6.195121951219512</v>
      </c>
      <c r="L469" s="90">
        <v>51408</v>
      </c>
      <c r="M469" s="94">
        <v>4463</v>
      </c>
      <c r="N469" s="220">
        <f>+L470/M470</f>
        <v>10.127423363711682</v>
      </c>
      <c r="O469" s="199"/>
      <c r="P469" s="274"/>
    </row>
    <row r="470" spans="1:15" ht="15">
      <c r="A470" s="104">
        <v>467</v>
      </c>
      <c r="B470" s="225" t="s">
        <v>52</v>
      </c>
      <c r="C470" s="29">
        <v>40130</v>
      </c>
      <c r="D470" s="43" t="s">
        <v>112</v>
      </c>
      <c r="E470" s="137">
        <v>17</v>
      </c>
      <c r="F470" s="137">
        <v>1</v>
      </c>
      <c r="G470" s="137">
        <v>10</v>
      </c>
      <c r="H470" s="44">
        <v>141</v>
      </c>
      <c r="I470" s="40">
        <v>38</v>
      </c>
      <c r="J470" s="41">
        <f>I470/F470</f>
        <v>38</v>
      </c>
      <c r="K470" s="34">
        <f>H470/I470</f>
        <v>3.710526315789474</v>
      </c>
      <c r="L470" s="45">
        <v>61119</v>
      </c>
      <c r="M470" s="42">
        <v>6035</v>
      </c>
      <c r="N470" s="221">
        <f>L471/M471</f>
        <v>7.879657720037119</v>
      </c>
      <c r="O470" s="211"/>
    </row>
    <row r="471" spans="1:15" ht="15">
      <c r="A471" s="104">
        <v>468</v>
      </c>
      <c r="B471" s="227" t="s">
        <v>226</v>
      </c>
      <c r="C471" s="117">
        <v>39472</v>
      </c>
      <c r="D471" s="37" t="s">
        <v>168</v>
      </c>
      <c r="E471" s="133">
        <v>70</v>
      </c>
      <c r="F471" s="133">
        <v>1</v>
      </c>
      <c r="G471" s="133">
        <v>32</v>
      </c>
      <c r="H471" s="119">
        <v>472</v>
      </c>
      <c r="I471" s="120">
        <v>94</v>
      </c>
      <c r="J471" s="122">
        <f>I471/F471</f>
        <v>94</v>
      </c>
      <c r="K471" s="53">
        <f>H471/I471</f>
        <v>5.0212765957446805</v>
      </c>
      <c r="L471" s="52">
        <v>883089</v>
      </c>
      <c r="M471" s="122">
        <v>112072</v>
      </c>
      <c r="N471" s="221">
        <f aca="true" t="shared" si="38" ref="N471:N479">+L472/M472</f>
        <v>8.274983260398386</v>
      </c>
      <c r="O471" s="201"/>
    </row>
    <row r="472" spans="1:15" ht="15">
      <c r="A472" s="104">
        <v>469</v>
      </c>
      <c r="B472" s="222" t="s">
        <v>92</v>
      </c>
      <c r="C472" s="46">
        <v>40144</v>
      </c>
      <c r="D472" s="37" t="s">
        <v>162</v>
      </c>
      <c r="E472" s="138">
        <v>128</v>
      </c>
      <c r="F472" s="138">
        <v>17</v>
      </c>
      <c r="G472" s="138">
        <v>10</v>
      </c>
      <c r="H472" s="76">
        <v>28138</v>
      </c>
      <c r="I472" s="77">
        <v>5971</v>
      </c>
      <c r="J472" s="101">
        <f>I472/F472</f>
        <v>351.2352941176471</v>
      </c>
      <c r="K472" s="51">
        <f>+H472/I472</f>
        <v>4.712443476804555</v>
      </c>
      <c r="L472" s="78">
        <v>2607621</v>
      </c>
      <c r="M472" s="101">
        <v>315121</v>
      </c>
      <c r="N472" s="221">
        <f t="shared" si="38"/>
        <v>8.259017138959157</v>
      </c>
      <c r="O472" s="201"/>
    </row>
    <row r="473" spans="1:15" ht="15">
      <c r="A473" s="104">
        <v>470</v>
      </c>
      <c r="B473" s="222" t="s">
        <v>175</v>
      </c>
      <c r="C473" s="46">
        <v>40144</v>
      </c>
      <c r="D473" s="37" t="s">
        <v>162</v>
      </c>
      <c r="E473" s="138">
        <v>128</v>
      </c>
      <c r="F473" s="138">
        <v>9</v>
      </c>
      <c r="G473" s="138">
        <v>11</v>
      </c>
      <c r="H473" s="111">
        <v>7572</v>
      </c>
      <c r="I473" s="112">
        <v>1526</v>
      </c>
      <c r="J473" s="101">
        <f>(I473/F473)</f>
        <v>169.55555555555554</v>
      </c>
      <c r="K473" s="51">
        <f>(J473/G473)</f>
        <v>15.414141414141413</v>
      </c>
      <c r="L473" s="78">
        <v>2615193</v>
      </c>
      <c r="M473" s="101">
        <v>316647</v>
      </c>
      <c r="N473" s="221">
        <f t="shared" si="38"/>
        <v>8.349094254541685</v>
      </c>
      <c r="O473" s="200"/>
    </row>
    <row r="474" spans="1:15" ht="15">
      <c r="A474" s="104">
        <v>471</v>
      </c>
      <c r="B474" s="222" t="s">
        <v>92</v>
      </c>
      <c r="C474" s="46">
        <v>40144</v>
      </c>
      <c r="D474" s="79" t="s">
        <v>162</v>
      </c>
      <c r="E474" s="138">
        <v>128</v>
      </c>
      <c r="F474" s="138">
        <v>6</v>
      </c>
      <c r="G474" s="138">
        <v>8</v>
      </c>
      <c r="H474" s="49">
        <v>4834</v>
      </c>
      <c r="I474" s="77">
        <v>783</v>
      </c>
      <c r="J474" s="101">
        <f aca="true" t="shared" si="39" ref="J474:J480">I474/F474</f>
        <v>130.5</v>
      </c>
      <c r="K474" s="51">
        <f>+H474/I474</f>
        <v>6.173690932311622</v>
      </c>
      <c r="L474" s="52">
        <v>2577332</v>
      </c>
      <c r="M474" s="101">
        <v>308696</v>
      </c>
      <c r="N474" s="221">
        <f t="shared" si="38"/>
        <v>8.35462614439793</v>
      </c>
      <c r="O474" s="212">
        <v>1</v>
      </c>
    </row>
    <row r="475" spans="1:15" ht="15">
      <c r="A475" s="104">
        <v>472</v>
      </c>
      <c r="B475" s="222" t="s">
        <v>92</v>
      </c>
      <c r="C475" s="46">
        <v>40144</v>
      </c>
      <c r="D475" s="79" t="s">
        <v>162</v>
      </c>
      <c r="E475" s="138">
        <v>128</v>
      </c>
      <c r="F475" s="138">
        <v>5</v>
      </c>
      <c r="G475" s="138">
        <v>7</v>
      </c>
      <c r="H475" s="49">
        <v>2478</v>
      </c>
      <c r="I475" s="50">
        <v>419</v>
      </c>
      <c r="J475" s="122">
        <f t="shared" si="39"/>
        <v>83.8</v>
      </c>
      <c r="K475" s="53">
        <f>+H475/I475</f>
        <v>5.914081145584726</v>
      </c>
      <c r="L475" s="52">
        <v>2572498</v>
      </c>
      <c r="M475" s="122">
        <v>307913</v>
      </c>
      <c r="N475" s="229">
        <f t="shared" si="38"/>
        <v>8.357951699870567</v>
      </c>
      <c r="O475" s="354"/>
    </row>
    <row r="476" spans="1:15" ht="15">
      <c r="A476" s="104">
        <v>473</v>
      </c>
      <c r="B476" s="228" t="s">
        <v>92</v>
      </c>
      <c r="C476" s="80">
        <v>40144</v>
      </c>
      <c r="D476" s="81" t="s">
        <v>162</v>
      </c>
      <c r="E476" s="141">
        <v>128</v>
      </c>
      <c r="F476" s="141">
        <v>7</v>
      </c>
      <c r="G476" s="141">
        <v>6</v>
      </c>
      <c r="H476" s="82">
        <v>1964</v>
      </c>
      <c r="I476" s="98">
        <v>269</v>
      </c>
      <c r="J476" s="83">
        <f t="shared" si="39"/>
        <v>38.42857142857143</v>
      </c>
      <c r="K476" s="85">
        <f>+H476/I476</f>
        <v>7.301115241635688</v>
      </c>
      <c r="L476" s="84">
        <v>2570020</v>
      </c>
      <c r="M476" s="83">
        <v>307494</v>
      </c>
      <c r="N476" s="221">
        <f t="shared" si="38"/>
        <v>8.346186454389542</v>
      </c>
      <c r="O476" s="208"/>
    </row>
    <row r="477" spans="1:15" ht="15">
      <c r="A477" s="104">
        <v>474</v>
      </c>
      <c r="B477" s="222" t="s">
        <v>92</v>
      </c>
      <c r="C477" s="46">
        <v>40144</v>
      </c>
      <c r="D477" s="86" t="s">
        <v>162</v>
      </c>
      <c r="E477" s="138">
        <v>128</v>
      </c>
      <c r="F477" s="138">
        <v>4</v>
      </c>
      <c r="G477" s="138">
        <v>9</v>
      </c>
      <c r="H477" s="76">
        <v>1890</v>
      </c>
      <c r="I477" s="77">
        <v>334</v>
      </c>
      <c r="J477" s="101">
        <f t="shared" si="39"/>
        <v>83.5</v>
      </c>
      <c r="K477" s="51">
        <f>+H477/I477</f>
        <v>5.658682634730539</v>
      </c>
      <c r="L477" s="78">
        <v>2579222</v>
      </c>
      <c r="M477" s="101">
        <v>309030</v>
      </c>
      <c r="N477" s="221">
        <f t="shared" si="38"/>
        <v>8.257429587024188</v>
      </c>
      <c r="O477" s="199"/>
    </row>
    <row r="478" spans="1:15" ht="15">
      <c r="A478" s="104">
        <v>475</v>
      </c>
      <c r="B478" s="222" t="s">
        <v>175</v>
      </c>
      <c r="C478" s="46">
        <v>40144</v>
      </c>
      <c r="D478" s="37" t="s">
        <v>162</v>
      </c>
      <c r="E478" s="138">
        <v>128</v>
      </c>
      <c r="F478" s="138">
        <v>1</v>
      </c>
      <c r="G478" s="138">
        <v>12</v>
      </c>
      <c r="H478" s="115">
        <v>546</v>
      </c>
      <c r="I478" s="116">
        <v>127</v>
      </c>
      <c r="J478" s="122">
        <f t="shared" si="39"/>
        <v>127</v>
      </c>
      <c r="K478" s="53">
        <f>+H478/I478</f>
        <v>4.299212598425197</v>
      </c>
      <c r="L478" s="52">
        <v>2615739</v>
      </c>
      <c r="M478" s="122">
        <v>316774</v>
      </c>
      <c r="N478" s="221">
        <f t="shared" si="38"/>
        <v>8.246818688902755</v>
      </c>
      <c r="O478" s="201"/>
    </row>
    <row r="479" spans="1:15" ht="15">
      <c r="A479" s="104">
        <v>476</v>
      </c>
      <c r="B479" s="227" t="s">
        <v>92</v>
      </c>
      <c r="C479" s="117">
        <v>40144</v>
      </c>
      <c r="D479" s="37" t="s">
        <v>162</v>
      </c>
      <c r="E479" s="133">
        <v>128</v>
      </c>
      <c r="F479" s="133">
        <v>1</v>
      </c>
      <c r="G479" s="133">
        <v>16</v>
      </c>
      <c r="H479" s="119">
        <v>1218</v>
      </c>
      <c r="I479" s="120">
        <v>560</v>
      </c>
      <c r="J479" s="122">
        <f t="shared" si="39"/>
        <v>560</v>
      </c>
      <c r="K479" s="53">
        <f>H479/I479</f>
        <v>2.175</v>
      </c>
      <c r="L479" s="52">
        <v>2616897</v>
      </c>
      <c r="M479" s="122">
        <v>317322</v>
      </c>
      <c r="N479" s="221">
        <f t="shared" si="38"/>
        <v>8.241465733842986</v>
      </c>
      <c r="O479" s="211">
        <v>1</v>
      </c>
    </row>
    <row r="480" spans="1:15" ht="15">
      <c r="A480" s="104">
        <v>477</v>
      </c>
      <c r="B480" s="227" t="s">
        <v>92</v>
      </c>
      <c r="C480" s="117">
        <v>40144</v>
      </c>
      <c r="D480" s="37" t="s">
        <v>162</v>
      </c>
      <c r="E480" s="133">
        <v>128</v>
      </c>
      <c r="F480" s="133">
        <v>1</v>
      </c>
      <c r="G480" s="133">
        <v>17</v>
      </c>
      <c r="H480" s="119">
        <v>609</v>
      </c>
      <c r="I480" s="120">
        <v>280</v>
      </c>
      <c r="J480" s="122">
        <f t="shared" si="39"/>
        <v>280</v>
      </c>
      <c r="K480" s="53">
        <f>+H480/I480</f>
        <v>2.175</v>
      </c>
      <c r="L480" s="52">
        <v>2617506</v>
      </c>
      <c r="M480" s="122">
        <v>317602</v>
      </c>
      <c r="N480" s="220">
        <f aca="true" t="shared" si="40" ref="N480:N485">L481/M481</f>
        <v>8.757283880731507</v>
      </c>
      <c r="O480" s="202"/>
    </row>
    <row r="481" spans="1:15" ht="15">
      <c r="A481" s="104">
        <v>478</v>
      </c>
      <c r="B481" s="222" t="s">
        <v>53</v>
      </c>
      <c r="C481" s="46">
        <v>40137</v>
      </c>
      <c r="D481" s="48" t="s">
        <v>163</v>
      </c>
      <c r="E481" s="138">
        <v>147</v>
      </c>
      <c r="F481" s="138">
        <v>57</v>
      </c>
      <c r="G481" s="138">
        <v>7</v>
      </c>
      <c r="H481" s="31">
        <v>87796</v>
      </c>
      <c r="I481" s="32">
        <v>15922</v>
      </c>
      <c r="J481" s="33">
        <f aca="true" t="shared" si="41" ref="J481:J486">(I481/F481)</f>
        <v>279.3333333333333</v>
      </c>
      <c r="K481" s="34">
        <f>H481/I481</f>
        <v>5.514131390528828</v>
      </c>
      <c r="L481" s="35">
        <f>4499732.5+3362984.5+1262292.25+664013.75+490740.5+244990+87796</f>
        <v>10612549.5</v>
      </c>
      <c r="M481" s="36">
        <f>493806+365411+142937+78728+74756+40294+15922</f>
        <v>1211854</v>
      </c>
      <c r="N481" s="220">
        <f t="shared" si="40"/>
        <v>8.740209145218664</v>
      </c>
      <c r="O481" s="201"/>
    </row>
    <row r="482" spans="1:15" ht="15">
      <c r="A482" s="104">
        <v>479</v>
      </c>
      <c r="B482" s="222" t="s">
        <v>53</v>
      </c>
      <c r="C482" s="46">
        <v>40137</v>
      </c>
      <c r="D482" s="47" t="s">
        <v>163</v>
      </c>
      <c r="E482" s="138">
        <v>147</v>
      </c>
      <c r="F482" s="138">
        <v>32</v>
      </c>
      <c r="G482" s="138">
        <v>8</v>
      </c>
      <c r="H482" s="31">
        <v>33908</v>
      </c>
      <c r="I482" s="32">
        <v>6247</v>
      </c>
      <c r="J482" s="33">
        <f t="shared" si="41"/>
        <v>195.21875</v>
      </c>
      <c r="K482" s="38">
        <f>H482/I482</f>
        <v>5.427885384984792</v>
      </c>
      <c r="L482" s="35">
        <f>4499732.5+3362984.5+1262292.25+664013.75+490740.5+244990+87796+33908</f>
        <v>10646457.5</v>
      </c>
      <c r="M482" s="36">
        <f>493806+365411+142937+78728+74756+40294+15922+6247</f>
        <v>1218101</v>
      </c>
      <c r="N482" s="220">
        <f t="shared" si="40"/>
        <v>8.727291127770604</v>
      </c>
      <c r="O482" s="201"/>
    </row>
    <row r="483" spans="1:15" ht="15">
      <c r="A483" s="104">
        <v>480</v>
      </c>
      <c r="B483" s="223" t="s">
        <v>53</v>
      </c>
      <c r="C483" s="62">
        <v>40137</v>
      </c>
      <c r="D483" s="63" t="s">
        <v>163</v>
      </c>
      <c r="E483" s="139">
        <v>147</v>
      </c>
      <c r="F483" s="139">
        <v>18</v>
      </c>
      <c r="G483" s="139">
        <v>9</v>
      </c>
      <c r="H483" s="31">
        <v>25213</v>
      </c>
      <c r="I483" s="40">
        <v>4692</v>
      </c>
      <c r="J483" s="41">
        <f t="shared" si="41"/>
        <v>260.6666666666667</v>
      </c>
      <c r="K483" s="34">
        <f>H483/I483</f>
        <v>5.373614663256607</v>
      </c>
      <c r="L483" s="35">
        <f>4499732.5+3362984.5+1262292.25+664013.75+490740.5+244990+87796+33908+25213</f>
        <v>10671670.5</v>
      </c>
      <c r="M483" s="42">
        <f>493806+365411+142937+78728+74756+40294+15922+6247+4692</f>
        <v>1222793</v>
      </c>
      <c r="N483" s="220">
        <f t="shared" si="40"/>
        <v>8.722121957732664</v>
      </c>
      <c r="O483" s="199"/>
    </row>
    <row r="484" spans="1:15" ht="15">
      <c r="A484" s="104">
        <v>481</v>
      </c>
      <c r="B484" s="222" t="s">
        <v>53</v>
      </c>
      <c r="C484" s="46">
        <v>40137</v>
      </c>
      <c r="D484" s="48" t="s">
        <v>163</v>
      </c>
      <c r="E484" s="138">
        <v>147</v>
      </c>
      <c r="F484" s="138">
        <v>10</v>
      </c>
      <c r="G484" s="138">
        <v>10</v>
      </c>
      <c r="H484" s="44">
        <v>8908</v>
      </c>
      <c r="I484" s="40">
        <v>1746</v>
      </c>
      <c r="J484" s="41">
        <f t="shared" si="41"/>
        <v>174.6</v>
      </c>
      <c r="K484" s="34">
        <f>H484/I484</f>
        <v>5.101947308132875</v>
      </c>
      <c r="L484" s="45">
        <f>4499732.5+3362984.5+1262292.25+664013.75+490740.5+244990+87796+33908+25213+8908</f>
        <v>10680578.5</v>
      </c>
      <c r="M484" s="42">
        <f>493806+365411+142937+78728+74756+40294+15922+6247+4692+1746</f>
        <v>1224539</v>
      </c>
      <c r="N484" s="220">
        <f t="shared" si="40"/>
        <v>8.719310894101154</v>
      </c>
      <c r="O484" s="203"/>
    </row>
    <row r="485" spans="1:15" ht="15">
      <c r="A485" s="104">
        <v>482</v>
      </c>
      <c r="B485" s="223" t="s">
        <v>53</v>
      </c>
      <c r="C485" s="62">
        <v>40137</v>
      </c>
      <c r="D485" s="63" t="s">
        <v>163</v>
      </c>
      <c r="E485" s="139">
        <v>147</v>
      </c>
      <c r="F485" s="139">
        <v>7</v>
      </c>
      <c r="G485" s="139">
        <v>11</v>
      </c>
      <c r="H485" s="44">
        <v>4440</v>
      </c>
      <c r="I485" s="40">
        <v>904</v>
      </c>
      <c r="J485" s="41">
        <f t="shared" si="41"/>
        <v>129.14285714285714</v>
      </c>
      <c r="K485" s="51">
        <f>+H485/I485</f>
        <v>4.911504424778761</v>
      </c>
      <c r="L485" s="45">
        <f>4499732.5+3362984.5+1262292.25+664013.75+490740.5+244990+87796+33908+25213+8908+4440</f>
        <v>10685018.5</v>
      </c>
      <c r="M485" s="42">
        <f>493806+365411+142937+78728+74756+40294+15922+6247+4692+1746+904</f>
        <v>1225443</v>
      </c>
      <c r="N485" s="221">
        <f t="shared" si="40"/>
        <v>8.712870153513169</v>
      </c>
      <c r="O485" s="200"/>
    </row>
    <row r="486" spans="1:15" ht="15">
      <c r="A486" s="104">
        <v>483</v>
      </c>
      <c r="B486" s="222" t="s">
        <v>53</v>
      </c>
      <c r="C486" s="117">
        <v>40137</v>
      </c>
      <c r="D486" s="37" t="s">
        <v>163</v>
      </c>
      <c r="E486" s="133">
        <v>147</v>
      </c>
      <c r="F486" s="133">
        <v>3</v>
      </c>
      <c r="G486" s="133">
        <v>15</v>
      </c>
      <c r="H486" s="119">
        <v>3362</v>
      </c>
      <c r="I486" s="120">
        <v>840</v>
      </c>
      <c r="J486" s="122">
        <f t="shared" si="41"/>
        <v>280</v>
      </c>
      <c r="K486" s="53">
        <f>H486/I486</f>
        <v>4.002380952380952</v>
      </c>
      <c r="L486" s="52">
        <f>4499732.5+3362984.5+1262292.25+664013.75+490740.5+244990+87796+33908+25213+8908+4440+435+625+2349+3362</f>
        <v>10691789.5</v>
      </c>
      <c r="M486" s="122">
        <f>493806+365411+142937+78728+74756+40294+15922+6247+4692+1746+904+107+157+579+840</f>
        <v>1227126</v>
      </c>
      <c r="N486" s="221">
        <f>+L487/M487</f>
        <v>8.716096815914069</v>
      </c>
      <c r="O486" s="208">
        <v>1</v>
      </c>
    </row>
    <row r="487" spans="1:15" ht="15">
      <c r="A487" s="104">
        <v>484</v>
      </c>
      <c r="B487" s="222" t="s">
        <v>53</v>
      </c>
      <c r="C487" s="46">
        <v>40137</v>
      </c>
      <c r="D487" s="37" t="s">
        <v>163</v>
      </c>
      <c r="E487" s="138">
        <v>147</v>
      </c>
      <c r="F487" s="138">
        <v>2</v>
      </c>
      <c r="G487" s="138">
        <v>14</v>
      </c>
      <c r="H487" s="115">
        <v>2349</v>
      </c>
      <c r="I487" s="116">
        <v>579</v>
      </c>
      <c r="J487" s="122">
        <f>I487/F487</f>
        <v>289.5</v>
      </c>
      <c r="K487" s="53">
        <f>H487/I487</f>
        <v>4.05699481865285</v>
      </c>
      <c r="L487" s="52">
        <f>4499732.5+3362984.5+1262292.25+664013.75+490740.5+244990+87796+33908+25213+8908+4440+435+625+2349</f>
        <v>10688427.5</v>
      </c>
      <c r="M487" s="122">
        <f>493806+365411+142937+78728+74756+40294+15922+6247+4692+1746+904+107+157+579</f>
        <v>1226286</v>
      </c>
      <c r="N487" s="221">
        <f>L488/M488</f>
        <v>8.718297684520037</v>
      </c>
      <c r="O487" s="201">
        <v>1</v>
      </c>
    </row>
    <row r="488" spans="1:15" ht="15">
      <c r="A488" s="104">
        <v>485</v>
      </c>
      <c r="B488" s="222" t="s">
        <v>53</v>
      </c>
      <c r="C488" s="46">
        <v>40137</v>
      </c>
      <c r="D488" s="37" t="s">
        <v>163</v>
      </c>
      <c r="E488" s="138">
        <v>147</v>
      </c>
      <c r="F488" s="138">
        <v>1</v>
      </c>
      <c r="G488" s="138">
        <v>13</v>
      </c>
      <c r="H488" s="115">
        <v>625</v>
      </c>
      <c r="I488" s="116">
        <v>157</v>
      </c>
      <c r="J488" s="122">
        <f>(I488/F488)</f>
        <v>157</v>
      </c>
      <c r="K488" s="53">
        <f>H488/I488</f>
        <v>3.9808917197452227</v>
      </c>
      <c r="L488" s="52">
        <f>4499732.5+3362984.5+1262292.25+664013.75+490740.5+244990+87796+33908+25213+8908+4440+435+625</f>
        <v>10686078.5</v>
      </c>
      <c r="M488" s="122">
        <f>493806+365411+142937+78728+74756+40294+15922+6247+4692+1746+904+107+157</f>
        <v>1225707</v>
      </c>
      <c r="N488" s="221">
        <f>L489/M489</f>
        <v>8.718904573456815</v>
      </c>
      <c r="O488" s="201">
        <v>1</v>
      </c>
    </row>
    <row r="489" spans="1:15" ht="15">
      <c r="A489" s="104">
        <v>486</v>
      </c>
      <c r="B489" s="222" t="s">
        <v>53</v>
      </c>
      <c r="C489" s="46">
        <v>40137</v>
      </c>
      <c r="D489" s="37" t="s">
        <v>163</v>
      </c>
      <c r="E489" s="138">
        <v>147</v>
      </c>
      <c r="F489" s="138">
        <v>1</v>
      </c>
      <c r="G489" s="138">
        <v>12</v>
      </c>
      <c r="H489" s="111">
        <v>435</v>
      </c>
      <c r="I489" s="112">
        <v>107</v>
      </c>
      <c r="J489" s="101">
        <f>I489/F489</f>
        <v>107</v>
      </c>
      <c r="K489" s="51">
        <f>+H489/I489</f>
        <v>4.065420560747664</v>
      </c>
      <c r="L489" s="78">
        <f>4499732.5+3362984.5+1262292.25+664013.75+490740.5+244990+87796+33908+25213+8908+4440+435</f>
        <v>10685453.5</v>
      </c>
      <c r="M489" s="101">
        <f>493806+365411+142937+78728+74756+40294+15922+6247+4692+1746+904+107</f>
        <v>1225550</v>
      </c>
      <c r="N489" s="220">
        <f>L490/M490</f>
        <v>8.708188490864952</v>
      </c>
      <c r="O489" s="203"/>
    </row>
    <row r="490" spans="1:15" ht="15">
      <c r="A490" s="104">
        <v>487</v>
      </c>
      <c r="B490" s="219" t="s">
        <v>53</v>
      </c>
      <c r="C490" s="29">
        <v>40137</v>
      </c>
      <c r="D490" s="39" t="s">
        <v>163</v>
      </c>
      <c r="E490" s="137">
        <v>147</v>
      </c>
      <c r="F490" s="137">
        <v>2</v>
      </c>
      <c r="G490" s="137">
        <v>16</v>
      </c>
      <c r="H490" s="31">
        <v>4879</v>
      </c>
      <c r="I490" s="40">
        <v>1220</v>
      </c>
      <c r="J490" s="41">
        <f>(I490/F490)</f>
        <v>610</v>
      </c>
      <c r="K490" s="34">
        <f aca="true" t="shared" si="42" ref="K490:K496">H490/I490</f>
        <v>3.9991803278688525</v>
      </c>
      <c r="L490" s="35">
        <f>4499732.5+3362984.5+1262292.25+664013.75+490740.5+244990+87796+33908+25213+8908+4440+435+625+2349+3362+4879</f>
        <v>10696668.5</v>
      </c>
      <c r="M490" s="42">
        <f>493806+365411+142937+78728+74756+40294+15922+6247+4692+1746+904+107+157+579+840+1220</f>
        <v>1228346</v>
      </c>
      <c r="N490" s="220">
        <f>IF(L491&lt;&gt;0,L491/M491,"")</f>
        <v>8.708028397869752</v>
      </c>
      <c r="O490" s="203"/>
    </row>
    <row r="491" spans="1:15" ht="15">
      <c r="A491" s="104">
        <v>488</v>
      </c>
      <c r="B491" s="219" t="s">
        <v>53</v>
      </c>
      <c r="C491" s="29">
        <v>40137</v>
      </c>
      <c r="D491" s="37" t="s">
        <v>163</v>
      </c>
      <c r="E491" s="137">
        <v>147</v>
      </c>
      <c r="F491" s="137">
        <v>1</v>
      </c>
      <c r="G491" s="137">
        <v>17</v>
      </c>
      <c r="H491" s="31">
        <v>291</v>
      </c>
      <c r="I491" s="32">
        <v>56</v>
      </c>
      <c r="J491" s="33">
        <f>(I491/F491)</f>
        <v>56</v>
      </c>
      <c r="K491" s="38">
        <f t="shared" si="42"/>
        <v>5.196428571428571</v>
      </c>
      <c r="L491" s="35">
        <f>4499732.5+3362984.5+1262292.25+664013.75+490740.5+244990+87796+33908+25213+8908+4440+435+625+2349+3362+4879+291</f>
        <v>10696959.5</v>
      </c>
      <c r="M491" s="36">
        <f>493806+365411+142937+78728+74756+40294+15922+6247+4692+1746+904+107+157+579+840+1220+56</f>
        <v>1228402</v>
      </c>
      <c r="N491" s="220">
        <f>+L492/M492</f>
        <v>8.70609590969529</v>
      </c>
      <c r="O491" s="199">
        <v>1</v>
      </c>
    </row>
    <row r="492" spans="1:15" ht="15">
      <c r="A492" s="104">
        <v>489</v>
      </c>
      <c r="B492" s="227" t="s">
        <v>53</v>
      </c>
      <c r="C492" s="46">
        <v>40137</v>
      </c>
      <c r="D492" s="37" t="s">
        <v>163</v>
      </c>
      <c r="E492" s="133">
        <v>147</v>
      </c>
      <c r="F492" s="133">
        <v>1</v>
      </c>
      <c r="G492" s="133">
        <v>18</v>
      </c>
      <c r="H492" s="119">
        <v>2014</v>
      </c>
      <c r="I492" s="120">
        <v>504</v>
      </c>
      <c r="J492" s="122">
        <f aca="true" t="shared" si="43" ref="J492:J501">I492/F492</f>
        <v>504</v>
      </c>
      <c r="K492" s="53">
        <f t="shared" si="42"/>
        <v>3.996031746031746</v>
      </c>
      <c r="L492" s="52">
        <f>4499732.5+3362984.5+1262292.25+664013.75+490740.5+244990+87796+33908+25213+8908+4440+435+625+2349+3362+4879+291+2014</f>
        <v>10698973.5</v>
      </c>
      <c r="M492" s="122">
        <f>493806+365411+142937+78728+74756+40294+15922+6247+4692+1746+904+107+157+579+840+1220+56+504</f>
        <v>1228906</v>
      </c>
      <c r="N492" s="280">
        <f>+L492/M492</f>
        <v>8.70609590969529</v>
      </c>
      <c r="O492" s="350"/>
    </row>
    <row r="493" spans="1:15" ht="15">
      <c r="A493" s="104">
        <v>490</v>
      </c>
      <c r="B493" s="219" t="s">
        <v>104</v>
      </c>
      <c r="C493" s="29">
        <v>40081</v>
      </c>
      <c r="D493" s="39" t="s">
        <v>161</v>
      </c>
      <c r="E493" s="137">
        <v>70</v>
      </c>
      <c r="F493" s="137">
        <v>1</v>
      </c>
      <c r="G493" s="137">
        <v>13</v>
      </c>
      <c r="H493" s="31">
        <v>1671</v>
      </c>
      <c r="I493" s="40">
        <v>278</v>
      </c>
      <c r="J493" s="41">
        <f t="shared" si="43"/>
        <v>278</v>
      </c>
      <c r="K493" s="34">
        <f t="shared" si="42"/>
        <v>6.010791366906475</v>
      </c>
      <c r="L493" s="35">
        <f>1392975+803+1671</f>
        <v>1395449</v>
      </c>
      <c r="M493" s="42">
        <f>137156+132+278</f>
        <v>137566</v>
      </c>
      <c r="N493" s="220">
        <f aca="true" t="shared" si="44" ref="N493:N500">+L494/M494</f>
        <v>10.15222015034089</v>
      </c>
      <c r="O493" s="201">
        <v>1</v>
      </c>
    </row>
    <row r="494" spans="1:15" ht="15">
      <c r="A494" s="104">
        <v>491</v>
      </c>
      <c r="B494" s="219" t="s">
        <v>104</v>
      </c>
      <c r="C494" s="29">
        <v>40081</v>
      </c>
      <c r="D494" s="37" t="s">
        <v>161</v>
      </c>
      <c r="E494" s="137">
        <v>70</v>
      </c>
      <c r="F494" s="137">
        <v>1</v>
      </c>
      <c r="G494" s="137">
        <v>12</v>
      </c>
      <c r="H494" s="31">
        <v>803</v>
      </c>
      <c r="I494" s="32">
        <v>132</v>
      </c>
      <c r="J494" s="33">
        <f t="shared" si="43"/>
        <v>132</v>
      </c>
      <c r="K494" s="38">
        <f t="shared" si="42"/>
        <v>6.083333333333333</v>
      </c>
      <c r="L494" s="35">
        <f>1392975+803</f>
        <v>1393778</v>
      </c>
      <c r="M494" s="36">
        <f>137156+132</f>
        <v>137288</v>
      </c>
      <c r="N494" s="221">
        <f t="shared" si="44"/>
        <v>6.698634721355791</v>
      </c>
      <c r="O494" s="199">
        <v>1</v>
      </c>
    </row>
    <row r="495" spans="1:15" ht="15">
      <c r="A495" s="104">
        <v>492</v>
      </c>
      <c r="B495" s="230" t="s">
        <v>184</v>
      </c>
      <c r="C495" s="46">
        <v>39871</v>
      </c>
      <c r="D495" s="118" t="s">
        <v>49</v>
      </c>
      <c r="E495" s="138">
        <v>192</v>
      </c>
      <c r="F495" s="138">
        <v>1</v>
      </c>
      <c r="G495" s="138">
        <v>22</v>
      </c>
      <c r="H495" s="115">
        <v>1918</v>
      </c>
      <c r="I495" s="116">
        <v>319</v>
      </c>
      <c r="J495" s="122">
        <f t="shared" si="43"/>
        <v>319</v>
      </c>
      <c r="K495" s="53">
        <f t="shared" si="42"/>
        <v>6.012539184952978</v>
      </c>
      <c r="L495" s="52">
        <f>568084.5+439199.5+199559+109980+164256.5-20+26773.5+13463+1383+6404+0.5+715+335+85+378+1008+757+6618+713+0.75+243+1525+380+105+2395+1918</f>
        <v>1546259.25</v>
      </c>
      <c r="M495" s="122">
        <f>79686+62524+31158+18444+26844-3+5195+2619+207+1137+130+77+14+84+252+149+1160+124+32+241+76+21+342+319</f>
        <v>230832</v>
      </c>
      <c r="N495" s="221">
        <f t="shared" si="44"/>
        <v>9.353614436176715</v>
      </c>
      <c r="O495" s="199">
        <v>1</v>
      </c>
    </row>
    <row r="496" spans="1:15" ht="15">
      <c r="A496" s="104">
        <v>493</v>
      </c>
      <c r="B496" s="222" t="s">
        <v>46</v>
      </c>
      <c r="C496" s="46">
        <v>40102</v>
      </c>
      <c r="D496" s="37" t="s">
        <v>162</v>
      </c>
      <c r="E496" s="138">
        <v>99</v>
      </c>
      <c r="F496" s="138">
        <v>1</v>
      </c>
      <c r="G496" s="138">
        <v>19</v>
      </c>
      <c r="H496" s="115">
        <v>5600</v>
      </c>
      <c r="I496" s="116">
        <v>1400</v>
      </c>
      <c r="J496" s="122">
        <f t="shared" si="43"/>
        <v>1400</v>
      </c>
      <c r="K496" s="53">
        <f t="shared" si="42"/>
        <v>4</v>
      </c>
      <c r="L496" s="52">
        <v>2602082</v>
      </c>
      <c r="M496" s="122">
        <v>278190</v>
      </c>
      <c r="N496" s="221">
        <f t="shared" si="44"/>
        <v>9.326807110411675</v>
      </c>
      <c r="O496" s="200">
        <v>1</v>
      </c>
    </row>
    <row r="497" spans="1:15" ht="15">
      <c r="A497" s="104">
        <v>494</v>
      </c>
      <c r="B497" s="222" t="s">
        <v>46</v>
      </c>
      <c r="C497" s="117">
        <v>40102</v>
      </c>
      <c r="D497" s="37" t="s">
        <v>162</v>
      </c>
      <c r="E497" s="133">
        <v>99</v>
      </c>
      <c r="F497" s="133">
        <v>1</v>
      </c>
      <c r="G497" s="133">
        <v>20</v>
      </c>
      <c r="H497" s="119">
        <v>5600</v>
      </c>
      <c r="I497" s="120">
        <v>1400</v>
      </c>
      <c r="J497" s="122">
        <f t="shared" si="43"/>
        <v>1400</v>
      </c>
      <c r="K497" s="53">
        <f>+H497/I497</f>
        <v>4</v>
      </c>
      <c r="L497" s="52">
        <v>2607682</v>
      </c>
      <c r="M497" s="122">
        <v>279590</v>
      </c>
      <c r="N497" s="221">
        <f t="shared" si="44"/>
        <v>9.380692944109253</v>
      </c>
      <c r="O497" s="201">
        <v>1</v>
      </c>
    </row>
    <row r="498" spans="1:15" ht="15">
      <c r="A498" s="104">
        <v>495</v>
      </c>
      <c r="B498" s="222" t="s">
        <v>46</v>
      </c>
      <c r="C498" s="46">
        <v>40102</v>
      </c>
      <c r="D498" s="37" t="s">
        <v>162</v>
      </c>
      <c r="E498" s="138">
        <v>99</v>
      </c>
      <c r="F498" s="138">
        <v>2</v>
      </c>
      <c r="G498" s="138">
        <v>18</v>
      </c>
      <c r="H498" s="115">
        <v>5089</v>
      </c>
      <c r="I498" s="116">
        <v>1400</v>
      </c>
      <c r="J498" s="122">
        <f t="shared" si="43"/>
        <v>700</v>
      </c>
      <c r="K498" s="53">
        <f>+H498/I498</f>
        <v>3.635</v>
      </c>
      <c r="L498" s="52">
        <v>2596482</v>
      </c>
      <c r="M498" s="122">
        <v>276790</v>
      </c>
      <c r="N498" s="221">
        <f t="shared" si="44"/>
        <v>9.435323837128651</v>
      </c>
      <c r="O498" s="202">
        <v>1</v>
      </c>
    </row>
    <row r="499" spans="1:15" ht="15">
      <c r="A499" s="104">
        <v>496</v>
      </c>
      <c r="B499" s="222" t="s">
        <v>46</v>
      </c>
      <c r="C499" s="46">
        <v>40102</v>
      </c>
      <c r="D499" s="86" t="s">
        <v>162</v>
      </c>
      <c r="E499" s="138">
        <v>99</v>
      </c>
      <c r="F499" s="138">
        <v>8</v>
      </c>
      <c r="G499" s="138">
        <v>15</v>
      </c>
      <c r="H499" s="76">
        <v>4479</v>
      </c>
      <c r="I499" s="77">
        <v>839</v>
      </c>
      <c r="J499" s="101">
        <f t="shared" si="43"/>
        <v>104.875</v>
      </c>
      <c r="K499" s="51">
        <f>+H499/I499</f>
        <v>5.33849821215733</v>
      </c>
      <c r="L499" s="78">
        <v>2584656</v>
      </c>
      <c r="M499" s="101">
        <v>273934</v>
      </c>
      <c r="N499" s="221">
        <f t="shared" si="44"/>
        <v>9.423857526147753</v>
      </c>
      <c r="O499" s="201">
        <v>1</v>
      </c>
    </row>
    <row r="500" spans="1:15" ht="15">
      <c r="A500" s="104">
        <v>497</v>
      </c>
      <c r="B500" s="222" t="s">
        <v>46</v>
      </c>
      <c r="C500" s="46">
        <v>40102</v>
      </c>
      <c r="D500" s="37" t="s">
        <v>162</v>
      </c>
      <c r="E500" s="138">
        <v>99</v>
      </c>
      <c r="F500" s="138">
        <v>5</v>
      </c>
      <c r="G500" s="138">
        <v>16</v>
      </c>
      <c r="H500" s="76">
        <v>3974</v>
      </c>
      <c r="I500" s="77">
        <v>755</v>
      </c>
      <c r="J500" s="101">
        <f t="shared" si="43"/>
        <v>151</v>
      </c>
      <c r="K500" s="51">
        <f>+H500/I500</f>
        <v>5.263576158940397</v>
      </c>
      <c r="L500" s="78">
        <v>2588630</v>
      </c>
      <c r="M500" s="101">
        <v>274689</v>
      </c>
      <c r="N500" s="221">
        <f t="shared" si="44"/>
        <v>9.447910067925081</v>
      </c>
      <c r="O500" s="201">
        <v>1</v>
      </c>
    </row>
    <row r="501" spans="1:15" ht="15">
      <c r="A501" s="104">
        <v>498</v>
      </c>
      <c r="B501" s="222" t="s">
        <v>46</v>
      </c>
      <c r="C501" s="46">
        <v>40102</v>
      </c>
      <c r="D501" s="79" t="s">
        <v>162</v>
      </c>
      <c r="E501" s="138">
        <v>99</v>
      </c>
      <c r="F501" s="138">
        <v>9</v>
      </c>
      <c r="G501" s="138">
        <v>14</v>
      </c>
      <c r="H501" s="49">
        <v>3375</v>
      </c>
      <c r="I501" s="77">
        <v>911</v>
      </c>
      <c r="J501" s="101">
        <f t="shared" si="43"/>
        <v>101.22222222222223</v>
      </c>
      <c r="K501" s="51">
        <f>+H501/I501</f>
        <v>3.7047200878155873</v>
      </c>
      <c r="L501" s="52">
        <v>2580177</v>
      </c>
      <c r="M501" s="101">
        <v>273095</v>
      </c>
      <c r="N501" s="221">
        <f>L502/M502</f>
        <v>9.409902320345692</v>
      </c>
      <c r="O501" s="199">
        <v>1</v>
      </c>
    </row>
    <row r="502" spans="1:15" ht="15">
      <c r="A502" s="104">
        <v>499</v>
      </c>
      <c r="B502" s="222" t="s">
        <v>46</v>
      </c>
      <c r="C502" s="46">
        <v>40102</v>
      </c>
      <c r="D502" s="37" t="s">
        <v>162</v>
      </c>
      <c r="E502" s="138">
        <v>99</v>
      </c>
      <c r="F502" s="138">
        <v>5</v>
      </c>
      <c r="G502" s="138">
        <v>17</v>
      </c>
      <c r="H502" s="111">
        <v>2763</v>
      </c>
      <c r="I502" s="112">
        <v>701</v>
      </c>
      <c r="J502" s="101">
        <f>(I502/F502)</f>
        <v>140.2</v>
      </c>
      <c r="K502" s="51">
        <f>(J502/G502)</f>
        <v>8.24705882352941</v>
      </c>
      <c r="L502" s="78">
        <v>2591393</v>
      </c>
      <c r="M502" s="101">
        <v>275390</v>
      </c>
      <c r="N502" s="229">
        <f>+L503/M503</f>
        <v>9.470172742181008</v>
      </c>
      <c r="O502" s="218">
        <v>1</v>
      </c>
    </row>
    <row r="503" spans="1:15" ht="15">
      <c r="A503" s="104">
        <v>500</v>
      </c>
      <c r="B503" s="228" t="s">
        <v>46</v>
      </c>
      <c r="C503" s="80">
        <v>40102</v>
      </c>
      <c r="D503" s="81" t="s">
        <v>162</v>
      </c>
      <c r="E503" s="141">
        <v>99</v>
      </c>
      <c r="F503" s="141">
        <v>15</v>
      </c>
      <c r="G503" s="141">
        <v>12</v>
      </c>
      <c r="H503" s="82">
        <v>2194</v>
      </c>
      <c r="I503" s="98">
        <v>315</v>
      </c>
      <c r="J503" s="83">
        <f aca="true" t="shared" si="45" ref="J503:J508">I503/F503</f>
        <v>21</v>
      </c>
      <c r="K503" s="85">
        <f>+H503/I503</f>
        <v>6.965079365079365</v>
      </c>
      <c r="L503" s="84">
        <v>2575565</v>
      </c>
      <c r="M503" s="83">
        <v>271966</v>
      </c>
      <c r="N503" s="221">
        <f>+L504/M504</f>
        <v>9.28407983208225</v>
      </c>
      <c r="O503" s="201"/>
    </row>
    <row r="504" spans="1:15" ht="15">
      <c r="A504" s="104">
        <v>501</v>
      </c>
      <c r="B504" s="222" t="s">
        <v>46</v>
      </c>
      <c r="C504" s="117">
        <v>40102</v>
      </c>
      <c r="D504" s="37" t="s">
        <v>162</v>
      </c>
      <c r="E504" s="133">
        <v>99</v>
      </c>
      <c r="F504" s="133">
        <v>1</v>
      </c>
      <c r="G504" s="133">
        <v>21</v>
      </c>
      <c r="H504" s="119">
        <v>1980</v>
      </c>
      <c r="I504" s="120">
        <v>1500</v>
      </c>
      <c r="J504" s="122">
        <f t="shared" si="45"/>
        <v>1500</v>
      </c>
      <c r="K504" s="53">
        <f>H504/I504</f>
        <v>1.32</v>
      </c>
      <c r="L504" s="52">
        <v>2609662</v>
      </c>
      <c r="M504" s="122">
        <v>281090</v>
      </c>
      <c r="N504" s="221">
        <f>+L505/M505</f>
        <v>9.467132527995767</v>
      </c>
      <c r="O504" s="199"/>
    </row>
    <row r="505" spans="1:15" ht="15">
      <c r="A505" s="104">
        <v>502</v>
      </c>
      <c r="B505" s="222" t="s">
        <v>46</v>
      </c>
      <c r="C505" s="46">
        <v>40102</v>
      </c>
      <c r="D505" s="79" t="s">
        <v>162</v>
      </c>
      <c r="E505" s="138">
        <v>99</v>
      </c>
      <c r="F505" s="138">
        <v>5</v>
      </c>
      <c r="G505" s="138">
        <v>13</v>
      </c>
      <c r="H505" s="49">
        <v>1237</v>
      </c>
      <c r="I505" s="50">
        <v>218</v>
      </c>
      <c r="J505" s="122">
        <f t="shared" si="45"/>
        <v>43.6</v>
      </c>
      <c r="K505" s="53">
        <f>+H505/I505</f>
        <v>5.674311926605505</v>
      </c>
      <c r="L505" s="52">
        <v>2576802</v>
      </c>
      <c r="M505" s="122">
        <v>272184</v>
      </c>
      <c r="N505" s="221">
        <f>+L506/M506</f>
        <v>9.248832772285288</v>
      </c>
      <c r="O505" s="201"/>
    </row>
    <row r="506" spans="1:15" ht="15">
      <c r="A506" s="104">
        <v>503</v>
      </c>
      <c r="B506" s="227" t="s">
        <v>46</v>
      </c>
      <c r="C506" s="117">
        <v>40102</v>
      </c>
      <c r="D506" s="37" t="s">
        <v>162</v>
      </c>
      <c r="E506" s="133">
        <v>99</v>
      </c>
      <c r="F506" s="133">
        <v>1</v>
      </c>
      <c r="G506" s="133">
        <v>22</v>
      </c>
      <c r="H506" s="119">
        <v>4830</v>
      </c>
      <c r="I506" s="120">
        <v>1610</v>
      </c>
      <c r="J506" s="122">
        <f t="shared" si="45"/>
        <v>1610</v>
      </c>
      <c r="K506" s="53">
        <f>H506/I506</f>
        <v>3</v>
      </c>
      <c r="L506" s="52">
        <v>2612860</v>
      </c>
      <c r="M506" s="122">
        <v>282507</v>
      </c>
      <c r="N506" s="221">
        <f>L507/M507</f>
        <v>9.242811580674362</v>
      </c>
      <c r="O506" s="201"/>
    </row>
    <row r="507" spans="1:15" ht="15">
      <c r="A507" s="104">
        <v>504</v>
      </c>
      <c r="B507" s="219" t="s">
        <v>46</v>
      </c>
      <c r="C507" s="46">
        <v>40102</v>
      </c>
      <c r="D507" s="39" t="s">
        <v>162</v>
      </c>
      <c r="E507" s="133">
        <v>99</v>
      </c>
      <c r="F507" s="133">
        <v>1</v>
      </c>
      <c r="G507" s="133">
        <v>27</v>
      </c>
      <c r="H507" s="119">
        <v>1127</v>
      </c>
      <c r="I507" s="120">
        <v>307</v>
      </c>
      <c r="J507" s="122">
        <f t="shared" si="45"/>
        <v>307</v>
      </c>
      <c r="K507" s="53">
        <f>H507/I507</f>
        <v>3.6710097719869705</v>
      </c>
      <c r="L507" s="52">
        <v>2614015</v>
      </c>
      <c r="M507" s="122">
        <v>282816</v>
      </c>
      <c r="N507" s="280">
        <f>+L507/M507</f>
        <v>9.242811580674362</v>
      </c>
      <c r="O507" s="352"/>
    </row>
    <row r="508" spans="1:15" ht="15">
      <c r="A508" s="104">
        <v>505</v>
      </c>
      <c r="B508" s="219" t="s">
        <v>46</v>
      </c>
      <c r="C508" s="46">
        <v>40102</v>
      </c>
      <c r="D508" s="39" t="s">
        <v>162</v>
      </c>
      <c r="E508" s="133">
        <v>99</v>
      </c>
      <c r="F508" s="133">
        <v>3</v>
      </c>
      <c r="G508" s="133">
        <v>28</v>
      </c>
      <c r="H508" s="119">
        <v>3828</v>
      </c>
      <c r="I508" s="120">
        <v>1060</v>
      </c>
      <c r="J508" s="122">
        <f t="shared" si="45"/>
        <v>353.3333333333333</v>
      </c>
      <c r="K508" s="53">
        <f>+H508/I508</f>
        <v>3.611320754716981</v>
      </c>
      <c r="L508" s="52">
        <v>2617843</v>
      </c>
      <c r="M508" s="122">
        <v>283876</v>
      </c>
      <c r="N508" s="280">
        <f>+L508/M508</f>
        <v>9.221783454747847</v>
      </c>
      <c r="O508" s="203"/>
    </row>
    <row r="509" spans="1:15" ht="15">
      <c r="A509" s="104">
        <v>506</v>
      </c>
      <c r="B509" s="222" t="s">
        <v>33</v>
      </c>
      <c r="C509" s="117">
        <v>40095</v>
      </c>
      <c r="D509" s="37" t="s">
        <v>163</v>
      </c>
      <c r="E509" s="133">
        <v>52</v>
      </c>
      <c r="F509" s="133">
        <v>1</v>
      </c>
      <c r="G509" s="133">
        <v>10</v>
      </c>
      <c r="H509" s="119">
        <v>1780</v>
      </c>
      <c r="I509" s="120">
        <v>445</v>
      </c>
      <c r="J509" s="122">
        <f>(I509/F509)</f>
        <v>445</v>
      </c>
      <c r="K509" s="53">
        <f>H509/I509</f>
        <v>4</v>
      </c>
      <c r="L509" s="52">
        <f>108013.25+68864+27976+10214+2402+2209+1188+2968+1780+1780</f>
        <v>227394.25</v>
      </c>
      <c r="M509" s="122">
        <f>12202+8144+4339+1841+481+460+297+742+445+445</f>
        <v>29396</v>
      </c>
      <c r="N509" s="220">
        <f>L510/M510</f>
        <v>7.955130744849446</v>
      </c>
      <c r="O509" s="202"/>
    </row>
    <row r="510" spans="1:15" ht="15">
      <c r="A510" s="104">
        <v>507</v>
      </c>
      <c r="B510" s="222" t="s">
        <v>33</v>
      </c>
      <c r="C510" s="46">
        <v>40095</v>
      </c>
      <c r="D510" s="47" t="s">
        <v>163</v>
      </c>
      <c r="E510" s="138">
        <v>52</v>
      </c>
      <c r="F510" s="138">
        <v>1</v>
      </c>
      <c r="G510" s="138">
        <v>7</v>
      </c>
      <c r="H510" s="31">
        <v>1188</v>
      </c>
      <c r="I510" s="40">
        <v>297</v>
      </c>
      <c r="J510" s="41">
        <f>(I510/F510)</f>
        <v>297</v>
      </c>
      <c r="K510" s="34">
        <f>H510/I510</f>
        <v>4</v>
      </c>
      <c r="L510" s="35">
        <f>108013.25+68864+27976+10214+2402+2209+1188</f>
        <v>220866.25</v>
      </c>
      <c r="M510" s="42">
        <f>12202+8144+4339+1841+481+460+297</f>
        <v>27764</v>
      </c>
      <c r="N510" s="220">
        <f>L511/M511</f>
        <v>7.661998666444407</v>
      </c>
      <c r="O510" s="199"/>
    </row>
    <row r="511" spans="1:15" ht="15">
      <c r="A511" s="104">
        <v>508</v>
      </c>
      <c r="B511" s="222" t="s">
        <v>33</v>
      </c>
      <c r="C511" s="46">
        <v>40095</v>
      </c>
      <c r="D511" s="37" t="s">
        <v>163</v>
      </c>
      <c r="E511" s="133">
        <v>52</v>
      </c>
      <c r="F511" s="133">
        <v>1</v>
      </c>
      <c r="G511" s="133">
        <v>11</v>
      </c>
      <c r="H511" s="119">
        <v>2427.4</v>
      </c>
      <c r="I511" s="120">
        <v>599</v>
      </c>
      <c r="J511" s="122">
        <f>I511/F511</f>
        <v>599</v>
      </c>
      <c r="K511" s="53">
        <f>+H511/I511</f>
        <v>4.052420701168614</v>
      </c>
      <c r="L511" s="52">
        <f>108013.25+68864+27976+10214+2402+2209+1188+2968+1780+1780+2427.4</f>
        <v>229821.65</v>
      </c>
      <c r="M511" s="122">
        <f>12202+8144+4339+1841+481+460+297+742+445+445+599</f>
        <v>29995</v>
      </c>
      <c r="N511" s="280">
        <f>+L511/M511</f>
        <v>7.661998666444407</v>
      </c>
      <c r="O511" s="203">
        <v>1</v>
      </c>
    </row>
    <row r="512" spans="1:15" ht="15">
      <c r="A512" s="104">
        <v>509</v>
      </c>
      <c r="B512" s="222" t="s">
        <v>33</v>
      </c>
      <c r="C512" s="46">
        <v>40095</v>
      </c>
      <c r="D512" s="48" t="s">
        <v>163</v>
      </c>
      <c r="E512" s="138">
        <v>52</v>
      </c>
      <c r="F512" s="138">
        <v>2</v>
      </c>
      <c r="G512" s="138">
        <v>8</v>
      </c>
      <c r="H512" s="44">
        <v>2968</v>
      </c>
      <c r="I512" s="40">
        <v>742</v>
      </c>
      <c r="J512" s="41">
        <f>(I512/F512)</f>
        <v>371</v>
      </c>
      <c r="K512" s="34">
        <f>H512/I512</f>
        <v>4</v>
      </c>
      <c r="L512" s="45">
        <f>108013.25+68864+27976+10214+2402+2209+1188+2968</f>
        <v>223834.25</v>
      </c>
      <c r="M512" s="42">
        <f>12202+8144+4339+1841+481+460+297+742</f>
        <v>28506</v>
      </c>
      <c r="N512" s="221">
        <f>L513/M513</f>
        <v>7.792969154778764</v>
      </c>
      <c r="O512" s="200"/>
    </row>
    <row r="513" spans="1:15" ht="15">
      <c r="A513" s="104">
        <v>510</v>
      </c>
      <c r="B513" s="222" t="s">
        <v>33</v>
      </c>
      <c r="C513" s="46">
        <v>40095</v>
      </c>
      <c r="D513" s="37" t="s">
        <v>163</v>
      </c>
      <c r="E513" s="138">
        <v>52</v>
      </c>
      <c r="F513" s="138">
        <v>1</v>
      </c>
      <c r="G513" s="138">
        <v>9</v>
      </c>
      <c r="H513" s="115">
        <v>1780</v>
      </c>
      <c r="I513" s="116">
        <v>445</v>
      </c>
      <c r="J513" s="122">
        <f>(I513/F513)</f>
        <v>445</v>
      </c>
      <c r="K513" s="53">
        <f>H513/I513</f>
        <v>4</v>
      </c>
      <c r="L513" s="52">
        <f>108013.25+68864+27976+10214+2402+2209+1188+2968+1780</f>
        <v>225614.25</v>
      </c>
      <c r="M513" s="122">
        <f>12202+8144+4339+1841+481+460+297+742+445</f>
        <v>28951</v>
      </c>
      <c r="N513" s="220">
        <f>IF(L514&lt;&gt;0,L514/M514,"")</f>
        <v>7.651966956984243</v>
      </c>
      <c r="O513" s="201"/>
    </row>
    <row r="514" spans="1:15" ht="15">
      <c r="A514" s="104">
        <v>511</v>
      </c>
      <c r="B514" s="219" t="s">
        <v>33</v>
      </c>
      <c r="C514" s="46">
        <v>40095</v>
      </c>
      <c r="D514" s="37" t="s">
        <v>163</v>
      </c>
      <c r="E514" s="133">
        <v>52</v>
      </c>
      <c r="F514" s="133">
        <v>1</v>
      </c>
      <c r="G514" s="133">
        <v>12</v>
      </c>
      <c r="H514" s="337">
        <v>364.82</v>
      </c>
      <c r="I514" s="338">
        <v>87</v>
      </c>
      <c r="J514" s="122">
        <f>(I514/F514)</f>
        <v>87</v>
      </c>
      <c r="K514" s="53">
        <f>H514/I514</f>
        <v>4.193333333333333</v>
      </c>
      <c r="L514" s="52">
        <f>108013.25+68864+27976+10214+2402+2209+1188+2968+1780+1780+2427.4+364.82</f>
        <v>230186.47</v>
      </c>
      <c r="M514" s="122">
        <f>12202+8144+4339+1841+481+460+297+742+445+445+599+87</f>
        <v>30082</v>
      </c>
      <c r="N514" s="280">
        <f>L514/M514</f>
        <v>7.651966956984243</v>
      </c>
      <c r="O514" s="203">
        <v>1</v>
      </c>
    </row>
    <row r="515" spans="1:15" ht="15">
      <c r="A515" s="104">
        <v>512</v>
      </c>
      <c r="B515" s="222" t="s">
        <v>29</v>
      </c>
      <c r="C515" s="46">
        <v>39822</v>
      </c>
      <c r="D515" s="48" t="s">
        <v>165</v>
      </c>
      <c r="E515" s="138">
        <v>175</v>
      </c>
      <c r="F515" s="138">
        <v>1</v>
      </c>
      <c r="G515" s="138">
        <v>25</v>
      </c>
      <c r="H515" s="44">
        <v>30203</v>
      </c>
      <c r="I515" s="40">
        <v>6041</v>
      </c>
      <c r="J515" s="41">
        <f>IF(H515&lt;&gt;0,I515/F515,"")</f>
        <v>6041</v>
      </c>
      <c r="K515" s="34">
        <f>IF(H515&lt;&gt;0,H515/I515,"")</f>
        <v>4.999668928985267</v>
      </c>
      <c r="L515" s="45">
        <v>3549661</v>
      </c>
      <c r="M515" s="42">
        <v>486849</v>
      </c>
      <c r="N515" s="221">
        <f>IF(L516&lt;&gt;0,L516/M516,"")</f>
        <v>7.285740047419102</v>
      </c>
      <c r="O515" s="203"/>
    </row>
    <row r="516" spans="1:15" ht="15">
      <c r="A516" s="104">
        <v>513</v>
      </c>
      <c r="B516" s="222" t="s">
        <v>178</v>
      </c>
      <c r="C516" s="46">
        <v>39822</v>
      </c>
      <c r="D516" s="37" t="s">
        <v>165</v>
      </c>
      <c r="E516" s="138">
        <v>175</v>
      </c>
      <c r="F516" s="138">
        <v>1</v>
      </c>
      <c r="G516" s="138">
        <v>26</v>
      </c>
      <c r="H516" s="115">
        <v>5700</v>
      </c>
      <c r="I516" s="116">
        <v>1140</v>
      </c>
      <c r="J516" s="122">
        <f>IF(H516&lt;&gt;0,I516/F516,"")</f>
        <v>1140</v>
      </c>
      <c r="K516" s="53">
        <f>IF(H516&lt;&gt;0,H516/I516,"")</f>
        <v>5</v>
      </c>
      <c r="L516" s="52">
        <v>3555361</v>
      </c>
      <c r="M516" s="122">
        <v>487989</v>
      </c>
      <c r="N516" s="229">
        <f>+L517/M517</f>
        <v>9.97829590630708</v>
      </c>
      <c r="O516" s="201">
        <v>1</v>
      </c>
    </row>
    <row r="517" spans="1:15" ht="15">
      <c r="A517" s="104">
        <v>514</v>
      </c>
      <c r="B517" s="339" t="s">
        <v>138</v>
      </c>
      <c r="C517" s="340">
        <v>40165</v>
      </c>
      <c r="D517" s="341" t="s">
        <v>162</v>
      </c>
      <c r="E517" s="342">
        <v>109</v>
      </c>
      <c r="F517" s="342">
        <v>70</v>
      </c>
      <c r="G517" s="342">
        <v>3</v>
      </c>
      <c r="H517" s="343">
        <v>175077</v>
      </c>
      <c r="I517" s="344">
        <v>16879</v>
      </c>
      <c r="J517" s="345">
        <f>I517/F517</f>
        <v>241.12857142857143</v>
      </c>
      <c r="K517" s="346">
        <f>+H517/I517</f>
        <v>10.372474672670181</v>
      </c>
      <c r="L517" s="347">
        <v>1207284</v>
      </c>
      <c r="M517" s="345">
        <v>120991</v>
      </c>
      <c r="N517" s="348">
        <f>+L518/M518</f>
        <v>9.946799536427497</v>
      </c>
      <c r="O517" s="349"/>
    </row>
    <row r="518" spans="1:15" ht="15">
      <c r="A518" s="104">
        <v>515</v>
      </c>
      <c r="B518" s="222" t="s">
        <v>197</v>
      </c>
      <c r="C518" s="46">
        <v>40165</v>
      </c>
      <c r="D518" s="79" t="s">
        <v>162</v>
      </c>
      <c r="E518" s="138">
        <v>109</v>
      </c>
      <c r="F518" s="138">
        <v>39</v>
      </c>
      <c r="G518" s="138">
        <v>4</v>
      </c>
      <c r="H518" s="49">
        <v>54378</v>
      </c>
      <c r="I518" s="50">
        <v>5850</v>
      </c>
      <c r="J518" s="122">
        <f>I518/F518</f>
        <v>150</v>
      </c>
      <c r="K518" s="53">
        <f>+H518/I518</f>
        <v>9.295384615384615</v>
      </c>
      <c r="L518" s="52">
        <v>1261662</v>
      </c>
      <c r="M518" s="122">
        <v>126841</v>
      </c>
      <c r="N518" s="221">
        <f>+L519/M519</f>
        <v>9.838538139506248</v>
      </c>
      <c r="O518" s="201"/>
    </row>
    <row r="519" spans="1:15" ht="15">
      <c r="A519" s="104">
        <v>516</v>
      </c>
      <c r="B519" s="222" t="s">
        <v>197</v>
      </c>
      <c r="C519" s="46">
        <v>40165</v>
      </c>
      <c r="D519" s="79" t="s">
        <v>162</v>
      </c>
      <c r="E519" s="138">
        <v>109</v>
      </c>
      <c r="F519" s="138">
        <v>19</v>
      </c>
      <c r="G519" s="138">
        <v>5</v>
      </c>
      <c r="H519" s="49">
        <v>16797</v>
      </c>
      <c r="I519" s="77">
        <v>3103</v>
      </c>
      <c r="J519" s="101">
        <f>I519/F519</f>
        <v>163.31578947368422</v>
      </c>
      <c r="K519" s="51">
        <f>+H519/I519</f>
        <v>5.413148565903964</v>
      </c>
      <c r="L519" s="52">
        <v>1278459</v>
      </c>
      <c r="M519" s="101">
        <v>129944</v>
      </c>
      <c r="N519" s="221">
        <f>+L520/M520</f>
        <v>9.81528511652057</v>
      </c>
      <c r="O519" s="200"/>
    </row>
    <row r="520" spans="1:15" ht="15">
      <c r="A520" s="104">
        <v>517</v>
      </c>
      <c r="B520" s="222" t="s">
        <v>117</v>
      </c>
      <c r="C520" s="46">
        <v>40165</v>
      </c>
      <c r="D520" s="37" t="s">
        <v>162</v>
      </c>
      <c r="E520" s="138">
        <v>109</v>
      </c>
      <c r="F520" s="138">
        <v>3</v>
      </c>
      <c r="G520" s="138">
        <v>7</v>
      </c>
      <c r="H520" s="76">
        <v>3736</v>
      </c>
      <c r="I520" s="77">
        <v>537</v>
      </c>
      <c r="J520" s="101">
        <f>I520/F520</f>
        <v>179</v>
      </c>
      <c r="K520" s="51">
        <f>+H520/I520</f>
        <v>6.957169459962756</v>
      </c>
      <c r="L520" s="78">
        <v>1285449</v>
      </c>
      <c r="M520" s="101">
        <v>130964</v>
      </c>
      <c r="N520" s="221">
        <f>+L521/M521</f>
        <v>9.827052680809954</v>
      </c>
      <c r="O520" s="202"/>
    </row>
    <row r="521" spans="1:15" ht="15">
      <c r="A521" s="104">
        <v>518</v>
      </c>
      <c r="B521" s="222" t="s">
        <v>197</v>
      </c>
      <c r="C521" s="46">
        <v>40165</v>
      </c>
      <c r="D521" s="86" t="s">
        <v>162</v>
      </c>
      <c r="E521" s="138">
        <v>109</v>
      </c>
      <c r="F521" s="138">
        <v>5</v>
      </c>
      <c r="G521" s="138">
        <v>6</v>
      </c>
      <c r="H521" s="76">
        <v>3254</v>
      </c>
      <c r="I521" s="77">
        <v>483</v>
      </c>
      <c r="J521" s="101">
        <f>I521/F521</f>
        <v>96.6</v>
      </c>
      <c r="K521" s="51">
        <f>+H521/I521</f>
        <v>6.737060041407868</v>
      </c>
      <c r="L521" s="78">
        <v>1281713</v>
      </c>
      <c r="M521" s="101">
        <v>130427</v>
      </c>
      <c r="N521" s="221">
        <f>L522/M522</f>
        <v>9.811742635115039</v>
      </c>
      <c r="O521" s="201"/>
    </row>
    <row r="522" spans="1:15" ht="15">
      <c r="A522" s="104">
        <v>519</v>
      </c>
      <c r="B522" s="222" t="s">
        <v>197</v>
      </c>
      <c r="C522" s="46">
        <v>40165</v>
      </c>
      <c r="D522" s="37" t="s">
        <v>162</v>
      </c>
      <c r="E522" s="138">
        <v>109</v>
      </c>
      <c r="F522" s="138">
        <v>1</v>
      </c>
      <c r="G522" s="138">
        <v>8</v>
      </c>
      <c r="H522" s="111">
        <v>1155</v>
      </c>
      <c r="I522" s="112">
        <v>165</v>
      </c>
      <c r="J522" s="101">
        <f>(I522/F522)</f>
        <v>165</v>
      </c>
      <c r="K522" s="51">
        <f>(J522/G522)</f>
        <v>20.625</v>
      </c>
      <c r="L522" s="78">
        <v>1286604</v>
      </c>
      <c r="M522" s="101">
        <v>131129</v>
      </c>
      <c r="N522" s="221">
        <f>+L523/M523</f>
        <v>9.809450150873236</v>
      </c>
      <c r="O522" s="203"/>
    </row>
    <row r="523" spans="1:15" ht="15">
      <c r="A523" s="104">
        <v>520</v>
      </c>
      <c r="B523" s="222" t="s">
        <v>197</v>
      </c>
      <c r="C523" s="46">
        <v>40165</v>
      </c>
      <c r="D523" s="37" t="s">
        <v>162</v>
      </c>
      <c r="E523" s="138">
        <v>109</v>
      </c>
      <c r="F523" s="138">
        <v>1</v>
      </c>
      <c r="G523" s="138">
        <v>9</v>
      </c>
      <c r="H523" s="115">
        <v>749</v>
      </c>
      <c r="I523" s="116">
        <v>107</v>
      </c>
      <c r="J523" s="122">
        <f>I523/F523</f>
        <v>107</v>
      </c>
      <c r="K523" s="53">
        <f>+H523/I523</f>
        <v>7</v>
      </c>
      <c r="L523" s="52">
        <v>1287353</v>
      </c>
      <c r="M523" s="122">
        <v>131236</v>
      </c>
      <c r="N523" s="221">
        <f>+L524/M524</f>
        <v>9.808508531383303</v>
      </c>
      <c r="O523" s="203"/>
    </row>
    <row r="524" spans="1:15" ht="15">
      <c r="A524" s="104">
        <v>521</v>
      </c>
      <c r="B524" s="222" t="s">
        <v>197</v>
      </c>
      <c r="C524" s="46">
        <v>40165</v>
      </c>
      <c r="D524" s="37" t="s">
        <v>162</v>
      </c>
      <c r="E524" s="138">
        <v>109</v>
      </c>
      <c r="F524" s="138">
        <v>1</v>
      </c>
      <c r="G524" s="138">
        <v>10</v>
      </c>
      <c r="H524" s="115">
        <v>308</v>
      </c>
      <c r="I524" s="116">
        <v>44</v>
      </c>
      <c r="J524" s="122">
        <f>I524/F524</f>
        <v>44</v>
      </c>
      <c r="K524" s="53">
        <f aca="true" t="shared" si="46" ref="K524:K529">H524/I524</f>
        <v>7</v>
      </c>
      <c r="L524" s="52">
        <v>1287661</v>
      </c>
      <c r="M524" s="122">
        <v>131280</v>
      </c>
      <c r="N524" s="220">
        <f>L525/M525</f>
        <v>9.806134483834395</v>
      </c>
      <c r="O524" s="203"/>
    </row>
    <row r="525" spans="1:15" ht="15">
      <c r="A525" s="104">
        <v>522</v>
      </c>
      <c r="B525" s="219" t="s">
        <v>138</v>
      </c>
      <c r="C525" s="46">
        <v>40165</v>
      </c>
      <c r="D525" s="39" t="s">
        <v>162</v>
      </c>
      <c r="E525" s="138">
        <v>109</v>
      </c>
      <c r="F525" s="138">
        <v>1</v>
      </c>
      <c r="G525" s="133">
        <v>17</v>
      </c>
      <c r="H525" s="119">
        <v>1028</v>
      </c>
      <c r="I525" s="120">
        <v>139</v>
      </c>
      <c r="J525" s="122">
        <f>I525/F525</f>
        <v>139</v>
      </c>
      <c r="K525" s="53">
        <f t="shared" si="46"/>
        <v>7.39568345323741</v>
      </c>
      <c r="L525" s="52">
        <v>1288732</v>
      </c>
      <c r="M525" s="122">
        <v>131421</v>
      </c>
      <c r="N525" s="280">
        <f>+L525/M525</f>
        <v>9.806134483834395</v>
      </c>
      <c r="O525" s="277">
        <v>1</v>
      </c>
    </row>
    <row r="526" spans="1:15" ht="15">
      <c r="A526" s="104">
        <v>523</v>
      </c>
      <c r="B526" s="223" t="s">
        <v>20</v>
      </c>
      <c r="C526" s="62">
        <v>40046</v>
      </c>
      <c r="D526" s="63" t="s">
        <v>163</v>
      </c>
      <c r="E526" s="139">
        <v>5</v>
      </c>
      <c r="F526" s="139">
        <v>1</v>
      </c>
      <c r="G526" s="139">
        <v>18</v>
      </c>
      <c r="H526" s="31">
        <v>555</v>
      </c>
      <c r="I526" s="40">
        <v>90</v>
      </c>
      <c r="J526" s="41">
        <f aca="true" t="shared" si="47" ref="J526:J531">(I526/F526)</f>
        <v>90</v>
      </c>
      <c r="K526" s="34">
        <f t="shared" si="46"/>
        <v>6.166666666666667</v>
      </c>
      <c r="L526" s="35">
        <f>29266.75+13116.25+9279.25+8463+18147.5+3121+4110+6763+926+5173.5+9461.5+192+486+2002+382+72+487.5+555</f>
        <v>112004.25</v>
      </c>
      <c r="M526" s="42">
        <f>2425+1257+1223+1013+2360+455+662+1253+138+745+1554+44+79+353+69+18+78+90</f>
        <v>13816</v>
      </c>
      <c r="N526" s="220">
        <f>L527/M527</f>
        <v>8.119572344455777</v>
      </c>
      <c r="O526" s="203"/>
    </row>
    <row r="527" spans="1:15" ht="15">
      <c r="A527" s="104">
        <v>524</v>
      </c>
      <c r="B527" s="222" t="s">
        <v>20</v>
      </c>
      <c r="C527" s="46">
        <v>40046</v>
      </c>
      <c r="D527" s="47" t="s">
        <v>163</v>
      </c>
      <c r="E527" s="138">
        <v>5</v>
      </c>
      <c r="F527" s="138">
        <v>1</v>
      </c>
      <c r="G527" s="138">
        <v>17</v>
      </c>
      <c r="H527" s="31">
        <v>487.5</v>
      </c>
      <c r="I527" s="32">
        <v>78</v>
      </c>
      <c r="J527" s="33">
        <f t="shared" si="47"/>
        <v>78</v>
      </c>
      <c r="K527" s="38">
        <f t="shared" si="46"/>
        <v>6.25</v>
      </c>
      <c r="L527" s="35">
        <f>29266.75+13116.25+9279.25+8463+18147.5+3121+4110+6763+926+5173.5+9461.5+192+486+2002+382+72+487.5</f>
        <v>111449.25</v>
      </c>
      <c r="M527" s="36">
        <f>2425+1257+1223+1013+2360+455+662+1253+138+745+1554+44+79+353+69+18+78</f>
        <v>13726</v>
      </c>
      <c r="N527" s="220">
        <f>L528/M528</f>
        <v>8.096188453786352</v>
      </c>
      <c r="O527" s="203"/>
    </row>
    <row r="528" spans="1:15" ht="15">
      <c r="A528" s="104">
        <v>525</v>
      </c>
      <c r="B528" s="222" t="s">
        <v>20</v>
      </c>
      <c r="C528" s="46">
        <v>40046</v>
      </c>
      <c r="D528" s="48" t="s">
        <v>163</v>
      </c>
      <c r="E528" s="138">
        <v>5</v>
      </c>
      <c r="F528" s="138">
        <v>1</v>
      </c>
      <c r="G528" s="138">
        <v>19</v>
      </c>
      <c r="H528" s="44">
        <v>468</v>
      </c>
      <c r="I528" s="40">
        <v>76</v>
      </c>
      <c r="J528" s="41">
        <f t="shared" si="47"/>
        <v>76</v>
      </c>
      <c r="K528" s="34">
        <f t="shared" si="46"/>
        <v>6.157894736842105</v>
      </c>
      <c r="L528" s="45">
        <f>29266.75+13116.25+9279.25+8463+18147.5+3121+4110+6763+926+5173.5+9461.5+192+486+2002+382+72+487.5+555+468</f>
        <v>112472.25</v>
      </c>
      <c r="M528" s="42">
        <f>2425+1257+1223+1013+2360+455+662+1253+138+745+1554+44+79+353+69+18+78+90+76</f>
        <v>13892</v>
      </c>
      <c r="N528" s="221">
        <f>L529/M529</f>
        <v>8.085977793696275</v>
      </c>
      <c r="O528" s="203"/>
    </row>
    <row r="529" spans="1:15" ht="15">
      <c r="A529" s="104">
        <v>526</v>
      </c>
      <c r="B529" s="222" t="s">
        <v>20</v>
      </c>
      <c r="C529" s="46">
        <v>40046</v>
      </c>
      <c r="D529" s="37" t="s">
        <v>163</v>
      </c>
      <c r="E529" s="138">
        <v>5</v>
      </c>
      <c r="F529" s="138">
        <v>1</v>
      </c>
      <c r="G529" s="138">
        <v>21</v>
      </c>
      <c r="H529" s="111">
        <v>222</v>
      </c>
      <c r="I529" s="112">
        <v>37</v>
      </c>
      <c r="J529" s="101">
        <f t="shared" si="47"/>
        <v>37</v>
      </c>
      <c r="K529" s="51">
        <f t="shared" si="46"/>
        <v>6</v>
      </c>
      <c r="L529" s="78">
        <f>29266.75+13116.25+9279.25+8463+18147.5+3121+4110+6763+926+5173.5+9461.5+192+486+2002+382+72+487.5+555+468+186+222</f>
        <v>112880.25</v>
      </c>
      <c r="M529" s="101">
        <f>2425+1257+1223+1013+2360+455+662+1253+138+745+1554+44+79+353+69+18+78+90+76+31+37</f>
        <v>13960</v>
      </c>
      <c r="N529" s="220">
        <f>L530/M530</f>
        <v>8.091521223874166</v>
      </c>
      <c r="O529" s="203"/>
    </row>
    <row r="530" spans="1:15" ht="15">
      <c r="A530" s="104">
        <v>527</v>
      </c>
      <c r="B530" s="223" t="s">
        <v>20</v>
      </c>
      <c r="C530" s="62">
        <v>40046</v>
      </c>
      <c r="D530" s="63" t="s">
        <v>163</v>
      </c>
      <c r="E530" s="139">
        <v>5</v>
      </c>
      <c r="F530" s="139">
        <v>1</v>
      </c>
      <c r="G530" s="139">
        <v>20</v>
      </c>
      <c r="H530" s="44">
        <v>186</v>
      </c>
      <c r="I530" s="40">
        <v>31</v>
      </c>
      <c r="J530" s="41">
        <f t="shared" si="47"/>
        <v>31</v>
      </c>
      <c r="K530" s="51">
        <f>+H530/I530</f>
        <v>6</v>
      </c>
      <c r="L530" s="45">
        <f>29266.75+13116.25+9279.25+8463+18147.5+3121+4110+6763+926+5173.5+9461.5+192+486+2002+382+72+487.5+555+468+186</f>
        <v>112658.25</v>
      </c>
      <c r="M530" s="42">
        <f>2425+1257+1223+1013+2360+455+662+1253+138+745+1554+44+79+353+69+18+78+90+76+31</f>
        <v>13923</v>
      </c>
      <c r="N530" s="220">
        <f>L531/M531</f>
        <v>8.130257180539273</v>
      </c>
      <c r="O530" s="203">
        <v>1</v>
      </c>
    </row>
    <row r="531" spans="1:15" ht="15">
      <c r="A531" s="104">
        <v>528</v>
      </c>
      <c r="B531" s="222" t="s">
        <v>20</v>
      </c>
      <c r="C531" s="46">
        <v>40046</v>
      </c>
      <c r="D531" s="48" t="s">
        <v>163</v>
      </c>
      <c r="E531" s="138">
        <v>5</v>
      </c>
      <c r="F531" s="138">
        <v>1</v>
      </c>
      <c r="G531" s="138">
        <v>16</v>
      </c>
      <c r="H531" s="31">
        <v>72</v>
      </c>
      <c r="I531" s="32">
        <v>18</v>
      </c>
      <c r="J531" s="33">
        <f t="shared" si="47"/>
        <v>18</v>
      </c>
      <c r="K531" s="34">
        <f>H531/I531</f>
        <v>4</v>
      </c>
      <c r="L531" s="35">
        <f>29266.75+13116.25+9279.25+8463+18147.5+3121+4110+6763+926+5173.5+9461.5+192+486+2002+382+72</f>
        <v>110961.75</v>
      </c>
      <c r="M531" s="36">
        <f>2425+1257+1223+1013+2360+455+662+1253+138+745+1554+44+79+353+69+18</f>
        <v>13648</v>
      </c>
      <c r="N531" s="224">
        <f>IF(L532&lt;&gt;0,L532/M532,"")</f>
        <v>6.606494221243809</v>
      </c>
      <c r="O531" s="203"/>
    </row>
    <row r="532" spans="1:15" ht="15">
      <c r="A532" s="104">
        <v>529</v>
      </c>
      <c r="B532" s="222" t="s">
        <v>89</v>
      </c>
      <c r="C532" s="46">
        <v>40144</v>
      </c>
      <c r="D532" s="47" t="s">
        <v>90</v>
      </c>
      <c r="E532" s="138">
        <v>2</v>
      </c>
      <c r="F532" s="138">
        <v>1</v>
      </c>
      <c r="G532" s="138">
        <v>3</v>
      </c>
      <c r="H532" s="49">
        <v>6827</v>
      </c>
      <c r="I532" s="50">
        <v>1058</v>
      </c>
      <c r="J532" s="67">
        <f>I532/F532</f>
        <v>1058</v>
      </c>
      <c r="K532" s="72">
        <f>H532/I532</f>
        <v>6.452741020793951</v>
      </c>
      <c r="L532" s="52">
        <v>12004</v>
      </c>
      <c r="M532" s="122">
        <v>1817</v>
      </c>
      <c r="N532" s="224">
        <f>IF(L533&lt;&gt;0,L533/M533,"")</f>
        <v>6.478410206084397</v>
      </c>
      <c r="O532" s="203"/>
    </row>
    <row r="533" spans="1:15" ht="15">
      <c r="A533" s="104">
        <v>530</v>
      </c>
      <c r="B533" s="222" t="s">
        <v>89</v>
      </c>
      <c r="C533" s="46">
        <v>40144</v>
      </c>
      <c r="D533" s="47" t="s">
        <v>90</v>
      </c>
      <c r="E533" s="138">
        <v>2</v>
      </c>
      <c r="F533" s="138">
        <v>1</v>
      </c>
      <c r="G533" s="138">
        <v>4</v>
      </c>
      <c r="H533" s="49">
        <v>1199</v>
      </c>
      <c r="I533" s="50">
        <v>221</v>
      </c>
      <c r="J533" s="67">
        <f>I533/F533</f>
        <v>221</v>
      </c>
      <c r="K533" s="72">
        <f>H533/I533</f>
        <v>5.425339366515837</v>
      </c>
      <c r="L533" s="52">
        <v>13203</v>
      </c>
      <c r="M533" s="122">
        <v>2038</v>
      </c>
      <c r="N533" s="221">
        <f>+L534/M534</f>
        <v>7.814875111648855</v>
      </c>
      <c r="O533" s="203">
        <v>1</v>
      </c>
    </row>
    <row r="534" spans="1:15" ht="15">
      <c r="A534" s="104">
        <v>531</v>
      </c>
      <c r="B534" s="219" t="s">
        <v>133</v>
      </c>
      <c r="C534" s="46">
        <v>39731</v>
      </c>
      <c r="D534" s="118" t="s">
        <v>165</v>
      </c>
      <c r="E534" s="133">
        <v>131</v>
      </c>
      <c r="F534" s="133">
        <v>1</v>
      </c>
      <c r="G534" s="133">
        <v>15</v>
      </c>
      <c r="H534" s="119">
        <v>80</v>
      </c>
      <c r="I534" s="120">
        <v>20</v>
      </c>
      <c r="J534" s="122">
        <f>I534/F534</f>
        <v>20</v>
      </c>
      <c r="K534" s="53">
        <f>+H534/I534</f>
        <v>4</v>
      </c>
      <c r="L534" s="52">
        <v>1233664</v>
      </c>
      <c r="M534" s="122">
        <v>157861</v>
      </c>
      <c r="N534" s="280">
        <f>+L534/M534</f>
        <v>7.814875111648855</v>
      </c>
      <c r="O534" s="203">
        <v>1</v>
      </c>
    </row>
    <row r="535" spans="1:15" ht="15">
      <c r="A535" s="104">
        <v>532</v>
      </c>
      <c r="B535" s="219" t="s">
        <v>133</v>
      </c>
      <c r="C535" s="46">
        <v>39731</v>
      </c>
      <c r="D535" s="118" t="s">
        <v>165</v>
      </c>
      <c r="E535" s="133">
        <v>131</v>
      </c>
      <c r="F535" s="133">
        <v>1</v>
      </c>
      <c r="G535" s="133">
        <v>16</v>
      </c>
      <c r="H535" s="337">
        <v>64</v>
      </c>
      <c r="I535" s="338">
        <v>16</v>
      </c>
      <c r="J535" s="122">
        <f>IF(H535&lt;&gt;0,I535/F535,"")</f>
        <v>16</v>
      </c>
      <c r="K535" s="53">
        <f>IF(H535&lt;&gt;0,H535/I535,"")</f>
        <v>4</v>
      </c>
      <c r="L535" s="52">
        <v>1233728</v>
      </c>
      <c r="M535" s="122">
        <v>157877</v>
      </c>
      <c r="N535" s="280">
        <f>IF(L535&lt;&gt;0,L535/M535,"")</f>
        <v>7.814488494207516</v>
      </c>
      <c r="O535" s="203">
        <v>1</v>
      </c>
    </row>
    <row r="536" spans="1:15" ht="15">
      <c r="A536" s="104">
        <v>533</v>
      </c>
      <c r="B536" s="222" t="s">
        <v>82</v>
      </c>
      <c r="C536" s="117">
        <v>39717</v>
      </c>
      <c r="D536" s="37" t="s">
        <v>162</v>
      </c>
      <c r="E536" s="133">
        <v>130</v>
      </c>
      <c r="F536" s="133">
        <v>1</v>
      </c>
      <c r="G536" s="133">
        <v>76</v>
      </c>
      <c r="H536" s="119">
        <v>4480</v>
      </c>
      <c r="I536" s="120">
        <v>1120</v>
      </c>
      <c r="J536" s="122">
        <f>I536/F536</f>
        <v>1120</v>
      </c>
      <c r="K536" s="53">
        <f>H536/I536</f>
        <v>4</v>
      </c>
      <c r="L536" s="52">
        <v>1486065</v>
      </c>
      <c r="M536" s="122">
        <v>173364</v>
      </c>
      <c r="N536" s="221">
        <f aca="true" t="shared" si="48" ref="N536:N542">+L537/M537</f>
        <v>8.533233589571617</v>
      </c>
      <c r="O536" s="324"/>
    </row>
    <row r="537" spans="1:15" ht="15">
      <c r="A537" s="104">
        <v>534</v>
      </c>
      <c r="B537" s="227" t="s">
        <v>82</v>
      </c>
      <c r="C537" s="117">
        <v>39717</v>
      </c>
      <c r="D537" s="37" t="s">
        <v>162</v>
      </c>
      <c r="E537" s="133">
        <v>130</v>
      </c>
      <c r="F537" s="133">
        <v>1</v>
      </c>
      <c r="G537" s="133">
        <v>77</v>
      </c>
      <c r="H537" s="119">
        <v>5600</v>
      </c>
      <c r="I537" s="120">
        <v>1400</v>
      </c>
      <c r="J537" s="122">
        <f>I537/F537</f>
        <v>1400</v>
      </c>
      <c r="K537" s="53">
        <f>H537/I537</f>
        <v>4</v>
      </c>
      <c r="L537" s="52">
        <v>1488597</v>
      </c>
      <c r="M537" s="122">
        <v>174447</v>
      </c>
      <c r="N537" s="221">
        <f t="shared" si="48"/>
        <v>7.154394845835251</v>
      </c>
      <c r="O537" s="203"/>
    </row>
    <row r="538" spans="1:15" ht="15">
      <c r="A538" s="104">
        <v>535</v>
      </c>
      <c r="B538" s="225" t="s">
        <v>16</v>
      </c>
      <c r="C538" s="29">
        <v>40060</v>
      </c>
      <c r="D538" s="87" t="s">
        <v>112</v>
      </c>
      <c r="E538" s="140">
        <v>60</v>
      </c>
      <c r="F538" s="140">
        <v>1</v>
      </c>
      <c r="G538" s="140">
        <v>9</v>
      </c>
      <c r="H538" s="88">
        <v>722</v>
      </c>
      <c r="I538" s="89">
        <v>98</v>
      </c>
      <c r="J538" s="56">
        <f>+I538/F538</f>
        <v>98</v>
      </c>
      <c r="K538" s="57">
        <f>+H538/I538</f>
        <v>7.36734693877551</v>
      </c>
      <c r="L538" s="90">
        <v>31093</v>
      </c>
      <c r="M538" s="91">
        <v>4346</v>
      </c>
      <c r="N538" s="220">
        <f t="shared" si="48"/>
        <v>10.148068669527897</v>
      </c>
      <c r="O538" s="203">
        <v>1</v>
      </c>
    </row>
    <row r="539" spans="1:15" ht="15">
      <c r="A539" s="104">
        <v>536</v>
      </c>
      <c r="B539" s="219" t="s">
        <v>62</v>
      </c>
      <c r="C539" s="29">
        <v>40172</v>
      </c>
      <c r="D539" s="30" t="s">
        <v>161</v>
      </c>
      <c r="E539" s="137">
        <v>40</v>
      </c>
      <c r="F539" s="137">
        <v>34</v>
      </c>
      <c r="G539" s="137">
        <v>2</v>
      </c>
      <c r="H539" s="31">
        <v>15275</v>
      </c>
      <c r="I539" s="32">
        <v>1524</v>
      </c>
      <c r="J539" s="33">
        <f>I539/F539</f>
        <v>44.8235294117647</v>
      </c>
      <c r="K539" s="34">
        <f>H539/I539</f>
        <v>10.022965879265092</v>
      </c>
      <c r="L539" s="35">
        <f>74576+15275</f>
        <v>89851</v>
      </c>
      <c r="M539" s="36">
        <f>7330+1524</f>
        <v>8854</v>
      </c>
      <c r="N539" s="220">
        <f t="shared" si="48"/>
        <v>9.646523907304195</v>
      </c>
      <c r="O539" s="203"/>
    </row>
    <row r="540" spans="1:15" ht="15">
      <c r="A540" s="104">
        <v>537</v>
      </c>
      <c r="B540" s="219" t="s">
        <v>62</v>
      </c>
      <c r="C540" s="29">
        <v>40172</v>
      </c>
      <c r="D540" s="39" t="s">
        <v>161</v>
      </c>
      <c r="E540" s="137">
        <v>40</v>
      </c>
      <c r="F540" s="137">
        <v>8</v>
      </c>
      <c r="G540" s="137">
        <v>4</v>
      </c>
      <c r="H540" s="31">
        <v>5335</v>
      </c>
      <c r="I540" s="40">
        <v>870</v>
      </c>
      <c r="J540" s="41">
        <f>I540/F540</f>
        <v>108.75</v>
      </c>
      <c r="K540" s="34">
        <f>H540/I540</f>
        <v>6.132183908045977</v>
      </c>
      <c r="L540" s="35">
        <f>74576+15275+3431+38+5335</f>
        <v>98655</v>
      </c>
      <c r="M540" s="42">
        <f>7330+1524+499+4+870</f>
        <v>10227</v>
      </c>
      <c r="N540" s="220">
        <f t="shared" si="48"/>
        <v>9.973282034840226</v>
      </c>
      <c r="O540" s="203"/>
    </row>
    <row r="541" spans="1:15" ht="15">
      <c r="A541" s="104">
        <v>538</v>
      </c>
      <c r="B541" s="219" t="s">
        <v>62</v>
      </c>
      <c r="C541" s="29">
        <v>40172</v>
      </c>
      <c r="D541" s="37" t="s">
        <v>161</v>
      </c>
      <c r="E541" s="137">
        <v>40</v>
      </c>
      <c r="F541" s="137">
        <v>10</v>
      </c>
      <c r="G541" s="137">
        <v>3</v>
      </c>
      <c r="H541" s="31">
        <f>3431+38</f>
        <v>3469</v>
      </c>
      <c r="I541" s="32">
        <f>499+4</f>
        <v>503</v>
      </c>
      <c r="J541" s="33">
        <f>I541/F541</f>
        <v>50.3</v>
      </c>
      <c r="K541" s="38">
        <f>H541/I541</f>
        <v>6.89662027833002</v>
      </c>
      <c r="L541" s="35">
        <f>74576+15275+3431+38</f>
        <v>93320</v>
      </c>
      <c r="M541" s="36">
        <f>7330+1524+499+4</f>
        <v>9357</v>
      </c>
      <c r="N541" s="220">
        <f t="shared" si="48"/>
        <v>9.62346879253354</v>
      </c>
      <c r="O541" s="203"/>
    </row>
    <row r="542" spans="1:15" ht="15">
      <c r="A542" s="104">
        <v>539</v>
      </c>
      <c r="B542" s="219" t="s">
        <v>62</v>
      </c>
      <c r="C542" s="29">
        <v>40172</v>
      </c>
      <c r="D542" s="37" t="s">
        <v>161</v>
      </c>
      <c r="E542" s="137">
        <v>40</v>
      </c>
      <c r="F542" s="137">
        <v>1</v>
      </c>
      <c r="G542" s="137">
        <v>6</v>
      </c>
      <c r="H542" s="31">
        <v>292</v>
      </c>
      <c r="I542" s="32">
        <v>51</v>
      </c>
      <c r="J542" s="33">
        <f>I542/F542</f>
        <v>51</v>
      </c>
      <c r="K542" s="38">
        <f>H542/I542</f>
        <v>5.7254901960784315</v>
      </c>
      <c r="L542" s="35">
        <f>74576+15275+3431+38+5335+40+292</f>
        <v>98987</v>
      </c>
      <c r="M542" s="36">
        <f>7330+1524+499+4+870+8+51</f>
        <v>10286</v>
      </c>
      <c r="N542" s="220">
        <f t="shared" si="48"/>
        <v>9.642892037127504</v>
      </c>
      <c r="O542" s="203">
        <v>1</v>
      </c>
    </row>
    <row r="543" spans="1:15" ht="15.75" thickBot="1">
      <c r="A543" s="104">
        <v>540</v>
      </c>
      <c r="B543" s="233" t="s">
        <v>62</v>
      </c>
      <c r="C543" s="234">
        <v>40172</v>
      </c>
      <c r="D543" s="256" t="s">
        <v>161</v>
      </c>
      <c r="E543" s="235">
        <v>40</v>
      </c>
      <c r="F543" s="235">
        <v>1</v>
      </c>
      <c r="G543" s="235">
        <v>5</v>
      </c>
      <c r="H543" s="257">
        <v>40</v>
      </c>
      <c r="I543" s="258">
        <v>8</v>
      </c>
      <c r="J543" s="259">
        <f>I543/F543</f>
        <v>8</v>
      </c>
      <c r="K543" s="260">
        <f>H543/I543</f>
        <v>5</v>
      </c>
      <c r="L543" s="261">
        <f>74576+15275+3431+38+5335+40</f>
        <v>98695</v>
      </c>
      <c r="M543" s="262">
        <f>7330+1524+499+4+870+8</f>
        <v>10235</v>
      </c>
      <c r="N543" s="281"/>
      <c r="O543" s="324"/>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38:Q157 N39" formula="1"/>
    <ignoredError sqref="H4:I35 J30:K35 J4:K8 L4:M35 N4:N23 N31:N35 L40:M48 O40:O48" unlockedFormula="1"/>
    <ignoredError sqref="J24:K29 J9:K23 N24:N30 N40:N48"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2010-05-11T04:42:25Z</dcterms:modified>
  <cp:category/>
  <cp:version/>
  <cp:contentType/>
  <cp:contentStatus/>
</cp:coreProperties>
</file>