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295" windowWidth="19320" windowHeight="4965" tabRatio="832" activeTab="0"/>
  </bookViews>
  <sheets>
    <sheet name="12 - 18 Mar' 10 (WK 11)" sheetId="1" r:id="rId1"/>
    <sheet name="01 Jan'-18 Mar'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Jan'-18 Mar' 10 (Annual)'!$A$5:$I$6</definedName>
    <definedName name="_xlnm.Print_Area" localSheetId="0">'12 - 18 Mar'' 10 (WK 11)'!$A$1:$N$86</definedName>
  </definedNames>
  <calcPr fullCalcOnLoad="1"/>
</workbook>
</file>

<file path=xl/sharedStrings.xml><?xml version="1.0" encoding="utf-8"?>
<sst xmlns="http://schemas.openxmlformats.org/spreadsheetml/2006/main" count="1103" uniqueCount="222">
  <si>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</si>
  <si>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</si>
  <si>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</si>
  <si>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</si>
  <si>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</si>
  <si>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</si>
  <si>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</si>
  <si>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</si>
  <si>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</si>
  <si>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</si>
  <si>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</si>
  <si>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</si>
  <si>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</si>
  <si>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</si>
  <si>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</si>
  <si>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</si>
  <si>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</si>
  <si>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</si>
  <si>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</si>
  <si>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</si>
  <si>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</si>
  <si>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</si>
  <si>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</si>
  <si>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</si>
  <si>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</si>
  <si>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</si>
  <si>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</si>
  <si>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</si>
  <si>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</si>
  <si>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</si>
  <si>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</si>
  <si>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</si>
  <si>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</si>
  <si>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</si>
  <si>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</si>
  <si>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</si>
  <si>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</si>
  <si>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</si>
  <si>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</si>
  <si>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</si>
  <si>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</si>
  <si>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</si>
  <si>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</si>
  <si>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</si>
  <si>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</si>
  <si>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</si>
  <si>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</si>
  <si>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</si>
  <si>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</si>
  <si>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</si>
  <si>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 xml:space="preserve">YAHŞİ BATI </t>
    </r>
    <r>
      <rPr>
        <sz val="10"/>
        <color indexed="10"/>
        <rFont val="Arial Black"/>
        <family val="2"/>
      </rPr>
      <t>(LOCAL)</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</si>
  <si>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</si>
  <si>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</si>
  <si>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</si>
  <si>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</si>
  <si>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</si>
  <si>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</si>
  <si>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</si>
  <si>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NIGHT AT THE MUSEUM 2</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</si>
  <si>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</si>
  <si>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</si>
  <si>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</si>
  <si>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</si>
  <si>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</si>
  <si>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</si>
  <si>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</si>
  <si>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</si>
  <si>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</si>
  <si>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</si>
  <si>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</si>
  <si>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</si>
  <si>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</si>
  <si>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</si>
  <si>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</si>
  <si>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</si>
  <si>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</si>
  <si>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</si>
  <si>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</si>
  <si>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</si>
  <si>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</si>
  <si>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</si>
  <si>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</si>
  <si>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</si>
  <si>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</si>
  <si>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</si>
  <si>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</si>
  <si>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</si>
  <si>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</si>
  <si>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</si>
  <si>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</si>
  <si>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</si>
  <si>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</si>
  <si>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</si>
  <si>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</si>
  <si>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</si>
  <si>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</si>
  <si>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</si>
  <si>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</si>
  <si>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</si>
  <si>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</si>
  <si>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</si>
  <si>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</si>
  <si>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</si>
  <si>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</si>
  <si>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</si>
  <si>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</si>
  <si>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</si>
  <si>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</si>
  <si>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</si>
  <si>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</si>
  <si>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</si>
  <si>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</si>
  <si>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</si>
  <si>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</si>
  <si>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</si>
  <si>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</si>
  <si>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</si>
  <si>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</si>
  <si>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</si>
  <si>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</si>
  <si>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</si>
  <si>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</si>
  <si>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</si>
  <si>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</si>
  <si>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</si>
  <si>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</si>
  <si>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</si>
  <si>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</si>
  <si>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</si>
  <si>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</si>
  <si>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</si>
  <si>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</si>
  <si>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</si>
  <si>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</si>
  <si>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</si>
  <si>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</si>
  <si>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</si>
  <si>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</si>
  <si>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</si>
  <si>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</si>
  <si>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</si>
  <si>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</si>
  <si>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</si>
  <si>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</si>
  <si>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</si>
  <si>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</si>
  <si>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</si>
  <si>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</si>
  <si>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</si>
  <si>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</si>
  <si>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</si>
  <si>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</si>
  <si>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</si>
  <si>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</si>
  <si>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</si>
  <si>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</si>
  <si>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</si>
  <si>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</si>
  <si>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</si>
  <si>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</si>
  <si>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</si>
  <si>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</si>
  <si>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</si>
  <si>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</si>
  <si>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</si>
  <si>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</si>
  <si>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</si>
  <si>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KUTSAL DAMACANA 2: İTMEN </t>
    </r>
    <r>
      <rPr>
        <b/>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</si>
  <si>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</si>
  <si>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</si>
  <si>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</si>
  <si>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</si>
  <si>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</si>
  <si>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RECEP İVEDİK 3 </t>
    </r>
    <r>
      <rPr>
        <b/>
        <sz val="10"/>
        <color indexed="10"/>
        <rFont val="Arial Black"/>
        <family val="2"/>
      </rPr>
      <t>(LOCAL)</t>
    </r>
    <r>
      <rPr>
        <b/>
        <sz val="10"/>
        <color indexed="12"/>
        <rFont val="Arial Black"/>
        <family val="2"/>
      </rPr>
      <t xml:space="preserve"> </t>
    </r>
  </si>
  <si>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</si>
  <si>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</si>
  <si>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</si>
  <si>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</si>
  <si>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AVSAR FILM</t>
  </si>
  <si>
    <r>
      <t xml:space="preserve">ROMANTİK KOMEDİ </t>
    </r>
    <r>
      <rPr>
        <b/>
        <sz val="10"/>
        <color indexed="10"/>
        <rFont val="Arial Black"/>
        <family val="2"/>
      </rPr>
      <t>(LOCAL)</t>
    </r>
  </si>
  <si>
    <t>WOLFMAN, THE</t>
  </si>
  <si>
    <t>PERCY JACKSON &amp; THE OLYMPIANS: THE LIGHTNING THIEF</t>
  </si>
  <si>
    <t>ARTHUR AND THE REVENGE OF MALTAZARD</t>
  </si>
  <si>
    <t>EDUCATION, AN</t>
  </si>
  <si>
    <t>BOOK OF ELI, THE</t>
  </si>
  <si>
    <t xml:space="preserve">BAKJWI </t>
  </si>
  <si>
    <t>NIKO - LENTAJAN POIKA</t>
  </si>
  <si>
    <t>LOS ABRAZOS ROTOS</t>
  </si>
  <si>
    <r>
      <t xml:space="preserve">DELİ DUMRUL KURTLAR KUŞLAR ALEMİNDE </t>
    </r>
    <r>
      <rPr>
        <sz val="10"/>
        <color indexed="10"/>
        <rFont val="Arial Black"/>
        <family val="2"/>
      </rPr>
      <t>(LOCAL)</t>
    </r>
  </si>
  <si>
    <t>INVICTUS</t>
  </si>
  <si>
    <r>
      <t xml:space="preserve">EYYVAH EYVAH </t>
    </r>
    <r>
      <rPr>
        <sz val="10"/>
        <color indexed="10"/>
        <rFont val="Arial Black"/>
        <family val="2"/>
      </rPr>
      <t>(LOCAL)</t>
    </r>
  </si>
  <si>
    <r>
      <t xml:space="preserve">VEDA </t>
    </r>
    <r>
      <rPr>
        <sz val="10"/>
        <color indexed="10"/>
        <rFont val="Arial Black"/>
        <family val="2"/>
      </rPr>
      <t xml:space="preserve">(LOCAL) </t>
    </r>
  </si>
  <si>
    <t xml:space="preserve">NINE </t>
  </si>
  <si>
    <t>WALL-E</t>
  </si>
  <si>
    <t>LOVELY BONES, THE</t>
  </si>
  <si>
    <t>PRINCES AND THE FROG, THE</t>
  </si>
  <si>
    <t>LE PETIT NICHOLAS</t>
  </si>
  <si>
    <t>NORDWAND</t>
  </si>
  <si>
    <t>LAT DEN RATTE KOMME IN</t>
  </si>
  <si>
    <t>DEUSYNLIGE (TROUBLED WATER)</t>
  </si>
  <si>
    <r>
      <t xml:space="preserve">KAPTAN FEZA </t>
    </r>
    <r>
      <rPr>
        <sz val="10"/>
        <color indexed="10"/>
        <rFont val="Arial Black"/>
        <family val="2"/>
      </rPr>
      <t>(LOCAL)</t>
    </r>
  </si>
  <si>
    <t>UP IN THE AIR</t>
  </si>
  <si>
    <t>DID YOU HEAR ABOUT THE MORGANS?</t>
  </si>
  <si>
    <r>
      <t>EVERYBODY'S FINE</t>
    </r>
    <r>
      <rPr>
        <sz val="10"/>
        <color indexed="12"/>
        <rFont val="Arial Black"/>
        <family val="2"/>
      </rPr>
      <t xml:space="preserve"> </t>
    </r>
  </si>
  <si>
    <t>NINJA ASSASSIN</t>
  </si>
  <si>
    <t>WHATEVER WORKS</t>
  </si>
  <si>
    <t>CHERI</t>
  </si>
  <si>
    <t>AMELIA</t>
  </si>
  <si>
    <r>
      <t>2010 Türkiye Annual Box Office Report</t>
    </r>
    <r>
      <rPr>
        <b/>
        <sz val="26"/>
        <rFont val="Garamond"/>
        <family val="1"/>
      </rPr>
      <t xml:space="preserve">  </t>
    </r>
    <r>
      <rPr>
        <b/>
        <sz val="12"/>
        <rFont val="Garamond"/>
        <family val="1"/>
      </rPr>
      <t>01 January - 18 March 2010</t>
    </r>
  </si>
  <si>
    <r>
      <t>2010 Türkiye Ex Years Releases Annual Box Office Report</t>
    </r>
    <r>
      <rPr>
        <b/>
        <sz val="26"/>
        <rFont val="Garamond"/>
        <family val="1"/>
      </rPr>
      <t xml:space="preserve">  </t>
    </r>
    <r>
      <rPr>
        <b/>
        <sz val="16"/>
        <rFont val="Garamond"/>
        <family val="1"/>
      </rPr>
      <t>01 January - 18 March 2010</t>
    </r>
  </si>
  <si>
    <r>
      <t xml:space="preserve">SHUTTER ISLAND </t>
    </r>
    <r>
      <rPr>
        <sz val="10"/>
        <color indexed="12"/>
        <rFont val="Arial Black"/>
        <family val="2"/>
      </rPr>
      <t>(NEW)</t>
    </r>
  </si>
  <si>
    <t>ALICE IN WONDERLANDS</t>
  </si>
  <si>
    <r>
      <t xml:space="preserve">AY LAV YU </t>
    </r>
    <r>
      <rPr>
        <sz val="10"/>
        <color indexed="10"/>
        <rFont val="Arial Black"/>
        <family val="2"/>
      </rPr>
      <t xml:space="preserve">(LOCAL) </t>
    </r>
    <r>
      <rPr>
        <sz val="10"/>
        <color indexed="12"/>
        <rFont val="Arial Black"/>
        <family val="2"/>
      </rPr>
      <t>(NEW)</t>
    </r>
  </si>
  <si>
    <r>
      <t xml:space="preserve">EŞREFPAŞALILAR  </t>
    </r>
    <r>
      <rPr>
        <sz val="10"/>
        <color indexed="10"/>
        <rFont val="Arial Black"/>
        <family val="2"/>
      </rPr>
      <t>(LOCAL)</t>
    </r>
  </si>
  <si>
    <r>
      <t xml:space="preserve">YÜREĞİNE SOR </t>
    </r>
    <r>
      <rPr>
        <sz val="10"/>
        <color indexed="10"/>
        <rFont val="Arial Black"/>
        <family val="2"/>
      </rPr>
      <t xml:space="preserve">(LOCAL) </t>
    </r>
    <r>
      <rPr>
        <sz val="10"/>
        <color indexed="12"/>
        <rFont val="Arial Black"/>
        <family val="2"/>
      </rPr>
      <t>(NEW)</t>
    </r>
  </si>
  <si>
    <t>DAYBREAKERS</t>
  </si>
  <si>
    <t>PİNEMA</t>
  </si>
  <si>
    <r>
      <t xml:space="preserve">SES </t>
    </r>
    <r>
      <rPr>
        <sz val="10"/>
        <color indexed="10"/>
        <rFont val="Arial Black"/>
        <family val="2"/>
      </rPr>
      <t>(LOCAL)</t>
    </r>
  </si>
  <si>
    <r>
      <t xml:space="preserve">PRECIOUS: BASED ON THE NOVEL PUSH BY SAPPHIRE </t>
    </r>
    <r>
      <rPr>
        <sz val="10"/>
        <color indexed="12"/>
        <rFont val="Arial Black"/>
        <family val="2"/>
      </rPr>
      <t>(NEW)</t>
    </r>
  </si>
  <si>
    <t>15</t>
  </si>
  <si>
    <r>
      <t xml:space="preserve">ANADOLU'NUN KAYIP SARKILARI </t>
    </r>
    <r>
      <rPr>
        <sz val="10"/>
        <color indexed="10"/>
        <rFont val="Arial Black"/>
        <family val="2"/>
      </rPr>
      <t xml:space="preserve">(LOCAL) </t>
    </r>
    <r>
      <rPr>
        <sz val="10"/>
        <color indexed="12"/>
        <rFont val="Arial Black"/>
        <family val="2"/>
      </rPr>
      <t>(NEW)</t>
    </r>
  </si>
  <si>
    <r>
      <t xml:space="preserve">CRAZY HEART </t>
    </r>
    <r>
      <rPr>
        <sz val="10"/>
        <color indexed="12"/>
        <rFont val="Arial Black"/>
        <family val="2"/>
      </rPr>
      <t>(NEW)</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</si>
</sst>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8">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b/>
      <sz val="11"/>
      <name val="Century Gothic"/>
      <family val="2"/>
    </font>
    <font>
      <sz val="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sz val="8"/>
      <color indexed="9"/>
      <name val="Trebuchet MS"/>
      <family val="2"/>
    </font>
    <font>
      <sz val="11"/>
      <color indexed="9"/>
      <name val="Calibri"/>
      <family val="2"/>
    </font>
    <font>
      <sz val="10"/>
      <color indexed="9"/>
      <name val="Arial Narrow"/>
      <family val="2"/>
    </font>
    <font>
      <sz val="9"/>
      <color indexed="9"/>
      <name val="Century Gothic"/>
      <family val="2"/>
    </font>
    <font>
      <sz val="12"/>
      <color indexed="9"/>
      <name val="Trebuchet MS"/>
      <family val="2"/>
    </font>
    <font>
      <sz val="9"/>
      <name val="Century Gothic"/>
      <family val="2"/>
    </font>
    <font>
      <sz val="14"/>
      <color indexed="9"/>
      <name val="Century Gothic"/>
      <family val="2"/>
    </font>
    <font>
      <sz val="11"/>
      <color indexed="8"/>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4"/>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color indexed="63"/>
      </bottom>
    </border>
    <border>
      <left style="medium"/>
      <right style="hair"/>
      <top style="hair"/>
      <bottom style="hair"/>
    </border>
    <border>
      <left style="thin"/>
      <right style="thin"/>
      <top style="thin"/>
      <bottom style="thin"/>
    </border>
    <border>
      <left style="hair"/>
      <right style="hair"/>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style="thin"/>
      <top style="thin"/>
      <bottom style="thin"/>
    </border>
    <border>
      <left style="medium"/>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hair"/>
      <top style="hair"/>
      <bottom style="hair"/>
    </border>
    <border>
      <left style="hair"/>
      <right style="medium"/>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hair"/>
    </border>
    <border>
      <left style="medium"/>
      <right style="hair"/>
      <top>
        <color indexed="63"/>
      </top>
      <bottom style="hair"/>
    </border>
    <border>
      <left style="medium"/>
      <right style="hair"/>
      <top style="medium"/>
      <bottom style="hair"/>
    </border>
    <border>
      <left style="medium"/>
      <right>
        <color indexed="63"/>
      </right>
      <top style="medium"/>
      <bottom style="hair"/>
    </border>
    <border>
      <left style="medium"/>
      <right>
        <color indexed="63"/>
      </right>
      <top style="hair"/>
      <bottom style="medium"/>
    </border>
    <border>
      <left style="medium"/>
      <right style="hair"/>
      <top style="hair"/>
      <bottom style="medium"/>
    </border>
    <border>
      <left style="thin"/>
      <right style="medium"/>
      <top style="thin"/>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171" fontId="0" fillId="0" borderId="0" applyFont="0" applyFill="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98">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3" fillId="0" borderId="0" xfId="0" applyFont="1" applyFill="1" applyBorder="1" applyAlignment="1" applyProtection="1">
      <alignment vertical="center"/>
      <protection locked="0"/>
    </xf>
    <xf numFmtId="3" fontId="0" fillId="0" borderId="0" xfId="0" applyNumberFormat="1" applyBorder="1" applyAlignment="1">
      <alignment vertical="center"/>
    </xf>
    <xf numFmtId="4" fontId="0" fillId="0" borderId="0" xfId="0" applyNumberFormat="1" applyBorder="1" applyAlignment="1">
      <alignment vertical="center"/>
    </xf>
    <xf numFmtId="3"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12" fillId="0" borderId="0" xfId="0" applyFont="1" applyFill="1" applyAlignment="1">
      <alignment/>
    </xf>
    <xf numFmtId="4" fontId="12" fillId="0" borderId="0" xfId="0" applyNumberFormat="1" applyFont="1" applyFill="1" applyBorder="1" applyAlignment="1">
      <alignment horizontal="right" vertical="center"/>
    </xf>
    <xf numFmtId="200" fontId="26" fillId="33" borderId="10" xfId="0" applyNumberFormat="1" applyFont="1" applyFill="1" applyBorder="1" applyAlignment="1">
      <alignment horizontal="right" vertical="center"/>
    </xf>
    <xf numFmtId="193" fontId="26" fillId="33" borderId="10"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Alignment="1">
      <alignment/>
    </xf>
    <xf numFmtId="0" fontId="32" fillId="0" borderId="0" xfId="0" applyFont="1" applyAlignment="1">
      <alignment/>
    </xf>
    <xf numFmtId="0" fontId="35" fillId="0" borderId="0" xfId="0" applyFont="1" applyFill="1" applyBorder="1" applyAlignment="1" applyProtection="1">
      <alignment horizontal="center" vertical="center" wrapText="1"/>
      <protection locked="0"/>
    </xf>
    <xf numFmtId="193" fontId="38" fillId="33" borderId="10" xfId="0" applyNumberFormat="1" applyFont="1" applyFill="1" applyBorder="1" applyAlignment="1">
      <alignment horizontal="right" vertical="center"/>
    </xf>
    <xf numFmtId="192" fontId="39" fillId="33" borderId="10" xfId="0" applyNumberFormat="1" applyFont="1" applyFill="1" applyBorder="1" applyAlignment="1">
      <alignment horizontal="right" vertical="center"/>
    </xf>
    <xf numFmtId="200" fontId="39" fillId="33" borderId="10" xfId="0" applyNumberFormat="1" applyFont="1" applyFill="1" applyBorder="1" applyAlignment="1">
      <alignment horizontal="right" vertical="center"/>
    </xf>
    <xf numFmtId="193" fontId="39" fillId="33" borderId="10" xfId="0" applyNumberFormat="1" applyFont="1" applyFill="1" applyBorder="1" applyAlignment="1">
      <alignment horizontal="right" vertical="center"/>
    </xf>
    <xf numFmtId="0" fontId="20" fillId="0" borderId="0" xfId="0" applyFont="1" applyAlignment="1">
      <alignment horizontal="center"/>
    </xf>
    <xf numFmtId="4" fontId="22" fillId="0" borderId="0" xfId="0" applyNumberFormat="1" applyFont="1" applyAlignment="1">
      <alignment horizontal="right"/>
    </xf>
    <xf numFmtId="3" fontId="22" fillId="0" borderId="0" xfId="0" applyNumberFormat="1" applyFont="1" applyAlignment="1">
      <alignment horizontal="right"/>
    </xf>
    <xf numFmtId="0" fontId="22" fillId="0" borderId="0" xfId="0" applyFont="1" applyAlignment="1">
      <alignment/>
    </xf>
    <xf numFmtId="3" fontId="37" fillId="0" borderId="0" xfId="0" applyNumberFormat="1" applyFont="1" applyAlignment="1">
      <alignment horizontal="right"/>
    </xf>
    <xf numFmtId="2" fontId="37" fillId="0" borderId="0" xfId="0" applyNumberFormat="1" applyFont="1" applyAlignment="1">
      <alignment/>
    </xf>
    <xf numFmtId="4" fontId="37" fillId="0" borderId="0" xfId="0" applyNumberFormat="1" applyFont="1" applyAlignment="1">
      <alignment horizontal="right"/>
    </xf>
    <xf numFmtId="200" fontId="21" fillId="0" borderId="0" xfId="0" applyNumberFormat="1" applyFont="1" applyBorder="1" applyAlignment="1">
      <alignment horizontal="right" vertical="center"/>
    </xf>
    <xf numFmtId="193" fontId="21" fillId="0" borderId="0" xfId="0" applyNumberFormat="1" applyFont="1" applyBorder="1" applyAlignment="1">
      <alignment horizontal="right" vertical="center" indent="1"/>
    </xf>
    <xf numFmtId="192" fontId="22" fillId="0" borderId="0" xfId="0" applyNumberFormat="1" applyFont="1" applyBorder="1" applyAlignment="1">
      <alignment horizontal="right" vertical="center" indent="1"/>
    </xf>
    <xf numFmtId="0" fontId="14" fillId="0" borderId="0" xfId="0" applyFont="1" applyBorder="1" applyAlignment="1">
      <alignment horizontal="center" vertical="center"/>
    </xf>
    <xf numFmtId="0" fontId="20" fillId="0" borderId="0" xfId="0" applyFont="1" applyBorder="1" applyAlignment="1">
      <alignment vertical="center"/>
    </xf>
    <xf numFmtId="4" fontId="30" fillId="0" borderId="0" xfId="0" applyNumberFormat="1" applyFont="1" applyFill="1" applyBorder="1" applyAlignment="1">
      <alignment horizontal="right" vertical="center"/>
    </xf>
    <xf numFmtId="3" fontId="20" fillId="0" borderId="0" xfId="0" applyNumberFormat="1" applyFont="1" applyBorder="1" applyAlignment="1">
      <alignment vertical="center"/>
    </xf>
    <xf numFmtId="4" fontId="20" fillId="0" borderId="0" xfId="0" applyNumberFormat="1" applyFont="1" applyBorder="1" applyAlignment="1">
      <alignment vertical="center"/>
    </xf>
    <xf numFmtId="4" fontId="35"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00" fontId="18" fillId="0" borderId="11" xfId="0" applyNumberFormat="1" applyFont="1" applyFill="1" applyBorder="1" applyAlignment="1" applyProtection="1">
      <alignment horizontal="center" vertical="center" wrapText="1"/>
      <protection/>
    </xf>
    <xf numFmtId="193" fontId="18" fillId="0" borderId="11" xfId="0" applyNumberFormat="1" applyFont="1" applyFill="1" applyBorder="1" applyAlignment="1" applyProtection="1">
      <alignment horizontal="center" vertical="center" wrapText="1"/>
      <protection/>
    </xf>
    <xf numFmtId="0" fontId="32" fillId="0" borderId="12" xfId="0" applyFont="1" applyFill="1" applyBorder="1" applyAlignment="1">
      <alignment horizontal="left" vertical="center"/>
    </xf>
    <xf numFmtId="0" fontId="39" fillId="0" borderId="0" xfId="0" applyFont="1" applyFill="1" applyBorder="1" applyAlignment="1">
      <alignment horizontal="right"/>
    </xf>
    <xf numFmtId="184" fontId="19" fillId="0" borderId="13" xfId="0" applyNumberFormat="1" applyFont="1" applyFill="1" applyBorder="1" applyAlignment="1" applyProtection="1">
      <alignment horizontal="center" vertical="center"/>
      <protection locked="0"/>
    </xf>
    <xf numFmtId="184" fontId="19" fillId="0" borderId="13" xfId="0" applyNumberFormat="1" applyFont="1" applyFill="1" applyBorder="1" applyAlignment="1" applyProtection="1">
      <alignment vertical="center"/>
      <protection locked="0"/>
    </xf>
    <xf numFmtId="4" fontId="21" fillId="0" borderId="13" xfId="40" applyNumberFormat="1" applyFont="1" applyFill="1" applyBorder="1" applyAlignment="1" applyProtection="1">
      <alignment horizontal="right" vertical="center"/>
      <protection locked="0"/>
    </xf>
    <xf numFmtId="3" fontId="21" fillId="0" borderId="13" xfId="40" applyNumberFormat="1" applyFont="1" applyFill="1" applyBorder="1" applyAlignment="1" applyProtection="1">
      <alignment horizontal="right" vertical="center"/>
      <protection locked="0"/>
    </xf>
    <xf numFmtId="3" fontId="37" fillId="0" borderId="13" xfId="40" applyNumberFormat="1" applyFont="1" applyFill="1" applyBorder="1" applyAlignment="1" applyProtection="1">
      <alignment horizontal="right" vertical="center"/>
      <protection/>
    </xf>
    <xf numFmtId="2" fontId="37" fillId="0" borderId="13" xfId="40" applyNumberFormat="1" applyFont="1" applyFill="1" applyBorder="1" applyAlignment="1" applyProtection="1">
      <alignment vertical="center"/>
      <protection/>
    </xf>
    <xf numFmtId="4" fontId="37" fillId="0" borderId="13" xfId="40" applyNumberFormat="1" applyFont="1" applyFill="1" applyBorder="1" applyAlignment="1" applyProtection="1">
      <alignment horizontal="right" vertical="center"/>
      <protection locked="0"/>
    </xf>
    <xf numFmtId="3" fontId="37" fillId="0" borderId="13" xfId="40" applyNumberFormat="1" applyFont="1" applyFill="1" applyBorder="1" applyAlignment="1" applyProtection="1">
      <alignment horizontal="right" vertical="center"/>
      <protection locked="0"/>
    </xf>
    <xf numFmtId="0" fontId="19" fillId="0" borderId="13" xfId="0" applyFont="1" applyFill="1" applyBorder="1" applyAlignment="1" applyProtection="1">
      <alignment horizontal="left" vertical="center"/>
      <protection locked="0"/>
    </xf>
    <xf numFmtId="2" fontId="37" fillId="0" borderId="13" xfId="40" applyNumberFormat="1" applyFont="1" applyFill="1" applyBorder="1" applyAlignment="1" applyProtection="1">
      <alignment horizontal="right" vertical="center"/>
      <protection/>
    </xf>
    <xf numFmtId="184" fontId="19" fillId="0" borderId="13" xfId="0" applyNumberFormat="1" applyFont="1" applyFill="1" applyBorder="1" applyAlignment="1" applyProtection="1">
      <alignment horizontal="left" vertical="center"/>
      <protection locked="0"/>
    </xf>
    <xf numFmtId="3" fontId="21" fillId="0" borderId="13" xfId="40" applyNumberFormat="1" applyFont="1" applyFill="1" applyBorder="1" applyAlignment="1" applyProtection="1">
      <alignment vertical="center"/>
      <protection locked="0"/>
    </xf>
    <xf numFmtId="3" fontId="37" fillId="0" borderId="13" xfId="40" applyNumberFormat="1" applyFont="1" applyFill="1" applyBorder="1" applyAlignment="1" applyProtection="1">
      <alignment vertical="center"/>
      <protection/>
    </xf>
    <xf numFmtId="3" fontId="37" fillId="0" borderId="13" xfId="40" applyNumberFormat="1"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4" fontId="21" fillId="0" borderId="13" xfId="40" applyNumberFormat="1" applyFont="1" applyFill="1" applyBorder="1" applyAlignment="1" applyProtection="1">
      <alignment vertical="center"/>
      <protection locked="0"/>
    </xf>
    <xf numFmtId="4" fontId="37" fillId="0" borderId="13" xfId="40" applyNumberFormat="1" applyFont="1" applyFill="1" applyBorder="1" applyAlignment="1" applyProtection="1">
      <alignment vertical="center"/>
      <protection locked="0"/>
    </xf>
    <xf numFmtId="184" fontId="19" fillId="0" borderId="13"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19" fillId="0" borderId="13" xfId="0" applyFont="1" applyFill="1" applyBorder="1" applyAlignment="1">
      <alignment vertical="center"/>
    </xf>
    <xf numFmtId="4" fontId="21" fillId="0" borderId="13" xfId="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 fontId="37" fillId="0" borderId="13" xfId="0" applyNumberFormat="1" applyFont="1" applyFill="1" applyBorder="1" applyAlignment="1">
      <alignment vertical="center"/>
    </xf>
    <xf numFmtId="4" fontId="37" fillId="0" borderId="13" xfId="0" applyNumberFormat="1" applyFont="1" applyFill="1" applyBorder="1" applyAlignment="1">
      <alignment horizontal="right" vertical="center"/>
    </xf>
    <xf numFmtId="2" fontId="37" fillId="0" borderId="13" xfId="0" applyNumberFormat="1" applyFont="1" applyFill="1" applyBorder="1" applyAlignment="1">
      <alignment horizontal="right" vertical="center"/>
    </xf>
    <xf numFmtId="4" fontId="21" fillId="0" borderId="13" xfId="43" applyNumberFormat="1" applyFont="1" applyFill="1" applyBorder="1" applyAlignment="1" applyProtection="1">
      <alignment horizontal="right" vertical="center"/>
      <protection/>
    </xf>
    <xf numFmtId="3" fontId="21" fillId="0" borderId="13" xfId="43" applyNumberFormat="1" applyFont="1" applyFill="1" applyBorder="1" applyAlignment="1" applyProtection="1">
      <alignment vertical="center"/>
      <protection/>
    </xf>
    <xf numFmtId="3" fontId="37" fillId="0" borderId="13" xfId="61" applyNumberFormat="1" applyFont="1" applyFill="1" applyBorder="1" applyAlignment="1" applyProtection="1">
      <alignment vertical="center"/>
      <protection/>
    </xf>
    <xf numFmtId="2" fontId="37" fillId="0" borderId="13" xfId="61" applyNumberFormat="1" applyFont="1" applyFill="1" applyBorder="1" applyAlignment="1" applyProtection="1">
      <alignment vertical="center"/>
      <protection/>
    </xf>
    <xf numFmtId="4" fontId="37" fillId="0" borderId="13" xfId="43" applyNumberFormat="1" applyFont="1" applyFill="1" applyBorder="1" applyAlignment="1" applyProtection="1">
      <alignment horizontal="right" vertical="center"/>
      <protection/>
    </xf>
    <xf numFmtId="3" fontId="21" fillId="0" borderId="13" xfId="43" applyNumberFormat="1" applyFont="1" applyFill="1" applyBorder="1" applyAlignment="1" applyProtection="1">
      <alignment horizontal="right" vertical="center"/>
      <protection/>
    </xf>
    <xf numFmtId="3" fontId="37" fillId="0" borderId="13" xfId="61" applyNumberFormat="1" applyFont="1" applyFill="1" applyBorder="1" applyAlignment="1" applyProtection="1">
      <alignment horizontal="right" vertical="center"/>
      <protection/>
    </xf>
    <xf numFmtId="2" fontId="37" fillId="0" borderId="13" xfId="61" applyNumberFormat="1" applyFont="1" applyFill="1" applyBorder="1" applyAlignment="1" applyProtection="1">
      <alignment horizontal="right" vertical="center"/>
      <protection/>
    </xf>
    <xf numFmtId="184" fontId="19" fillId="34" borderId="13" xfId="0" applyNumberFormat="1" applyFont="1" applyFill="1" applyBorder="1" applyAlignment="1">
      <alignment horizontal="center" vertical="center"/>
    </xf>
    <xf numFmtId="0" fontId="19" fillId="34" borderId="13" xfId="0" applyFont="1" applyFill="1" applyBorder="1" applyAlignment="1">
      <alignment horizontal="left" vertical="center"/>
    </xf>
    <xf numFmtId="0" fontId="19" fillId="0" borderId="13" xfId="0" applyNumberFormat="1" applyFont="1" applyFill="1" applyBorder="1" applyAlignment="1" applyProtection="1">
      <alignment vertical="center"/>
      <protection locked="0"/>
    </xf>
    <xf numFmtId="4" fontId="21" fillId="0" borderId="13" xfId="45" applyNumberFormat="1" applyFont="1" applyFill="1" applyBorder="1" applyAlignment="1" applyProtection="1">
      <alignment horizontal="right" vertical="center"/>
      <protection locked="0"/>
    </xf>
    <xf numFmtId="3" fontId="21" fillId="0" borderId="13" xfId="45" applyNumberFormat="1" applyFont="1" applyFill="1" applyBorder="1" applyAlignment="1" applyProtection="1">
      <alignment horizontal="right" vertical="center"/>
      <protection locked="0"/>
    </xf>
    <xf numFmtId="3" fontId="37" fillId="0" borderId="13" xfId="45" applyNumberFormat="1" applyFont="1" applyFill="1" applyBorder="1" applyAlignment="1" applyProtection="1">
      <alignment horizontal="right" vertical="center"/>
      <protection/>
    </xf>
    <xf numFmtId="2" fontId="37" fillId="0" borderId="13" xfId="45" applyNumberFormat="1" applyFont="1" applyFill="1" applyBorder="1" applyAlignment="1" applyProtection="1">
      <alignment vertical="center"/>
      <protection/>
    </xf>
    <xf numFmtId="4" fontId="37" fillId="0" borderId="13" xfId="45" applyNumberFormat="1" applyFont="1" applyFill="1" applyBorder="1" applyAlignment="1" applyProtection="1">
      <alignment horizontal="right" vertical="center"/>
      <protection locked="0"/>
    </xf>
    <xf numFmtId="3" fontId="37" fillId="0" borderId="13" xfId="45" applyNumberFormat="1" applyFont="1" applyFill="1" applyBorder="1" applyAlignment="1" applyProtection="1">
      <alignment horizontal="right" vertical="center"/>
      <protection locked="0"/>
    </xf>
    <xf numFmtId="0" fontId="19" fillId="0" borderId="13" xfId="0" applyNumberFormat="1" applyFont="1" applyFill="1" applyBorder="1" applyAlignment="1" applyProtection="1">
      <alignment horizontal="left" vertical="center"/>
      <protection locked="0"/>
    </xf>
    <xf numFmtId="2" fontId="37" fillId="0" borderId="13" xfId="45" applyNumberFormat="1" applyFont="1" applyFill="1" applyBorder="1" applyAlignment="1" applyProtection="1">
      <alignment horizontal="right" vertical="center"/>
      <protection/>
    </xf>
    <xf numFmtId="3" fontId="21" fillId="0" borderId="13" xfId="45" applyNumberFormat="1" applyFont="1" applyFill="1" applyBorder="1" applyAlignment="1" applyProtection="1">
      <alignment vertical="center"/>
      <protection locked="0"/>
    </xf>
    <xf numFmtId="3" fontId="37" fillId="0" borderId="13" xfId="45" applyNumberFormat="1" applyFont="1" applyFill="1" applyBorder="1" applyAlignment="1" applyProtection="1">
      <alignment vertical="center"/>
      <protection/>
    </xf>
    <xf numFmtId="3" fontId="37" fillId="0" borderId="13" xfId="45" applyNumberFormat="1" applyFont="1" applyFill="1" applyBorder="1" applyAlignment="1" applyProtection="1">
      <alignment vertical="center"/>
      <protection locked="0"/>
    </xf>
    <xf numFmtId="4" fontId="21" fillId="0" borderId="13" xfId="0" applyNumberFormat="1" applyFont="1" applyFill="1" applyBorder="1" applyAlignment="1">
      <alignment vertical="center"/>
    </xf>
    <xf numFmtId="3" fontId="21" fillId="0" borderId="13" xfId="0" applyNumberFormat="1" applyFont="1" applyFill="1" applyBorder="1" applyAlignment="1">
      <alignment vertical="center"/>
    </xf>
    <xf numFmtId="4" fontId="37" fillId="0" borderId="13" xfId="0" applyNumberFormat="1" applyFont="1" applyFill="1" applyBorder="1" applyAlignment="1">
      <alignment vertical="center"/>
    </xf>
    <xf numFmtId="14" fontId="19" fillId="0" borderId="13" xfId="0" applyNumberFormat="1" applyFont="1" applyFill="1" applyBorder="1" applyAlignment="1">
      <alignment horizontal="left" vertical="center"/>
    </xf>
    <xf numFmtId="184" fontId="19" fillId="35" borderId="13" xfId="0" applyNumberFormat="1" applyFont="1" applyFill="1" applyBorder="1" applyAlignment="1">
      <alignment horizontal="center" vertical="center"/>
    </xf>
    <xf numFmtId="14" fontId="19" fillId="35" borderId="13" xfId="0" applyNumberFormat="1" applyFont="1" applyFill="1" applyBorder="1" applyAlignment="1">
      <alignment vertical="center"/>
    </xf>
    <xf numFmtId="4" fontId="21" fillId="35" borderId="13" xfId="0" applyNumberFormat="1" applyFont="1" applyFill="1" applyBorder="1" applyAlignment="1">
      <alignment horizontal="right" vertical="center"/>
    </xf>
    <xf numFmtId="3" fontId="37" fillId="35" borderId="13" xfId="0" applyNumberFormat="1" applyFont="1" applyFill="1" applyBorder="1" applyAlignment="1">
      <alignment horizontal="right" vertical="center"/>
    </xf>
    <xf numFmtId="4" fontId="37" fillId="35" borderId="13" xfId="0" applyNumberFormat="1" applyFont="1" applyFill="1" applyBorder="1" applyAlignment="1">
      <alignment horizontal="right" vertical="center"/>
    </xf>
    <xf numFmtId="2" fontId="37" fillId="35" borderId="13" xfId="0" applyNumberFormat="1" applyFont="1" applyFill="1" applyBorder="1" applyAlignment="1">
      <alignment vertical="center"/>
    </xf>
    <xf numFmtId="14" fontId="19" fillId="0" borderId="13" xfId="0" applyNumberFormat="1" applyFont="1" applyFill="1" applyBorder="1" applyAlignment="1">
      <alignment vertical="center"/>
    </xf>
    <xf numFmtId="49" fontId="19" fillId="0" borderId="13" xfId="0" applyNumberFormat="1" applyFont="1" applyFill="1" applyBorder="1" applyAlignment="1" applyProtection="1">
      <alignment horizontal="left" vertical="center"/>
      <protection locked="0"/>
    </xf>
    <xf numFmtId="4" fontId="21" fillId="0" borderId="13" xfId="43" applyNumberFormat="1" applyFont="1" applyFill="1" applyBorder="1" applyAlignment="1" applyProtection="1">
      <alignment horizontal="right" vertical="center"/>
      <protection locked="0"/>
    </xf>
    <xf numFmtId="3" fontId="21" fillId="0" borderId="13" xfId="43" applyNumberFormat="1" applyFont="1" applyFill="1" applyBorder="1" applyAlignment="1" applyProtection="1">
      <alignment vertical="center"/>
      <protection locked="0"/>
    </xf>
    <xf numFmtId="4" fontId="37" fillId="0" borderId="13" xfId="43" applyNumberFormat="1" applyFont="1" applyFill="1" applyBorder="1" applyAlignment="1" applyProtection="1">
      <alignment horizontal="right" vertical="center"/>
      <protection locked="0"/>
    </xf>
    <xf numFmtId="3" fontId="37" fillId="0" borderId="13" xfId="43" applyNumberFormat="1" applyFont="1" applyFill="1" applyBorder="1" applyAlignment="1" applyProtection="1">
      <alignment vertical="center"/>
      <protection locked="0"/>
    </xf>
    <xf numFmtId="3" fontId="21" fillId="0" borderId="13" xfId="43" applyNumberFormat="1" applyFont="1" applyFill="1" applyBorder="1" applyAlignment="1" applyProtection="1">
      <alignment horizontal="right" vertical="center"/>
      <protection locked="0"/>
    </xf>
    <xf numFmtId="3" fontId="37" fillId="0" borderId="13" xfId="43" applyNumberFormat="1" applyFont="1" applyFill="1" applyBorder="1" applyAlignment="1" applyProtection="1">
      <alignment horizontal="right" vertical="center"/>
      <protection/>
    </xf>
    <xf numFmtId="3" fontId="37" fillId="0" borderId="13" xfId="43" applyNumberFormat="1" applyFont="1" applyFill="1" applyBorder="1" applyAlignment="1" applyProtection="1">
      <alignment horizontal="right" vertical="center"/>
      <protection locked="0"/>
    </xf>
    <xf numFmtId="3" fontId="37" fillId="0" borderId="13" xfId="43" applyNumberFormat="1" applyFont="1" applyFill="1" applyBorder="1" applyAlignment="1" applyProtection="1">
      <alignment vertical="center"/>
      <protection/>
    </xf>
    <xf numFmtId="2" fontId="37" fillId="0" borderId="13" xfId="43" applyNumberFormat="1" applyFont="1" applyFill="1" applyBorder="1" applyAlignment="1" applyProtection="1">
      <alignment vertical="center"/>
      <protection/>
    </xf>
    <xf numFmtId="49" fontId="19" fillId="0" borderId="13" xfId="0" applyNumberFormat="1" applyFont="1" applyFill="1" applyBorder="1" applyAlignment="1" applyProtection="1">
      <alignment vertical="center"/>
      <protection locked="0"/>
    </xf>
    <xf numFmtId="3" fontId="21" fillId="35" borderId="13" xfId="0" applyNumberFormat="1" applyFont="1" applyFill="1" applyBorder="1" applyAlignment="1">
      <alignment horizontal="right" vertical="center"/>
    </xf>
    <xf numFmtId="2" fontId="37" fillId="0" borderId="13" xfId="43" applyNumberFormat="1" applyFont="1" applyFill="1" applyBorder="1" applyAlignment="1" applyProtection="1">
      <alignment horizontal="right" vertical="center"/>
      <protection/>
    </xf>
    <xf numFmtId="0" fontId="19" fillId="0" borderId="14"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protection locked="0"/>
    </xf>
    <xf numFmtId="2" fontId="37" fillId="0" borderId="16" xfId="0" applyNumberFormat="1" applyFont="1" applyFill="1" applyBorder="1" applyAlignment="1">
      <alignment horizontal="right" vertical="center"/>
    </xf>
    <xf numFmtId="2" fontId="37" fillId="0" borderId="17" xfId="0" applyNumberFormat="1" applyFont="1" applyFill="1" applyBorder="1" applyAlignment="1">
      <alignment horizontal="right" vertical="center"/>
    </xf>
    <xf numFmtId="2" fontId="37" fillId="0" borderId="18" xfId="0" applyNumberFormat="1" applyFont="1" applyFill="1" applyBorder="1" applyAlignment="1">
      <alignment horizontal="right" vertical="center"/>
    </xf>
    <xf numFmtId="3" fontId="37" fillId="0" borderId="13" xfId="0" applyNumberFormat="1" applyFont="1" applyFill="1" applyBorder="1" applyAlignment="1">
      <alignment vertical="center"/>
    </xf>
    <xf numFmtId="0" fontId="2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22" fillId="0" borderId="0" xfId="0" applyFont="1" applyBorder="1" applyAlignment="1">
      <alignment horizontal="right" vertical="center"/>
    </xf>
    <xf numFmtId="4" fontId="46" fillId="0" borderId="0" xfId="0" applyNumberFormat="1" applyFont="1" applyFill="1" applyBorder="1" applyAlignment="1">
      <alignment horizontal="right" vertical="center"/>
    </xf>
    <xf numFmtId="3" fontId="47" fillId="0" borderId="0" xfId="0" applyNumberFormat="1" applyFont="1" applyFill="1" applyBorder="1" applyAlignment="1">
      <alignment vertical="center"/>
    </xf>
    <xf numFmtId="4" fontId="47" fillId="0" borderId="0" xfId="0" applyNumberFormat="1" applyFont="1" applyFill="1" applyBorder="1" applyAlignment="1">
      <alignment vertical="center"/>
    </xf>
    <xf numFmtId="0" fontId="47" fillId="0" borderId="0" xfId="0" applyFont="1" applyBorder="1" applyAlignment="1">
      <alignment vertical="center"/>
    </xf>
    <xf numFmtId="1" fontId="20" fillId="0" borderId="19" xfId="0" applyNumberFormat="1" applyFont="1" applyFill="1" applyBorder="1" applyAlignment="1" applyProtection="1">
      <alignment horizontal="center" vertical="center" wrapText="1"/>
      <protection/>
    </xf>
    <xf numFmtId="1" fontId="30" fillId="0" borderId="20" xfId="0" applyNumberFormat="1" applyFont="1" applyFill="1" applyBorder="1" applyAlignment="1" applyProtection="1">
      <alignment horizontal="center" vertical="center" wrapText="1"/>
      <protection/>
    </xf>
    <xf numFmtId="0" fontId="22" fillId="0" borderId="21" xfId="0" applyFont="1" applyFill="1" applyBorder="1" applyAlignment="1" applyProtection="1">
      <alignment horizontal="right" vertical="center"/>
      <protection/>
    </xf>
    <xf numFmtId="0" fontId="38" fillId="0" borderId="0" xfId="0" applyFont="1" applyFill="1" applyBorder="1" applyAlignment="1">
      <alignment horizontal="right"/>
    </xf>
    <xf numFmtId="0" fontId="48" fillId="0" borderId="0" xfId="0" applyFont="1" applyFill="1" applyAlignment="1">
      <alignment/>
    </xf>
    <xf numFmtId="0" fontId="49" fillId="0" borderId="0" xfId="0" applyFont="1" applyAlignment="1">
      <alignment/>
    </xf>
    <xf numFmtId="0" fontId="34" fillId="33" borderId="10" xfId="0" applyFont="1" applyFill="1" applyBorder="1" applyAlignment="1">
      <alignment horizontal="right" vertical="center"/>
    </xf>
    <xf numFmtId="3" fontId="34" fillId="33" borderId="10" xfId="0" applyNumberFormat="1" applyFont="1" applyFill="1" applyBorder="1" applyAlignment="1">
      <alignment horizontal="right" vertical="center"/>
    </xf>
    <xf numFmtId="0" fontId="23" fillId="0" borderId="0" xfId="0" applyFont="1" applyAlignment="1">
      <alignment horizontal="right" vertical="center"/>
    </xf>
    <xf numFmtId="4" fontId="21" fillId="0" borderId="13" xfId="0" applyNumberFormat="1" applyFont="1" applyFill="1" applyBorder="1" applyAlignment="1">
      <alignment vertical="center"/>
    </xf>
    <xf numFmtId="3" fontId="21" fillId="0" borderId="13" xfId="0" applyNumberFormat="1" applyFont="1" applyFill="1" applyBorder="1" applyAlignment="1">
      <alignment vertical="center"/>
    </xf>
    <xf numFmtId="0" fontId="39" fillId="0" borderId="22" xfId="0" applyFont="1" applyFill="1" applyBorder="1" applyAlignment="1" applyProtection="1">
      <alignment horizontal="right" vertical="center"/>
      <protection locked="0"/>
    </xf>
    <xf numFmtId="0" fontId="39" fillId="0" borderId="22" xfId="0" applyFont="1" applyFill="1" applyBorder="1" applyAlignment="1">
      <alignment horizontal="right" vertical="center"/>
    </xf>
    <xf numFmtId="0" fontId="39" fillId="0" borderId="22" xfId="0" applyFont="1" applyFill="1" applyBorder="1" applyAlignment="1" applyProtection="1">
      <alignment vertical="center"/>
      <protection locked="0"/>
    </xf>
    <xf numFmtId="0" fontId="34" fillId="0" borderId="22" xfId="0" applyFont="1" applyFill="1" applyBorder="1" applyAlignment="1">
      <alignment vertical="center"/>
    </xf>
    <xf numFmtId="0" fontId="34" fillId="0" borderId="22" xfId="0" applyFont="1" applyFill="1" applyBorder="1" applyAlignment="1" applyProtection="1">
      <alignment vertical="center"/>
      <protection locked="0"/>
    </xf>
    <xf numFmtId="0" fontId="23" fillId="0" borderId="0" xfId="0" applyFont="1" applyBorder="1" applyAlignment="1">
      <alignment vertical="center"/>
    </xf>
    <xf numFmtId="184" fontId="19" fillId="0" borderId="14" xfId="0" applyNumberFormat="1" applyFont="1" applyBorder="1" applyAlignment="1">
      <alignment horizontal="center" vertical="center"/>
    </xf>
    <xf numFmtId="0" fontId="19" fillId="0" borderId="14" xfId="0" applyFont="1" applyBorder="1" applyAlignment="1">
      <alignment horizontal="left" vertical="center"/>
    </xf>
    <xf numFmtId="0" fontId="23" fillId="0" borderId="14" xfId="0" applyFont="1" applyBorder="1" applyAlignment="1">
      <alignment horizontal="right" vertical="center"/>
    </xf>
    <xf numFmtId="4" fontId="21" fillId="0" borderId="14" xfId="0" applyNumberFormat="1" applyFont="1" applyBorder="1" applyAlignment="1">
      <alignment horizontal="right" vertical="center"/>
    </xf>
    <xf numFmtId="3" fontId="21" fillId="0" borderId="14" xfId="0" applyNumberFormat="1" applyFont="1" applyBorder="1" applyAlignment="1">
      <alignment horizontal="right" vertical="center"/>
    </xf>
    <xf numFmtId="3" fontId="37" fillId="0" borderId="14" xfId="0" applyNumberFormat="1" applyFont="1" applyFill="1" applyBorder="1" applyAlignment="1">
      <alignment horizontal="right" vertical="center"/>
    </xf>
    <xf numFmtId="2" fontId="37" fillId="0" borderId="14" xfId="0" applyNumberFormat="1" applyFont="1" applyFill="1" applyBorder="1" applyAlignment="1">
      <alignment horizontal="right" vertical="center"/>
    </xf>
    <xf numFmtId="4" fontId="37" fillId="0" borderId="14" xfId="0" applyNumberFormat="1" applyFont="1" applyFill="1" applyBorder="1" applyAlignment="1">
      <alignment horizontal="right" vertical="center"/>
    </xf>
    <xf numFmtId="3" fontId="37" fillId="0" borderId="15" xfId="0" applyNumberFormat="1" applyFont="1" applyFill="1" applyBorder="1" applyAlignment="1">
      <alignment horizontal="right" vertical="center"/>
    </xf>
    <xf numFmtId="2" fontId="37" fillId="0" borderId="15" xfId="0" applyNumberFormat="1" applyFont="1" applyFill="1" applyBorder="1" applyAlignment="1">
      <alignment horizontal="right" vertical="center"/>
    </xf>
    <xf numFmtId="4" fontId="37" fillId="0" borderId="15" xfId="0" applyNumberFormat="1" applyFont="1" applyFill="1" applyBorder="1" applyAlignment="1">
      <alignment horizontal="right" vertical="center"/>
    </xf>
    <xf numFmtId="3" fontId="37" fillId="0" borderId="10" xfId="0" applyNumberFormat="1" applyFont="1" applyFill="1" applyBorder="1" applyAlignment="1">
      <alignment horizontal="right" vertical="center"/>
    </xf>
    <xf numFmtId="2" fontId="37" fillId="0" borderId="10" xfId="0" applyNumberFormat="1" applyFont="1" applyFill="1" applyBorder="1" applyAlignment="1">
      <alignment horizontal="right" vertical="center"/>
    </xf>
    <xf numFmtId="4" fontId="37" fillId="0" borderId="10" xfId="0" applyNumberFormat="1" applyFont="1" applyFill="1" applyBorder="1" applyAlignment="1">
      <alignment horizontal="right" vertical="center"/>
    </xf>
    <xf numFmtId="4" fontId="21" fillId="0" borderId="13" xfId="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184" fontId="19" fillId="0" borderId="13" xfId="0" applyNumberFormat="1" applyFont="1" applyBorder="1" applyAlignment="1">
      <alignment horizontal="center" vertical="center"/>
    </xf>
    <xf numFmtId="0" fontId="19" fillId="0" borderId="13" xfId="0" applyFont="1" applyBorder="1" applyAlignment="1">
      <alignment horizontal="left" vertical="center"/>
    </xf>
    <xf numFmtId="4" fontId="21" fillId="0" borderId="13" xfId="0" applyNumberFormat="1" applyFont="1" applyBorder="1" applyAlignment="1">
      <alignment horizontal="right" vertical="center"/>
    </xf>
    <xf numFmtId="3" fontId="21" fillId="0" borderId="13" xfId="0" applyNumberFormat="1" applyFont="1" applyBorder="1" applyAlignment="1">
      <alignment horizontal="right" vertical="center"/>
    </xf>
    <xf numFmtId="4" fontId="37" fillId="0" borderId="13" xfId="0" applyNumberFormat="1" applyFont="1" applyBorder="1" applyAlignment="1">
      <alignment horizontal="right" vertical="center"/>
    </xf>
    <xf numFmtId="3" fontId="37" fillId="0" borderId="13" xfId="0" applyNumberFormat="1" applyFont="1" applyFill="1" applyBorder="1" applyAlignment="1">
      <alignment horizontal="right" vertical="center"/>
    </xf>
    <xf numFmtId="0" fontId="22" fillId="0" borderId="20" xfId="0" applyFont="1" applyFill="1" applyBorder="1" applyAlignment="1">
      <alignment horizontal="right" vertical="center"/>
    </xf>
    <xf numFmtId="3" fontId="37" fillId="0" borderId="13" xfId="0" applyNumberFormat="1" applyFont="1" applyBorder="1" applyAlignment="1">
      <alignment horizontal="right" vertical="center"/>
    </xf>
    <xf numFmtId="0" fontId="55" fillId="0" borderId="22" xfId="0" applyFont="1" applyFill="1" applyBorder="1" applyAlignment="1" applyProtection="1">
      <alignment vertical="center"/>
      <protection locked="0"/>
    </xf>
    <xf numFmtId="0" fontId="56" fillId="0" borderId="22" xfId="0" applyFont="1" applyFill="1" applyBorder="1" applyAlignment="1">
      <alignment/>
    </xf>
    <xf numFmtId="0" fontId="57" fillId="0" borderId="22" xfId="0" applyFont="1" applyFill="1" applyBorder="1" applyAlignment="1">
      <alignment/>
    </xf>
    <xf numFmtId="0" fontId="58" fillId="0" borderId="22" xfId="0" applyFont="1" applyFill="1" applyBorder="1" applyAlignment="1" applyProtection="1">
      <alignment vertical="center"/>
      <protection locked="0"/>
    </xf>
    <xf numFmtId="0" fontId="9" fillId="0" borderId="22" xfId="0" applyNumberFormat="1" applyFont="1" applyFill="1" applyBorder="1" applyAlignment="1" applyProtection="1">
      <alignment horizontal="center" vertical="center"/>
      <protection locked="0"/>
    </xf>
    <xf numFmtId="0" fontId="34" fillId="0" borderId="22" xfId="0" applyFont="1" applyFill="1" applyBorder="1" applyAlignment="1">
      <alignment horizontal="right" vertical="center"/>
    </xf>
    <xf numFmtId="0" fontId="59" fillId="0" borderId="22" xfId="0" applyFont="1" applyFill="1" applyBorder="1" applyAlignment="1" applyProtection="1">
      <alignment vertical="center"/>
      <protection locked="0"/>
    </xf>
    <xf numFmtId="3" fontId="39" fillId="0" borderId="22" xfId="0" applyNumberFormat="1" applyFont="1" applyFill="1" applyBorder="1" applyAlignment="1">
      <alignment horizontal="right" vertical="center"/>
    </xf>
    <xf numFmtId="0" fontId="56" fillId="0" borderId="22" xfId="0" applyFont="1" applyFill="1" applyBorder="1" applyAlignment="1">
      <alignment/>
    </xf>
    <xf numFmtId="0" fontId="21" fillId="0" borderId="23" xfId="0" applyFont="1" applyBorder="1" applyAlignment="1" applyProtection="1">
      <alignment vertical="center"/>
      <protection locked="0"/>
    </xf>
    <xf numFmtId="184" fontId="19" fillId="0" borderId="10" xfId="0" applyNumberFormat="1" applyFont="1" applyBorder="1" applyAlignment="1">
      <alignment horizontal="center" vertical="center"/>
    </xf>
    <xf numFmtId="0" fontId="19" fillId="0" borderId="10" xfId="0" applyFont="1" applyBorder="1" applyAlignment="1">
      <alignment horizontal="left" vertical="center"/>
    </xf>
    <xf numFmtId="0" fontId="23" fillId="0" borderId="10" xfId="0" applyFont="1" applyBorder="1" applyAlignment="1">
      <alignment horizontal="right" vertical="center"/>
    </xf>
    <xf numFmtId="4" fontId="21" fillId="0" borderId="10" xfId="0" applyNumberFormat="1" applyFont="1" applyBorder="1" applyAlignment="1">
      <alignment horizontal="right" vertical="center"/>
    </xf>
    <xf numFmtId="3" fontId="21" fillId="0" borderId="10" xfId="0" applyNumberFormat="1" applyFont="1" applyBorder="1" applyAlignment="1">
      <alignment horizontal="right" vertical="center"/>
    </xf>
    <xf numFmtId="184" fontId="19" fillId="0" borderId="15" xfId="0" applyNumberFormat="1" applyFont="1" applyBorder="1" applyAlignment="1">
      <alignment horizontal="center" vertical="center"/>
    </xf>
    <xf numFmtId="0" fontId="23" fillId="0" borderId="15" xfId="0" applyFont="1" applyBorder="1" applyAlignment="1">
      <alignment horizontal="right" vertical="center"/>
    </xf>
    <xf numFmtId="4" fontId="21" fillId="0" borderId="15" xfId="0" applyNumberFormat="1" applyFont="1" applyBorder="1" applyAlignment="1">
      <alignment horizontal="right" vertical="center"/>
    </xf>
    <xf numFmtId="3" fontId="21" fillId="0" borderId="15" xfId="0" applyNumberFormat="1" applyFont="1" applyBorder="1" applyAlignment="1">
      <alignment horizontal="right" vertical="center"/>
    </xf>
    <xf numFmtId="0" fontId="20" fillId="0" borderId="19" xfId="0" applyFont="1" applyBorder="1" applyAlignment="1">
      <alignment horizontal="right" vertical="center"/>
    </xf>
    <xf numFmtId="0" fontId="20" fillId="0" borderId="24" xfId="0" applyFont="1" applyBorder="1" applyAlignment="1">
      <alignment vertical="center"/>
    </xf>
    <xf numFmtId="0" fontId="20" fillId="0" borderId="24" xfId="0" applyFont="1" applyBorder="1" applyAlignment="1">
      <alignment horizontal="center" vertical="center"/>
    </xf>
    <xf numFmtId="200" fontId="18" fillId="0" borderId="24" xfId="0" applyNumberFormat="1" applyFont="1" applyBorder="1" applyAlignment="1">
      <alignment horizontal="right" vertical="center"/>
    </xf>
    <xf numFmtId="193" fontId="18" fillId="0" borderId="24" xfId="0" applyNumberFormat="1" applyFont="1" applyBorder="1" applyAlignment="1">
      <alignment horizontal="right" vertical="center" indent="1"/>
    </xf>
    <xf numFmtId="192" fontId="20" fillId="0" borderId="25" xfId="0" applyNumberFormat="1" applyFont="1" applyBorder="1" applyAlignment="1">
      <alignment horizontal="right" vertical="center" indent="1"/>
    </xf>
    <xf numFmtId="0" fontId="22" fillId="0" borderId="26" xfId="0" applyFont="1" applyFill="1" applyBorder="1" applyAlignment="1">
      <alignment horizontal="right" vertical="center"/>
    </xf>
    <xf numFmtId="0" fontId="20" fillId="0" borderId="19" xfId="0" applyFont="1" applyBorder="1" applyAlignment="1">
      <alignment vertical="center"/>
    </xf>
    <xf numFmtId="0" fontId="22" fillId="0" borderId="14" xfId="0" applyFont="1" applyFill="1" applyBorder="1" applyAlignment="1" applyProtection="1">
      <alignment horizontal="left" vertical="center"/>
      <protection locked="0"/>
    </xf>
    <xf numFmtId="0" fontId="22" fillId="0" borderId="14" xfId="0" applyFont="1" applyFill="1" applyBorder="1" applyAlignment="1">
      <alignment horizontal="left" vertical="center"/>
    </xf>
    <xf numFmtId="0" fontId="22" fillId="0" borderId="14" xfId="0" applyFont="1" applyFill="1" applyBorder="1" applyAlignment="1">
      <alignment horizontal="left"/>
    </xf>
    <xf numFmtId="0" fontId="22" fillId="0" borderId="27" xfId="0" applyFont="1" applyFill="1" applyBorder="1" applyAlignment="1" applyProtection="1">
      <alignment horizontal="left" vertical="center"/>
      <protection locked="0"/>
    </xf>
    <xf numFmtId="0" fontId="22" fillId="0" borderId="27" xfId="0" applyFont="1" applyFill="1" applyBorder="1" applyAlignment="1">
      <alignment horizontal="left" vertical="center"/>
    </xf>
    <xf numFmtId="0" fontId="22" fillId="0" borderId="27" xfId="0" applyFont="1" applyFill="1" applyBorder="1" applyAlignment="1">
      <alignment horizontal="left"/>
    </xf>
    <xf numFmtId="0" fontId="23" fillId="0" borderId="13" xfId="0" applyFont="1" applyBorder="1" applyAlignment="1">
      <alignment horizontal="right" vertical="center"/>
    </xf>
    <xf numFmtId="2" fontId="37" fillId="0" borderId="28" xfId="0" applyNumberFormat="1" applyFont="1" applyFill="1" applyBorder="1" applyAlignment="1">
      <alignment horizontal="right" vertical="center"/>
    </xf>
    <xf numFmtId="4" fontId="18" fillId="0" borderId="11" xfId="0" applyNumberFormat="1" applyFont="1" applyFill="1" applyBorder="1" applyAlignment="1" applyProtection="1">
      <alignment horizontal="center" wrapText="1"/>
      <protection/>
    </xf>
    <xf numFmtId="3" fontId="18" fillId="0" borderId="11" xfId="0" applyNumberFormat="1" applyFont="1" applyFill="1" applyBorder="1" applyAlignment="1" applyProtection="1">
      <alignment horizontal="center" wrapText="1"/>
      <protection/>
    </xf>
    <xf numFmtId="2" fontId="18" fillId="0" borderId="11" xfId="0" applyNumberFormat="1" applyFont="1" applyFill="1" applyBorder="1" applyAlignment="1" applyProtection="1">
      <alignment horizontal="center" wrapText="1"/>
      <protection/>
    </xf>
    <xf numFmtId="0" fontId="32" fillId="0" borderId="29" xfId="0" applyFont="1" applyFill="1" applyBorder="1" applyAlignment="1" applyProtection="1">
      <alignment horizontal="left" vertical="center"/>
      <protection locked="0"/>
    </xf>
    <xf numFmtId="184" fontId="19" fillId="0" borderId="30" xfId="0" applyNumberFormat="1" applyFont="1" applyFill="1" applyBorder="1" applyAlignment="1" applyProtection="1">
      <alignment horizontal="center" vertical="center"/>
      <protection locked="0"/>
    </xf>
    <xf numFmtId="184" fontId="19" fillId="0" borderId="30" xfId="0" applyNumberFormat="1" applyFont="1" applyFill="1" applyBorder="1" applyAlignment="1" applyProtection="1">
      <alignment vertical="center"/>
      <protection locked="0"/>
    </xf>
    <xf numFmtId="4" fontId="21" fillId="0" borderId="30" xfId="40" applyNumberFormat="1" applyFont="1" applyFill="1" applyBorder="1" applyAlignment="1" applyProtection="1">
      <alignment horizontal="right" vertical="center"/>
      <protection locked="0"/>
    </xf>
    <xf numFmtId="3" fontId="21" fillId="0" borderId="30" xfId="40" applyNumberFormat="1" applyFont="1" applyFill="1" applyBorder="1" applyAlignment="1" applyProtection="1">
      <alignment horizontal="right" vertical="center"/>
      <protection locked="0"/>
    </xf>
    <xf numFmtId="3" fontId="37" fillId="0" borderId="30" xfId="40" applyNumberFormat="1" applyFont="1" applyFill="1" applyBorder="1" applyAlignment="1" applyProtection="1">
      <alignment horizontal="right" vertical="center"/>
      <protection/>
    </xf>
    <xf numFmtId="2" fontId="37" fillId="0" borderId="30" xfId="40" applyNumberFormat="1" applyFont="1" applyFill="1" applyBorder="1" applyAlignment="1" applyProtection="1">
      <alignment vertical="center"/>
      <protection/>
    </xf>
    <xf numFmtId="4" fontId="37" fillId="0" borderId="30" xfId="40" applyNumberFormat="1" applyFont="1" applyFill="1" applyBorder="1" applyAlignment="1" applyProtection="1">
      <alignment horizontal="right" vertical="center"/>
      <protection locked="0"/>
    </xf>
    <xf numFmtId="3" fontId="37" fillId="0" borderId="30" xfId="40" applyNumberFormat="1" applyFont="1" applyFill="1" applyBorder="1" applyAlignment="1" applyProtection="1">
      <alignment horizontal="right" vertical="center"/>
      <protection locked="0"/>
    </xf>
    <xf numFmtId="2" fontId="37" fillId="0" borderId="31" xfId="40" applyNumberFormat="1" applyFont="1" applyFill="1" applyBorder="1" applyAlignment="1" applyProtection="1">
      <alignment vertical="center"/>
      <protection/>
    </xf>
    <xf numFmtId="0" fontId="32" fillId="0" borderId="32" xfId="0" applyFont="1" applyFill="1" applyBorder="1" applyAlignment="1" applyProtection="1">
      <alignment horizontal="left" vertical="center"/>
      <protection locked="0"/>
    </xf>
    <xf numFmtId="2" fontId="37" fillId="0" borderId="33" xfId="40" applyNumberFormat="1" applyFont="1" applyFill="1" applyBorder="1" applyAlignment="1" applyProtection="1">
      <alignment horizontal="right" vertical="center"/>
      <protection/>
    </xf>
    <xf numFmtId="2" fontId="37" fillId="0" borderId="33" xfId="40" applyNumberFormat="1" applyFont="1" applyFill="1" applyBorder="1" applyAlignment="1" applyProtection="1">
      <alignment vertical="center"/>
      <protection/>
    </xf>
    <xf numFmtId="2" fontId="37" fillId="0" borderId="33" xfId="0" applyNumberFormat="1" applyFont="1" applyFill="1" applyBorder="1" applyAlignment="1">
      <alignment vertical="center"/>
    </xf>
    <xf numFmtId="0" fontId="32" fillId="0" borderId="32" xfId="0" applyFont="1" applyFill="1" applyBorder="1" applyAlignment="1">
      <alignment horizontal="left" vertical="center"/>
    </xf>
    <xf numFmtId="2" fontId="37" fillId="0" borderId="33" xfId="0" applyNumberFormat="1" applyFont="1" applyFill="1" applyBorder="1" applyAlignment="1">
      <alignment horizontal="right" vertical="center"/>
    </xf>
    <xf numFmtId="0" fontId="32" fillId="34" borderId="32" xfId="0" applyFont="1" applyFill="1" applyBorder="1" applyAlignment="1">
      <alignment horizontal="left" vertical="center"/>
    </xf>
    <xf numFmtId="192" fontId="37" fillId="0" borderId="33" xfId="40" applyNumberFormat="1" applyFont="1" applyFill="1" applyBorder="1" applyAlignment="1" applyProtection="1">
      <alignment vertical="center"/>
      <protection/>
    </xf>
    <xf numFmtId="2" fontId="37" fillId="0" borderId="33" xfId="61" applyNumberFormat="1" applyFont="1" applyFill="1" applyBorder="1" applyAlignment="1" applyProtection="1">
      <alignment vertical="center"/>
      <protection/>
    </xf>
    <xf numFmtId="2" fontId="37" fillId="0" borderId="33" xfId="61" applyNumberFormat="1" applyFont="1" applyFill="1" applyBorder="1" applyAlignment="1" applyProtection="1">
      <alignment horizontal="right" vertical="center"/>
      <protection/>
    </xf>
    <xf numFmtId="0" fontId="32" fillId="0" borderId="32" xfId="0" applyNumberFormat="1" applyFont="1" applyFill="1" applyBorder="1" applyAlignment="1" applyProtection="1">
      <alignment horizontal="left" vertical="center"/>
      <protection locked="0"/>
    </xf>
    <xf numFmtId="2" fontId="37" fillId="0" borderId="33" xfId="45" applyNumberFormat="1" applyFont="1" applyFill="1" applyBorder="1" applyAlignment="1" applyProtection="1">
      <alignment vertical="center"/>
      <protection/>
    </xf>
    <xf numFmtId="0" fontId="32" fillId="35" borderId="32" xfId="0" applyFont="1" applyFill="1" applyBorder="1" applyAlignment="1">
      <alignment horizontal="left" vertical="center"/>
    </xf>
    <xf numFmtId="2" fontId="37" fillId="35" borderId="33" xfId="0" applyNumberFormat="1" applyFont="1" applyFill="1" applyBorder="1" applyAlignment="1">
      <alignment vertical="center"/>
    </xf>
    <xf numFmtId="0" fontId="52" fillId="0" borderId="32" xfId="0" applyFont="1" applyBorder="1" applyAlignment="1">
      <alignment horizontal="left" vertical="center"/>
    </xf>
    <xf numFmtId="49" fontId="32" fillId="0" borderId="32" xfId="0" applyNumberFormat="1" applyFont="1" applyFill="1" applyBorder="1" applyAlignment="1" applyProtection="1">
      <alignment horizontal="left" vertical="center"/>
      <protection locked="0"/>
    </xf>
    <xf numFmtId="2" fontId="37" fillId="0" borderId="33" xfId="43" applyNumberFormat="1" applyFont="1" applyFill="1" applyBorder="1" applyAlignment="1" applyProtection="1">
      <alignment vertical="center"/>
      <protection/>
    </xf>
    <xf numFmtId="2" fontId="37" fillId="0" borderId="33" xfId="43" applyNumberFormat="1" applyFont="1" applyFill="1" applyBorder="1" applyAlignment="1" applyProtection="1">
      <alignment horizontal="right" vertical="center"/>
      <protection/>
    </xf>
    <xf numFmtId="0" fontId="32" fillId="0" borderId="34" xfId="0" applyFont="1" applyFill="1" applyBorder="1" applyAlignment="1" applyProtection="1">
      <alignment horizontal="left" vertical="center"/>
      <protection locked="0"/>
    </xf>
    <xf numFmtId="184" fontId="19" fillId="0" borderId="35" xfId="0" applyNumberFormat="1" applyFont="1" applyFill="1" applyBorder="1" applyAlignment="1" applyProtection="1">
      <alignment horizontal="center" vertical="center"/>
      <protection locked="0"/>
    </xf>
    <xf numFmtId="0" fontId="19" fillId="0" borderId="35" xfId="0" applyFont="1" applyFill="1" applyBorder="1" applyAlignment="1" applyProtection="1">
      <alignment vertical="center"/>
      <protection locked="0"/>
    </xf>
    <xf numFmtId="4" fontId="21" fillId="0" borderId="35" xfId="40" applyNumberFormat="1" applyFont="1" applyFill="1" applyBorder="1" applyAlignment="1" applyProtection="1">
      <alignment vertical="center"/>
      <protection locked="0"/>
    </xf>
    <xf numFmtId="3" fontId="21" fillId="0" borderId="35" xfId="40" applyNumberFormat="1" applyFont="1" applyFill="1" applyBorder="1" applyAlignment="1" applyProtection="1">
      <alignment vertical="center"/>
      <protection locked="0"/>
    </xf>
    <xf numFmtId="3" fontId="37" fillId="0" borderId="35" xfId="40" applyNumberFormat="1" applyFont="1" applyFill="1" applyBorder="1" applyAlignment="1" applyProtection="1">
      <alignment vertical="center"/>
      <protection/>
    </xf>
    <xf numFmtId="2" fontId="37" fillId="0" borderId="35" xfId="40" applyNumberFormat="1" applyFont="1" applyFill="1" applyBorder="1" applyAlignment="1" applyProtection="1">
      <alignment vertical="center"/>
      <protection/>
    </xf>
    <xf numFmtId="4" fontId="37" fillId="0" borderId="35" xfId="40" applyNumberFormat="1" applyFont="1" applyFill="1" applyBorder="1" applyAlignment="1" applyProtection="1">
      <alignment vertical="center"/>
      <protection locked="0"/>
    </xf>
    <xf numFmtId="3" fontId="37" fillId="0" borderId="35" xfId="40" applyNumberFormat="1" applyFont="1" applyFill="1" applyBorder="1" applyAlignment="1" applyProtection="1">
      <alignment vertical="center"/>
      <protection locked="0"/>
    </xf>
    <xf numFmtId="2" fontId="37" fillId="0" borderId="36" xfId="40" applyNumberFormat="1" applyFont="1" applyFill="1" applyBorder="1" applyAlignment="1" applyProtection="1">
      <alignment vertical="center"/>
      <protection/>
    </xf>
    <xf numFmtId="0" fontId="23" fillId="0" borderId="30" xfId="0" applyFont="1" applyFill="1" applyBorder="1" applyAlignment="1" applyProtection="1">
      <alignment horizontal="right" vertical="center"/>
      <protection locked="0"/>
    </xf>
    <xf numFmtId="0" fontId="23" fillId="0" borderId="13" xfId="0" applyFont="1" applyFill="1" applyBorder="1" applyAlignment="1" applyProtection="1">
      <alignment horizontal="right" vertical="center"/>
      <protection locked="0"/>
    </xf>
    <xf numFmtId="0" fontId="23" fillId="0" borderId="13" xfId="0" applyFont="1" applyFill="1" applyBorder="1" applyAlignment="1">
      <alignment horizontal="right" vertical="center"/>
    </xf>
    <xf numFmtId="0" fontId="23" fillId="34" borderId="13" xfId="0" applyFont="1" applyFill="1" applyBorder="1" applyAlignment="1">
      <alignment horizontal="right" vertical="center"/>
    </xf>
    <xf numFmtId="0" fontId="23" fillId="0" borderId="13" xfId="0" applyNumberFormat="1" applyFont="1" applyFill="1" applyBorder="1" applyAlignment="1" applyProtection="1">
      <alignment horizontal="right" vertical="center"/>
      <protection locked="0"/>
    </xf>
    <xf numFmtId="0" fontId="23" fillId="35" borderId="13" xfId="0" applyFont="1" applyFill="1" applyBorder="1" applyAlignment="1">
      <alignment horizontal="right" vertical="center"/>
    </xf>
    <xf numFmtId="49" fontId="23" fillId="0" borderId="13" xfId="0" applyNumberFormat="1" applyFont="1" applyFill="1" applyBorder="1" applyAlignment="1" applyProtection="1">
      <alignment horizontal="right" vertical="center"/>
      <protection locked="0"/>
    </xf>
    <xf numFmtId="0" fontId="23" fillId="0" borderId="35" xfId="0" applyFont="1" applyFill="1" applyBorder="1" applyAlignment="1" applyProtection="1">
      <alignment horizontal="right" vertical="center"/>
      <protection locked="0"/>
    </xf>
    <xf numFmtId="200" fontId="24" fillId="0" borderId="0" xfId="0" applyNumberFormat="1" applyFont="1" applyAlignment="1">
      <alignment horizontal="right" vertical="center"/>
    </xf>
    <xf numFmtId="193" fontId="24" fillId="0" borderId="0" xfId="0" applyNumberFormat="1" applyFont="1" applyAlignment="1">
      <alignment horizontal="right" vertical="center"/>
    </xf>
    <xf numFmtId="0" fontId="38"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vertical="center"/>
      <protection locked="0"/>
    </xf>
    <xf numFmtId="184" fontId="19" fillId="0" borderId="14" xfId="0" applyNumberFormat="1" applyFont="1" applyFill="1" applyBorder="1" applyAlignment="1">
      <alignment horizontal="center" vertical="center"/>
    </xf>
    <xf numFmtId="4" fontId="36" fillId="0" borderId="14" xfId="0" applyNumberFormat="1" applyFont="1" applyFill="1" applyBorder="1" applyAlignment="1">
      <alignment vertical="center"/>
    </xf>
    <xf numFmtId="4" fontId="36" fillId="0" borderId="14" xfId="0" applyNumberFormat="1" applyFont="1" applyFill="1" applyBorder="1" applyAlignment="1">
      <alignment horizontal="right" vertical="center"/>
    </xf>
    <xf numFmtId="3" fontId="36" fillId="0" borderId="14" xfId="0" applyNumberFormat="1" applyFont="1" applyFill="1" applyBorder="1" applyAlignment="1">
      <alignment horizontal="right" vertical="center"/>
    </xf>
    <xf numFmtId="0" fontId="23" fillId="0" borderId="14" xfId="0" applyFont="1" applyFill="1" applyBorder="1" applyAlignment="1">
      <alignment horizontal="right" vertical="center"/>
    </xf>
    <xf numFmtId="0" fontId="39" fillId="0" borderId="0" xfId="0" applyFont="1" applyFill="1" applyBorder="1" applyAlignment="1" applyProtection="1">
      <alignment horizontal="right" vertical="center"/>
      <protection locked="0"/>
    </xf>
    <xf numFmtId="3" fontId="36" fillId="0" borderId="14" xfId="0" applyNumberFormat="1" applyFont="1" applyFill="1" applyBorder="1" applyAlignment="1">
      <alignment horizontal="right" vertical="center"/>
    </xf>
    <xf numFmtId="0" fontId="23" fillId="0" borderId="14" xfId="0" applyFont="1" applyFill="1" applyBorder="1" applyAlignment="1">
      <alignment vertical="center"/>
    </xf>
    <xf numFmtId="3" fontId="36" fillId="0" borderId="14" xfId="0" applyNumberFormat="1" applyFont="1" applyFill="1" applyBorder="1" applyAlignment="1">
      <alignment vertical="center"/>
    </xf>
    <xf numFmtId="4" fontId="36" fillId="0" borderId="37" xfId="0" applyNumberFormat="1" applyFont="1" applyFill="1" applyBorder="1" applyAlignment="1">
      <alignment horizontal="right" vertical="center"/>
    </xf>
    <xf numFmtId="3" fontId="36" fillId="0" borderId="37" xfId="0" applyNumberFormat="1" applyFont="1" applyFill="1" applyBorder="1" applyAlignment="1">
      <alignment horizontal="right" vertical="center"/>
    </xf>
    <xf numFmtId="4" fontId="36" fillId="0" borderId="15" xfId="0" applyNumberFormat="1" applyFont="1" applyFill="1" applyBorder="1" applyAlignment="1">
      <alignment horizontal="right" vertical="center"/>
    </xf>
    <xf numFmtId="4" fontId="36" fillId="0" borderId="10" xfId="0" applyNumberFormat="1" applyFont="1" applyFill="1" applyBorder="1" applyAlignment="1">
      <alignment horizontal="right" vertical="center"/>
    </xf>
    <xf numFmtId="3" fontId="36" fillId="0" borderId="10" xfId="0" applyNumberFormat="1" applyFont="1" applyFill="1" applyBorder="1" applyAlignment="1">
      <alignment horizontal="right" vertical="center"/>
    </xf>
    <xf numFmtId="3" fontId="36" fillId="0" borderId="15" xfId="0" applyNumberFormat="1" applyFont="1" applyFill="1" applyBorder="1" applyAlignment="1">
      <alignment horizontal="right" vertical="center"/>
    </xf>
    <xf numFmtId="0" fontId="32" fillId="0" borderId="12" xfId="0" applyFont="1" applyFill="1" applyBorder="1" applyAlignment="1" applyProtection="1">
      <alignment vertical="center"/>
      <protection locked="0"/>
    </xf>
    <xf numFmtId="184" fontId="19" fillId="0" borderId="14"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left" vertical="center"/>
      <protection locked="0"/>
    </xf>
    <xf numFmtId="0" fontId="32" fillId="0" borderId="38" xfId="0" applyFont="1" applyFill="1" applyBorder="1" applyAlignment="1" applyProtection="1">
      <alignment vertical="center"/>
      <protection locked="0"/>
    </xf>
    <xf numFmtId="1" fontId="21" fillId="0" borderId="14" xfId="0" applyNumberFormat="1" applyFont="1" applyFill="1" applyBorder="1" applyAlignment="1" applyProtection="1">
      <alignment horizontal="right" vertical="center"/>
      <protection locked="0"/>
    </xf>
    <xf numFmtId="0" fontId="33" fillId="0" borderId="14" xfId="0" applyFont="1" applyFill="1" applyBorder="1" applyAlignment="1" applyProtection="1">
      <alignment vertical="center"/>
      <protection locked="0"/>
    </xf>
    <xf numFmtId="184" fontId="6" fillId="0" borderId="14"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protection locked="0"/>
    </xf>
    <xf numFmtId="0" fontId="23" fillId="0" borderId="14" xfId="0" applyNumberFormat="1" applyFont="1" applyFill="1" applyBorder="1" applyAlignment="1" applyProtection="1">
      <alignment horizontal="right" vertical="center"/>
      <protection locked="0"/>
    </xf>
    <xf numFmtId="200" fontId="27" fillId="0" borderId="14" xfId="0" applyNumberFormat="1" applyFont="1" applyFill="1" applyBorder="1" applyAlignment="1" applyProtection="1">
      <alignment horizontal="right" vertical="center"/>
      <protection locked="0"/>
    </xf>
    <xf numFmtId="193" fontId="24" fillId="0" borderId="14" xfId="0" applyNumberFormat="1" applyFont="1" applyFill="1" applyBorder="1" applyAlignment="1" applyProtection="1">
      <alignment horizontal="right" vertical="center"/>
      <protection locked="0"/>
    </xf>
    <xf numFmtId="193" fontId="36" fillId="0" borderId="14" xfId="0" applyNumberFormat="1" applyFont="1" applyFill="1" applyBorder="1" applyAlignment="1" applyProtection="1">
      <alignment horizontal="right" vertical="center"/>
      <protection locked="0"/>
    </xf>
    <xf numFmtId="192" fontId="37" fillId="0" borderId="14" xfId="0" applyNumberFormat="1" applyFont="1" applyFill="1" applyBorder="1" applyAlignment="1" applyProtection="1">
      <alignment horizontal="right" vertical="center"/>
      <protection locked="0"/>
    </xf>
    <xf numFmtId="200" fontId="37" fillId="0" borderId="14" xfId="43" applyNumberFormat="1" applyFont="1" applyFill="1" applyBorder="1" applyAlignment="1" applyProtection="1">
      <alignment horizontal="right" vertical="center"/>
      <protection/>
    </xf>
    <xf numFmtId="193" fontId="37" fillId="0" borderId="14" xfId="0" applyNumberFormat="1" applyFont="1" applyFill="1" applyBorder="1" applyAlignment="1" applyProtection="1">
      <alignment horizontal="right" vertical="center"/>
      <protection locked="0"/>
    </xf>
    <xf numFmtId="0" fontId="32" fillId="0" borderId="14" xfId="0" applyFont="1" applyBorder="1" applyAlignment="1">
      <alignment/>
    </xf>
    <xf numFmtId="184" fontId="0" fillId="0" borderId="14" xfId="0" applyNumberFormat="1" applyBorder="1" applyAlignment="1">
      <alignment horizontal="center"/>
    </xf>
    <xf numFmtId="0" fontId="0" fillId="0" borderId="14" xfId="0" applyBorder="1" applyAlignment="1">
      <alignment horizontal="left"/>
    </xf>
    <xf numFmtId="0" fontId="23" fillId="0" borderId="14" xfId="0" applyFont="1" applyBorder="1" applyAlignment="1">
      <alignment horizontal="right"/>
    </xf>
    <xf numFmtId="0" fontId="24" fillId="0" borderId="14" xfId="0" applyFont="1" applyBorder="1" applyAlignment="1">
      <alignment horizontal="right" vertical="center"/>
    </xf>
    <xf numFmtId="187" fontId="24" fillId="0" borderId="14" xfId="0" applyNumberFormat="1" applyFont="1" applyFill="1" applyBorder="1" applyAlignment="1" applyProtection="1">
      <alignment horizontal="right" vertical="center"/>
      <protection locked="0"/>
    </xf>
    <xf numFmtId="0" fontId="32" fillId="0" borderId="14" xfId="0" applyFont="1" applyBorder="1" applyAlignment="1">
      <alignment vertical="center" readingOrder="1"/>
    </xf>
    <xf numFmtId="184" fontId="0" fillId="0" borderId="14" xfId="0" applyNumberFormat="1" applyBorder="1" applyAlignment="1">
      <alignment horizontal="center" vertical="center"/>
    </xf>
    <xf numFmtId="0" fontId="0" fillId="0" borderId="14" xfId="0" applyBorder="1" applyAlignment="1">
      <alignment horizontal="left" vertical="center"/>
    </xf>
    <xf numFmtId="200" fontId="21" fillId="0" borderId="14" xfId="0" applyNumberFormat="1" applyFont="1" applyBorder="1" applyAlignment="1">
      <alignment horizontal="right" vertical="center"/>
    </xf>
    <xf numFmtId="193" fontId="21" fillId="0" borderId="14" xfId="0" applyNumberFormat="1" applyFont="1" applyBorder="1" applyAlignment="1">
      <alignment horizontal="right" vertical="center"/>
    </xf>
    <xf numFmtId="193" fontId="36" fillId="0" borderId="14" xfId="0" applyNumberFormat="1" applyFont="1" applyBorder="1" applyAlignment="1">
      <alignment horizontal="right" vertical="center"/>
    </xf>
    <xf numFmtId="192" fontId="37" fillId="0" borderId="14" xfId="0" applyNumberFormat="1" applyFont="1" applyBorder="1" applyAlignment="1">
      <alignment horizontal="right" vertical="center"/>
    </xf>
    <xf numFmtId="200" fontId="37" fillId="0" borderId="14" xfId="0" applyNumberFormat="1" applyFont="1" applyBorder="1" applyAlignment="1">
      <alignment horizontal="right" vertical="center"/>
    </xf>
    <xf numFmtId="193" fontId="37" fillId="0" borderId="14" xfId="0" applyNumberFormat="1" applyFont="1" applyBorder="1" applyAlignment="1">
      <alignment horizontal="right" vertical="center"/>
    </xf>
    <xf numFmtId="200" fontId="25" fillId="0" borderId="14" xfId="0" applyNumberFormat="1" applyFont="1" applyFill="1" applyBorder="1" applyAlignment="1" applyProtection="1">
      <alignment horizontal="right" vertical="center"/>
      <protection locked="0"/>
    </xf>
    <xf numFmtId="193" fontId="28" fillId="0" borderId="14" xfId="0" applyNumberFormat="1" applyFont="1" applyFill="1" applyBorder="1" applyAlignment="1" applyProtection="1">
      <alignment horizontal="right" vertical="center"/>
      <protection locked="0"/>
    </xf>
    <xf numFmtId="200" fontId="37" fillId="0" borderId="14" xfId="0" applyNumberFormat="1" applyFont="1" applyFill="1" applyBorder="1" applyAlignment="1" applyProtection="1">
      <alignment horizontal="right" vertical="center"/>
      <protection locked="0"/>
    </xf>
    <xf numFmtId="0" fontId="31" fillId="0" borderId="14" xfId="0" applyFont="1" applyFill="1" applyBorder="1" applyAlignment="1" applyProtection="1">
      <alignment vertical="center"/>
      <protection locked="0"/>
    </xf>
    <xf numFmtId="184" fontId="5" fillId="0"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protection locked="0"/>
    </xf>
    <xf numFmtId="1" fontId="21" fillId="0" borderId="39" xfId="0" applyNumberFormat="1" applyFont="1" applyFill="1" applyBorder="1" applyAlignment="1" applyProtection="1">
      <alignment horizontal="right" vertical="center"/>
      <protection/>
    </xf>
    <xf numFmtId="171" fontId="31" fillId="0" borderId="37" xfId="43" applyFont="1" applyFill="1" applyBorder="1" applyAlignment="1" applyProtection="1">
      <alignment vertical="center"/>
      <protection/>
    </xf>
    <xf numFmtId="184" fontId="3" fillId="0" borderId="37" xfId="0" applyNumberFormat="1" applyFont="1" applyFill="1" applyBorder="1" applyAlignment="1" applyProtection="1">
      <alignment horizontal="center" vertical="center"/>
      <protection/>
    </xf>
    <xf numFmtId="0" fontId="3" fillId="0" borderId="37" xfId="0" applyFont="1" applyFill="1" applyBorder="1" applyAlignment="1" applyProtection="1">
      <alignment horizontal="left" vertical="center"/>
      <protection/>
    </xf>
    <xf numFmtId="0" fontId="23" fillId="0" borderId="37" xfId="0" applyNumberFormat="1" applyFont="1" applyFill="1" applyBorder="1" applyAlignment="1" applyProtection="1">
      <alignment horizontal="right" vertical="center"/>
      <protection/>
    </xf>
    <xf numFmtId="200" fontId="25" fillId="0" borderId="37" xfId="0" applyNumberFormat="1" applyFont="1" applyFill="1" applyBorder="1" applyAlignment="1" applyProtection="1">
      <alignment horizontal="right" vertical="center"/>
      <protection/>
    </xf>
    <xf numFmtId="193" fontId="28" fillId="0" borderId="37" xfId="0" applyNumberFormat="1" applyFont="1" applyFill="1" applyBorder="1" applyAlignment="1" applyProtection="1">
      <alignment horizontal="right" vertical="center"/>
      <protection/>
    </xf>
    <xf numFmtId="193" fontId="36" fillId="0" borderId="37" xfId="0" applyNumberFormat="1" applyFont="1" applyFill="1" applyBorder="1" applyAlignment="1" applyProtection="1">
      <alignment horizontal="right" vertical="center"/>
      <protection/>
    </xf>
    <xf numFmtId="192" fontId="37" fillId="0" borderId="37" xfId="0" applyNumberFormat="1" applyFont="1" applyFill="1" applyBorder="1" applyAlignment="1" applyProtection="1">
      <alignment horizontal="right" vertical="center"/>
      <protection/>
    </xf>
    <xf numFmtId="200" fontId="37" fillId="0" borderId="37" xfId="0" applyNumberFormat="1" applyFont="1" applyFill="1" applyBorder="1" applyAlignment="1" applyProtection="1">
      <alignment horizontal="right" vertical="center"/>
      <protection/>
    </xf>
    <xf numFmtId="193" fontId="37" fillId="0" borderId="37" xfId="0" applyNumberFormat="1" applyFont="1" applyFill="1" applyBorder="1" applyAlignment="1" applyProtection="1">
      <alignment horizontal="right" vertical="center"/>
      <protection/>
    </xf>
    <xf numFmtId="192" fontId="37" fillId="0" borderId="28" xfId="0" applyNumberFormat="1" applyFont="1" applyFill="1" applyBorder="1" applyAlignment="1" applyProtection="1">
      <alignment horizontal="right" vertical="center"/>
      <protection/>
    </xf>
    <xf numFmtId="1" fontId="18" fillId="0" borderId="40" xfId="0" applyNumberFormat="1" applyFont="1" applyFill="1" applyBorder="1" applyAlignment="1" applyProtection="1">
      <alignment horizontal="center" vertical="center" wrapText="1"/>
      <protection/>
    </xf>
    <xf numFmtId="1" fontId="35" fillId="0" borderId="23" xfId="0" applyNumberFormat="1" applyFont="1" applyFill="1" applyBorder="1" applyAlignment="1" applyProtection="1">
      <alignment horizontal="center" vertical="center" wrapText="1"/>
      <protection/>
    </xf>
    <xf numFmtId="0" fontId="21" fillId="0" borderId="41" xfId="0" applyFont="1" applyFill="1" applyBorder="1" applyAlignment="1" applyProtection="1">
      <alignment vertical="center"/>
      <protection locked="0"/>
    </xf>
    <xf numFmtId="0" fontId="32" fillId="0" borderId="42" xfId="0" applyFont="1" applyFill="1" applyBorder="1" applyAlignment="1" applyProtection="1">
      <alignment vertical="center"/>
      <protection locked="0"/>
    </xf>
    <xf numFmtId="0" fontId="21" fillId="0" borderId="21" xfId="0" applyFont="1" applyBorder="1" applyAlignment="1" applyProtection="1">
      <alignment vertical="center"/>
      <protection locked="0"/>
    </xf>
    <xf numFmtId="0" fontId="21" fillId="0" borderId="41"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19" fillId="0" borderId="10" xfId="0" applyFont="1" applyFill="1" applyBorder="1" applyAlignment="1" applyProtection="1">
      <alignment horizontal="left" vertical="center"/>
      <protection locked="0"/>
    </xf>
    <xf numFmtId="200" fontId="18" fillId="0" borderId="13" xfId="0" applyNumberFormat="1" applyFont="1" applyFill="1" applyBorder="1" applyAlignment="1" applyProtection="1">
      <alignment horizontal="center" wrapText="1"/>
      <protection/>
    </xf>
    <xf numFmtId="193" fontId="18" fillId="0" borderId="13" xfId="0" applyNumberFormat="1" applyFont="1" applyFill="1" applyBorder="1" applyAlignment="1" applyProtection="1">
      <alignment horizontal="center" wrapText="1"/>
      <protection/>
    </xf>
    <xf numFmtId="192" fontId="18" fillId="0" borderId="13" xfId="0" applyNumberFormat="1" applyFont="1" applyFill="1" applyBorder="1" applyAlignment="1" applyProtection="1">
      <alignment horizontal="center" wrapText="1"/>
      <protection/>
    </xf>
    <xf numFmtId="0" fontId="32" fillId="0" borderId="39" xfId="0" applyFont="1" applyFill="1" applyBorder="1" applyAlignment="1" applyProtection="1">
      <alignment vertical="center"/>
      <protection locked="0"/>
    </xf>
    <xf numFmtId="184" fontId="19" fillId="0" borderId="37" xfId="0" applyNumberFormat="1" applyFont="1" applyFill="1" applyBorder="1" applyAlignment="1">
      <alignment horizontal="center" vertical="center"/>
    </xf>
    <xf numFmtId="0" fontId="19" fillId="0" borderId="37" xfId="0" applyFont="1" applyFill="1" applyBorder="1" applyAlignment="1">
      <alignment horizontal="left" vertical="center"/>
    </xf>
    <xf numFmtId="0" fontId="23" fillId="0" borderId="37" xfId="0" applyFont="1" applyFill="1" applyBorder="1" applyAlignment="1">
      <alignment horizontal="right" vertical="center"/>
    </xf>
    <xf numFmtId="184" fontId="19" fillId="0" borderId="10" xfId="0" applyNumberFormat="1" applyFont="1" applyFill="1" applyBorder="1" applyAlignment="1">
      <alignment horizontal="center" vertical="center"/>
    </xf>
    <xf numFmtId="0" fontId="23" fillId="0" borderId="10" xfId="0" applyFont="1" applyFill="1" applyBorder="1" applyAlignment="1">
      <alignment horizontal="right" vertical="center"/>
    </xf>
    <xf numFmtId="3" fontId="0" fillId="0" borderId="0" xfId="0" applyNumberFormat="1" applyFill="1" applyBorder="1" applyAlignment="1">
      <alignment vertical="center"/>
    </xf>
    <xf numFmtId="0" fontId="19" fillId="0" borderId="14" xfId="0" applyFont="1" applyFill="1" applyBorder="1" applyAlignment="1">
      <alignment horizontal="left" vertical="center"/>
    </xf>
    <xf numFmtId="184" fontId="19" fillId="0" borderId="15" xfId="0" applyNumberFormat="1" applyFont="1" applyFill="1" applyBorder="1" applyAlignment="1">
      <alignment horizontal="center" vertical="center"/>
    </xf>
    <xf numFmtId="0" fontId="23" fillId="0" borderId="15" xfId="0" applyFont="1" applyFill="1" applyBorder="1" applyAlignment="1">
      <alignment horizontal="right" vertical="center"/>
    </xf>
    <xf numFmtId="0" fontId="61" fillId="0" borderId="0" xfId="0" applyFont="1" applyFill="1" applyBorder="1" applyAlignment="1" applyProtection="1">
      <alignment vertical="center"/>
      <protection locked="0"/>
    </xf>
    <xf numFmtId="0" fontId="19" fillId="0" borderId="10" xfId="0" applyFont="1" applyFill="1" applyBorder="1" applyAlignment="1">
      <alignment horizontal="left" vertical="center"/>
    </xf>
    <xf numFmtId="0" fontId="60" fillId="0" borderId="22" xfId="0" applyFont="1" applyFill="1" applyBorder="1" applyAlignment="1" applyProtection="1">
      <alignment vertical="center"/>
      <protection locked="0"/>
    </xf>
    <xf numFmtId="2" fontId="18" fillId="0" borderId="43" xfId="0" applyNumberFormat="1" applyFont="1" applyFill="1" applyBorder="1" applyAlignment="1" applyProtection="1">
      <alignment horizontal="center" wrapText="1"/>
      <protection/>
    </xf>
    <xf numFmtId="0" fontId="32" fillId="0" borderId="32" xfId="0" applyFont="1" applyFill="1" applyBorder="1" applyAlignment="1" applyProtection="1">
      <alignment vertical="center"/>
      <protection locked="0"/>
    </xf>
    <xf numFmtId="0" fontId="39" fillId="0" borderId="22" xfId="0" applyFont="1" applyFill="1" applyBorder="1" applyAlignment="1">
      <alignment horizontal="right"/>
    </xf>
    <xf numFmtId="0" fontId="6" fillId="0" borderId="14" xfId="0" applyNumberFormat="1" applyFont="1" applyFill="1" applyBorder="1" applyAlignment="1" applyProtection="1">
      <alignment horizontal="right" vertical="center" wrapText="1"/>
      <protection locked="0"/>
    </xf>
    <xf numFmtId="0" fontId="0" fillId="0" borderId="14" xfId="0" applyBorder="1" applyAlignment="1">
      <alignment/>
    </xf>
    <xf numFmtId="0" fontId="6" fillId="0" borderId="14" xfId="0" applyFont="1" applyBorder="1" applyAlignment="1">
      <alignment horizontal="right" vertical="center" wrapText="1"/>
    </xf>
    <xf numFmtId="0" fontId="30" fillId="33" borderId="10" xfId="0" applyFont="1" applyFill="1" applyBorder="1" applyAlignment="1">
      <alignment horizontal="center" vertical="center"/>
    </xf>
    <xf numFmtId="0" fontId="20" fillId="0" borderId="10" xfId="0" applyFont="1" applyBorder="1" applyAlignment="1">
      <alignment horizontal="center"/>
    </xf>
    <xf numFmtId="0" fontId="40" fillId="0" borderId="14" xfId="0" applyFont="1" applyBorder="1" applyAlignment="1" applyProtection="1">
      <alignment horizontal="right" vertical="center" wrapText="1"/>
      <protection locked="0"/>
    </xf>
    <xf numFmtId="0" fontId="17" fillId="0" borderId="14" xfId="0" applyFont="1" applyBorder="1" applyAlignment="1">
      <alignment/>
    </xf>
    <xf numFmtId="0" fontId="41" fillId="0" borderId="14" xfId="0" applyFont="1" applyBorder="1" applyAlignment="1" applyProtection="1">
      <alignment horizontal="right" vertical="center" wrapText="1"/>
      <protection locked="0"/>
    </xf>
    <xf numFmtId="0" fontId="15" fillId="33" borderId="44" xfId="0" applyFont="1" applyFill="1" applyBorder="1" applyAlignment="1" applyProtection="1">
      <alignment horizontal="center" vertical="center"/>
      <protection/>
    </xf>
    <xf numFmtId="0" fontId="16" fillId="0" borderId="45" xfId="0" applyFont="1" applyBorder="1" applyAlignment="1">
      <alignment/>
    </xf>
    <xf numFmtId="0" fontId="16" fillId="0" borderId="46" xfId="0" applyFont="1" applyBorder="1" applyAlignment="1">
      <alignment/>
    </xf>
    <xf numFmtId="181" fontId="18" fillId="0" borderId="13" xfId="0" applyNumberFormat="1" applyFont="1" applyFill="1" applyBorder="1" applyAlignment="1" applyProtection="1">
      <alignment horizontal="center" vertical="center" wrapText="1"/>
      <protection/>
    </xf>
    <xf numFmtId="0" fontId="20" fillId="0" borderId="13" xfId="0" applyFont="1" applyBorder="1" applyAlignment="1">
      <alignment horizontal="center"/>
    </xf>
    <xf numFmtId="0" fontId="18" fillId="0" borderId="13" xfId="0" applyNumberFormat="1" applyFont="1" applyFill="1" applyBorder="1" applyAlignment="1" applyProtection="1">
      <alignment horizontal="center" vertical="center" wrapText="1"/>
      <protection/>
    </xf>
    <xf numFmtId="171" fontId="18" fillId="0" borderId="13" xfId="43"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4" fontId="18" fillId="0" borderId="13" xfId="0" applyNumberFormat="1" applyFont="1" applyFill="1" applyBorder="1" applyAlignment="1" applyProtection="1">
      <alignment horizontal="center" vertical="center" wrapText="1"/>
      <protection/>
    </xf>
    <xf numFmtId="184" fontId="18" fillId="0" borderId="13" xfId="0" applyNumberFormat="1" applyFont="1" applyFill="1" applyBorder="1" applyAlignment="1" applyProtection="1">
      <alignment horizontal="center" vertical="center" wrapText="1"/>
      <protection/>
    </xf>
    <xf numFmtId="0" fontId="50" fillId="36" borderId="47" xfId="0" applyFont="1" applyFill="1" applyBorder="1" applyAlignment="1">
      <alignment horizontal="center" vertical="center" wrapText="1"/>
    </xf>
    <xf numFmtId="0" fontId="45" fillId="36" borderId="47" xfId="0" applyFont="1" applyFill="1" applyBorder="1" applyAlignment="1">
      <alignment horizontal="center" vertical="center" wrapText="1"/>
    </xf>
    <xf numFmtId="0" fontId="18" fillId="0" borderId="48" xfId="0" applyNumberFormat="1" applyFont="1" applyFill="1" applyBorder="1" applyAlignment="1">
      <alignment horizontal="center" vertical="center" wrapText="1"/>
    </xf>
    <xf numFmtId="0" fontId="18" fillId="0" borderId="49" xfId="0" applyNumberFormat="1" applyFont="1" applyFill="1" applyBorder="1" applyAlignment="1">
      <alignment horizontal="center" vertical="center" wrapText="1"/>
    </xf>
    <xf numFmtId="0" fontId="18" fillId="0" borderId="50" xfId="0" applyNumberFormat="1" applyFont="1" applyFill="1" applyBorder="1" applyAlignment="1">
      <alignment horizontal="center" vertical="center" wrapText="1"/>
    </xf>
    <xf numFmtId="0" fontId="18" fillId="0" borderId="51" xfId="0" applyNumberFormat="1" applyFont="1" applyFill="1" applyBorder="1" applyAlignment="1">
      <alignment horizontal="center" vertical="center" wrapText="1"/>
    </xf>
    <xf numFmtId="0" fontId="18" fillId="0" borderId="50" xfId="0" applyNumberFormat="1" applyFont="1" applyFill="1" applyBorder="1" applyAlignment="1" applyProtection="1">
      <alignment vertical="center" wrapText="1"/>
      <protection/>
    </xf>
    <xf numFmtId="0" fontId="18" fillId="0" borderId="51" xfId="0" applyNumberFormat="1" applyFont="1" applyFill="1" applyBorder="1" applyAlignment="1" applyProtection="1">
      <alignment vertical="center" wrapText="1"/>
      <protection/>
    </xf>
    <xf numFmtId="0" fontId="18" fillId="0" borderId="52" xfId="0" applyNumberFormat="1" applyFont="1" applyFill="1" applyBorder="1" applyAlignment="1" applyProtection="1">
      <alignment horizontal="center" vertical="center" wrapText="1"/>
      <protection/>
    </xf>
    <xf numFmtId="0" fontId="18" fillId="0" borderId="53" xfId="0" applyNumberFormat="1" applyFont="1" applyFill="1" applyBorder="1" applyAlignment="1" applyProtection="1">
      <alignment horizontal="center" vertical="center" wrapText="1"/>
      <protection/>
    </xf>
    <xf numFmtId="192" fontId="18" fillId="0" borderId="54" xfId="0" applyNumberFormat="1" applyFont="1" applyFill="1" applyBorder="1" applyAlignment="1" applyProtection="1">
      <alignment horizontal="center" vertical="center" wrapText="1"/>
      <protection/>
    </xf>
    <xf numFmtId="192" fontId="18" fillId="0" borderId="55" xfId="0" applyNumberFormat="1" applyFont="1" applyFill="1" applyBorder="1" applyAlignment="1" applyProtection="1">
      <alignment horizontal="center" vertical="center" wrapText="1"/>
      <protection/>
    </xf>
    <xf numFmtId="0" fontId="18" fillId="0" borderId="30" xfId="0" applyNumberFormat="1" applyFont="1" applyFill="1" applyBorder="1" applyAlignment="1" applyProtection="1">
      <alignment horizontal="center" vertical="center" wrapText="1"/>
      <protection/>
    </xf>
    <xf numFmtId="0" fontId="18" fillId="0" borderId="11" xfId="0" applyFont="1" applyBorder="1" applyAlignment="1">
      <alignment horizontal="center" vertical="center"/>
    </xf>
    <xf numFmtId="2" fontId="42" fillId="36" borderId="47" xfId="0" applyNumberFormat="1" applyFont="1" applyFill="1" applyBorder="1" applyAlignment="1">
      <alignment horizontal="center" vertical="center" wrapText="1"/>
    </xf>
    <xf numFmtId="2" fontId="45" fillId="36" borderId="0" xfId="0" applyNumberFormat="1" applyFont="1" applyFill="1" applyBorder="1" applyAlignment="1">
      <alignment vertical="center" wrapText="1"/>
    </xf>
    <xf numFmtId="2" fontId="18" fillId="36" borderId="0" xfId="0" applyNumberFormat="1" applyFont="1" applyFill="1" applyBorder="1" applyAlignment="1">
      <alignment wrapText="1"/>
    </xf>
    <xf numFmtId="171" fontId="20" fillId="0" borderId="29" xfId="43" applyFont="1" applyFill="1" applyBorder="1" applyAlignment="1" applyProtection="1">
      <alignment horizontal="center" vertical="center" wrapText="1"/>
      <protection/>
    </xf>
    <xf numFmtId="0" fontId="20" fillId="0" borderId="56" xfId="0" applyFont="1" applyBorder="1" applyAlignment="1">
      <alignment horizontal="center" vertical="center"/>
    </xf>
    <xf numFmtId="184" fontId="18" fillId="0" borderId="30" xfId="0" applyNumberFormat="1" applyFont="1" applyFill="1" applyBorder="1" applyAlignment="1" applyProtection="1">
      <alignment horizontal="center" vertical="center" wrapText="1"/>
      <protection/>
    </xf>
    <xf numFmtId="184" fontId="18" fillId="0" borderId="11" xfId="0" applyNumberFormat="1" applyFont="1" applyBorder="1" applyAlignment="1">
      <alignment horizontal="center" vertical="center"/>
    </xf>
    <xf numFmtId="0" fontId="18" fillId="0" borderId="30" xfId="0" applyFont="1" applyFill="1" applyBorder="1" applyAlignment="1" applyProtection="1">
      <alignment horizontal="center" vertical="center" wrapText="1"/>
      <protection/>
    </xf>
    <xf numFmtId="0" fontId="18" fillId="0" borderId="11" xfId="0" applyFont="1" applyBorder="1" applyAlignment="1">
      <alignment horizontal="center" vertical="center" wrapText="1"/>
    </xf>
    <xf numFmtId="2" fontId="18" fillId="0" borderId="30" xfId="0" applyNumberFormat="1" applyFont="1" applyFill="1" applyBorder="1" applyAlignment="1" applyProtection="1">
      <alignment horizontal="center" vertical="center" wrapText="1"/>
      <protection/>
    </xf>
    <xf numFmtId="2" fontId="18" fillId="0" borderId="31"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1171575</xdr:rowOff>
    </xdr:to>
    <xdr:sp>
      <xdr:nvSpPr>
        <xdr:cNvPr id="1" name="Text Box 1"/>
        <xdr:cNvSpPr txBox="1">
          <a:spLocks noChangeArrowheads="1"/>
        </xdr:cNvSpPr>
      </xdr:nvSpPr>
      <xdr:spPr>
        <a:xfrm>
          <a:off x="0" y="9525"/>
          <a:ext cx="14049375" cy="1162050"/>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314325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10791825" y="600075"/>
          <a:ext cx="3190875" cy="466725"/>
        </a:xfrm>
        <a:prstGeom prst="rect">
          <a:avLst/>
        </a:prstGeom>
        <a:solidFill>
          <a:srgbClr val="FFCC99"/>
        </a:solidFill>
        <a:ln w="9525" cmpd="sng">
          <a:noFill/>
        </a:ln>
      </xdr:spPr>
      <xdr:txBody>
        <a:bodyPr vertOverflow="clip" wrap="square" lIns="0" tIns="27432" rIns="36576" bIns="0"/>
        <a:p>
          <a:pPr algn="r">
            <a:defRPr/>
          </a:pPr>
          <a:r>
            <a:rPr lang="en-US" cap="none" sz="1400" b="0" i="0" u="none" baseline="0">
              <a:solidFill>
                <a:srgbClr val="000000"/>
              </a:solidFill>
              <a:latin typeface="Bookman Old Style"/>
              <a:ea typeface="Bookman Old Style"/>
              <a:cs typeface="Bookman Old Style"/>
            </a:rPr>
            <a:t>WEEK: 11
</a:t>
          </a:r>
          <a:r>
            <a:rPr lang="en-US" cap="none" sz="1400" b="0" i="0" u="none" baseline="0">
              <a:solidFill>
                <a:srgbClr val="000000"/>
              </a:solidFill>
              <a:latin typeface="Bookman Old Style"/>
              <a:ea typeface="Bookman Old Style"/>
              <a:cs typeface="Bookman Old Style"/>
            </a:rPr>
            <a:t>  12 - 18 MARCH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2"/>
  <sheetViews>
    <sheetView showGridLines="0" tabSelected="1" zoomScale="80" zoomScaleNormal="80" zoomScalePageLayoutView="0" workbookViewId="0" topLeftCell="A1">
      <selection activeCell="B3" sqref="B3:B4"/>
    </sheetView>
  </sheetViews>
  <sheetFormatPr defaultColWidth="9.140625" defaultRowHeight="12.75"/>
  <cols>
    <col min="1" max="1" width="3.8515625" style="284" bestFit="1" customWidth="1"/>
    <col min="2" max="2" width="77.421875" style="313" bestFit="1" customWidth="1"/>
    <col min="3" max="3" width="7.7109375" style="314" bestFit="1" customWidth="1"/>
    <col min="4" max="4" width="13.7109375" style="315" bestFit="1" customWidth="1"/>
    <col min="5" max="5" width="6.8515625" style="288" bestFit="1" customWidth="1"/>
    <col min="6" max="6" width="7.7109375" style="288" bestFit="1" customWidth="1"/>
    <col min="7" max="7" width="7.7109375" style="288" customWidth="1"/>
    <col min="8" max="8" width="18.7109375" style="310" bestFit="1" customWidth="1"/>
    <col min="9" max="9" width="13.421875" style="311" bestFit="1" customWidth="1"/>
    <col min="10" max="10" width="10.7109375" style="291" bestFit="1" customWidth="1"/>
    <col min="11" max="11" width="8.140625" style="292" bestFit="1" customWidth="1"/>
    <col min="12" max="12" width="16.28125" style="312" bestFit="1" customWidth="1"/>
    <col min="13" max="13" width="11.421875" style="294" bestFit="1" customWidth="1"/>
    <col min="14" max="14" width="7.00390625" style="292" bestFit="1" customWidth="1"/>
    <col min="15" max="15" width="2.57421875" style="20" bestFit="1" customWidth="1"/>
    <col min="16" max="16384" width="9.140625" style="3" customWidth="1"/>
  </cols>
  <sheetData>
    <row r="1" spans="1:15" s="1" customFormat="1" ht="99" customHeight="1">
      <c r="A1" s="316"/>
      <c r="B1" s="317"/>
      <c r="C1" s="318"/>
      <c r="D1" s="319"/>
      <c r="E1" s="320"/>
      <c r="F1" s="320"/>
      <c r="G1" s="320"/>
      <c r="H1" s="321"/>
      <c r="I1" s="322"/>
      <c r="J1" s="323"/>
      <c r="K1" s="324"/>
      <c r="L1" s="325"/>
      <c r="M1" s="326"/>
      <c r="N1" s="327"/>
      <c r="O1" s="20"/>
    </row>
    <row r="2" spans="1:15" s="5" customFormat="1" ht="27.75" thickBot="1">
      <c r="A2" s="363" t="s">
        <v>148</v>
      </c>
      <c r="B2" s="364"/>
      <c r="C2" s="364"/>
      <c r="D2" s="364"/>
      <c r="E2" s="364"/>
      <c r="F2" s="364"/>
      <c r="G2" s="364"/>
      <c r="H2" s="364"/>
      <c r="I2" s="364"/>
      <c r="J2" s="364"/>
      <c r="K2" s="364"/>
      <c r="L2" s="364"/>
      <c r="M2" s="364"/>
      <c r="N2" s="365"/>
      <c r="O2" s="20"/>
    </row>
    <row r="3" spans="1:15" s="21" customFormat="1" ht="12.75">
      <c r="A3" s="328"/>
      <c r="B3" s="369" t="s">
        <v>126</v>
      </c>
      <c r="C3" s="372" t="s">
        <v>138</v>
      </c>
      <c r="D3" s="370" t="s">
        <v>149</v>
      </c>
      <c r="E3" s="368" t="s">
        <v>139</v>
      </c>
      <c r="F3" s="368" t="s">
        <v>146</v>
      </c>
      <c r="G3" s="368" t="s">
        <v>147</v>
      </c>
      <c r="H3" s="371" t="s">
        <v>140</v>
      </c>
      <c r="I3" s="371"/>
      <c r="J3" s="371"/>
      <c r="K3" s="371"/>
      <c r="L3" s="366" t="s">
        <v>141</v>
      </c>
      <c r="M3" s="367"/>
      <c r="N3" s="367"/>
      <c r="O3" s="24"/>
    </row>
    <row r="4" spans="1:15" s="21" customFormat="1" ht="48" customHeight="1">
      <c r="A4" s="329"/>
      <c r="B4" s="367"/>
      <c r="C4" s="367"/>
      <c r="D4" s="367"/>
      <c r="E4" s="367"/>
      <c r="F4" s="367"/>
      <c r="G4" s="367"/>
      <c r="H4" s="336" t="s">
        <v>142</v>
      </c>
      <c r="I4" s="337" t="s">
        <v>143</v>
      </c>
      <c r="J4" s="337" t="s">
        <v>132</v>
      </c>
      <c r="K4" s="338" t="s">
        <v>144</v>
      </c>
      <c r="L4" s="336" t="s">
        <v>142</v>
      </c>
      <c r="M4" s="337" t="s">
        <v>143</v>
      </c>
      <c r="N4" s="338" t="s">
        <v>145</v>
      </c>
      <c r="O4" s="24"/>
    </row>
    <row r="5" spans="1:15" s="2" customFormat="1" ht="15">
      <c r="A5" s="186">
        <v>1</v>
      </c>
      <c r="B5" s="283" t="s">
        <v>190</v>
      </c>
      <c r="C5" s="187">
        <v>40235</v>
      </c>
      <c r="D5" s="335" t="s">
        <v>151</v>
      </c>
      <c r="E5" s="189">
        <v>256</v>
      </c>
      <c r="F5" s="189">
        <v>259</v>
      </c>
      <c r="G5" s="189">
        <v>3</v>
      </c>
      <c r="H5" s="190">
        <v>3817829</v>
      </c>
      <c r="I5" s="191">
        <v>420937</v>
      </c>
      <c r="J5" s="164">
        <f aca="true" t="shared" si="0" ref="J5:J36">I5/F5</f>
        <v>1625.2393822393822</v>
      </c>
      <c r="K5" s="165">
        <f aca="true" t="shared" si="1" ref="K5:K36">H5/I5</f>
        <v>9.069834678348542</v>
      </c>
      <c r="L5" s="166">
        <v>13005738</v>
      </c>
      <c r="M5" s="164">
        <v>1453080</v>
      </c>
      <c r="N5" s="126">
        <f aca="true" t="shared" si="2" ref="N5:N36">+L5/M5</f>
        <v>8.950462465934429</v>
      </c>
      <c r="O5" s="264">
        <v>1</v>
      </c>
    </row>
    <row r="6" spans="1:15" s="2" customFormat="1" ht="15">
      <c r="A6" s="186">
        <v>2</v>
      </c>
      <c r="B6" s="280" t="s">
        <v>191</v>
      </c>
      <c r="C6" s="153">
        <v>40235</v>
      </c>
      <c r="D6" s="123" t="s">
        <v>152</v>
      </c>
      <c r="E6" s="155">
        <v>227</v>
      </c>
      <c r="F6" s="155">
        <v>230</v>
      </c>
      <c r="G6" s="155">
        <v>3</v>
      </c>
      <c r="H6" s="156">
        <v>1597108.5</v>
      </c>
      <c r="I6" s="157">
        <v>201790</v>
      </c>
      <c r="J6" s="158">
        <f t="shared" si="0"/>
        <v>877.3478260869565</v>
      </c>
      <c r="K6" s="159">
        <f t="shared" si="1"/>
        <v>7.9147058823529415</v>
      </c>
      <c r="L6" s="160">
        <f>3023418.25+2075206.75+1597108.5</f>
        <v>6695733.5</v>
      </c>
      <c r="M6" s="158">
        <f>341528+246334+201790</f>
        <v>789652</v>
      </c>
      <c r="N6" s="127">
        <f t="shared" si="2"/>
        <v>8.479347231438659</v>
      </c>
      <c r="O6" s="264">
        <v>1</v>
      </c>
    </row>
    <row r="7" spans="1:15" s="2" customFormat="1" ht="15.75" thickBot="1">
      <c r="A7" s="330">
        <v>3</v>
      </c>
      <c r="B7" s="331" t="s">
        <v>210</v>
      </c>
      <c r="C7" s="192">
        <v>40249</v>
      </c>
      <c r="D7" s="124" t="s">
        <v>151</v>
      </c>
      <c r="E7" s="193">
        <v>97</v>
      </c>
      <c r="F7" s="193">
        <v>98</v>
      </c>
      <c r="G7" s="193">
        <v>1</v>
      </c>
      <c r="H7" s="194">
        <v>1084162</v>
      </c>
      <c r="I7" s="195">
        <v>104239</v>
      </c>
      <c r="J7" s="161">
        <f t="shared" si="0"/>
        <v>1063.6632653061224</v>
      </c>
      <c r="K7" s="162">
        <f t="shared" si="1"/>
        <v>10.400732931052676</v>
      </c>
      <c r="L7" s="163">
        <v>1084162</v>
      </c>
      <c r="M7" s="161">
        <v>104239</v>
      </c>
      <c r="N7" s="125">
        <f t="shared" si="2"/>
        <v>10.400732931052676</v>
      </c>
      <c r="O7" s="264"/>
    </row>
    <row r="8" spans="1:15" s="2" customFormat="1" ht="15">
      <c r="A8" s="332">
        <v>4</v>
      </c>
      <c r="B8" s="283" t="s">
        <v>173</v>
      </c>
      <c r="C8" s="187">
        <v>40221</v>
      </c>
      <c r="D8" s="188" t="s">
        <v>73</v>
      </c>
      <c r="E8" s="189">
        <v>378</v>
      </c>
      <c r="F8" s="189">
        <v>316</v>
      </c>
      <c r="G8" s="189">
        <v>5</v>
      </c>
      <c r="H8" s="190">
        <v>1008022.25</v>
      </c>
      <c r="I8" s="191">
        <v>119359</v>
      </c>
      <c r="J8" s="164">
        <f t="shared" si="0"/>
        <v>377.71835443037975</v>
      </c>
      <c r="K8" s="165">
        <f t="shared" si="1"/>
        <v>8.445297380172422</v>
      </c>
      <c r="L8" s="166">
        <f>15262368+6874188.5+2847763.25-223+1769171+1008022.25</f>
        <v>27761290</v>
      </c>
      <c r="M8" s="164">
        <f>1752204+788243+333771+209388+119359</f>
        <v>3202965</v>
      </c>
      <c r="N8" s="126">
        <f t="shared" si="2"/>
        <v>8.667372262887667</v>
      </c>
      <c r="O8" s="264">
        <v>1</v>
      </c>
    </row>
    <row r="9" spans="1:15" s="4" customFormat="1" ht="15">
      <c r="A9" s="186">
        <v>5</v>
      </c>
      <c r="B9" s="280" t="s">
        <v>211</v>
      </c>
      <c r="C9" s="153">
        <v>40242</v>
      </c>
      <c r="D9" s="123" t="s">
        <v>151</v>
      </c>
      <c r="E9" s="155">
        <v>75</v>
      </c>
      <c r="F9" s="155">
        <v>74</v>
      </c>
      <c r="G9" s="155">
        <v>2</v>
      </c>
      <c r="H9" s="156">
        <v>966925</v>
      </c>
      <c r="I9" s="157">
        <v>82070</v>
      </c>
      <c r="J9" s="158">
        <f t="shared" si="0"/>
        <v>1109.054054054054</v>
      </c>
      <c r="K9" s="159">
        <f t="shared" si="1"/>
        <v>11.781710734738638</v>
      </c>
      <c r="L9" s="160">
        <v>2088140</v>
      </c>
      <c r="M9" s="158">
        <v>180253</v>
      </c>
      <c r="N9" s="127">
        <f t="shared" si="2"/>
        <v>11.584495126294708</v>
      </c>
      <c r="O9" s="264"/>
    </row>
    <row r="10" spans="1:15" s="4" customFormat="1" ht="15">
      <c r="A10" s="186">
        <v>6</v>
      </c>
      <c r="B10" s="280" t="s">
        <v>212</v>
      </c>
      <c r="C10" s="153">
        <v>40249</v>
      </c>
      <c r="D10" s="154" t="s">
        <v>154</v>
      </c>
      <c r="E10" s="155">
        <v>116</v>
      </c>
      <c r="F10" s="155">
        <v>116</v>
      </c>
      <c r="G10" s="155">
        <v>1</v>
      </c>
      <c r="H10" s="156">
        <v>681331.25</v>
      </c>
      <c r="I10" s="157">
        <v>84984</v>
      </c>
      <c r="J10" s="158">
        <f t="shared" si="0"/>
        <v>732.6206896551724</v>
      </c>
      <c r="K10" s="159">
        <f t="shared" si="1"/>
        <v>8.017170879224324</v>
      </c>
      <c r="L10" s="160">
        <v>681331.25</v>
      </c>
      <c r="M10" s="158">
        <v>84984</v>
      </c>
      <c r="N10" s="127">
        <f t="shared" si="2"/>
        <v>8.017170879224324</v>
      </c>
      <c r="O10" s="264">
        <v>1</v>
      </c>
    </row>
    <row r="11" spans="1:15" s="4" customFormat="1" ht="15">
      <c r="A11" s="186">
        <v>7</v>
      </c>
      <c r="B11" s="280" t="s">
        <v>213</v>
      </c>
      <c r="C11" s="153">
        <v>40242</v>
      </c>
      <c r="D11" s="154" t="s">
        <v>154</v>
      </c>
      <c r="E11" s="155">
        <v>125</v>
      </c>
      <c r="F11" s="155">
        <v>125</v>
      </c>
      <c r="G11" s="155">
        <v>2</v>
      </c>
      <c r="H11" s="156">
        <v>649580.25</v>
      </c>
      <c r="I11" s="157">
        <v>103822</v>
      </c>
      <c r="J11" s="158">
        <f t="shared" si="0"/>
        <v>830.576</v>
      </c>
      <c r="K11" s="159">
        <f t="shared" si="1"/>
        <v>6.256672477894859</v>
      </c>
      <c r="L11" s="160">
        <v>2492621.25</v>
      </c>
      <c r="M11" s="158">
        <v>388707</v>
      </c>
      <c r="N11" s="127">
        <f t="shared" si="2"/>
        <v>6.412596763114634</v>
      </c>
      <c r="O11" s="264">
        <v>1</v>
      </c>
    </row>
    <row r="12" spans="1:15" s="4" customFormat="1" ht="15">
      <c r="A12" s="186">
        <v>8</v>
      </c>
      <c r="B12" s="280" t="s">
        <v>214</v>
      </c>
      <c r="C12" s="153">
        <v>40249</v>
      </c>
      <c r="D12" s="154" t="s">
        <v>73</v>
      </c>
      <c r="E12" s="155">
        <v>71</v>
      </c>
      <c r="F12" s="155">
        <v>71</v>
      </c>
      <c r="G12" s="155">
        <v>1</v>
      </c>
      <c r="H12" s="156">
        <v>432486.25</v>
      </c>
      <c r="I12" s="157">
        <v>50407</v>
      </c>
      <c r="J12" s="158">
        <f t="shared" si="0"/>
        <v>709.9577464788732</v>
      </c>
      <c r="K12" s="159">
        <f t="shared" si="1"/>
        <v>8.5798847382308</v>
      </c>
      <c r="L12" s="160">
        <f>432486.25</f>
        <v>432486.25</v>
      </c>
      <c r="M12" s="158">
        <f>50407</f>
        <v>50407</v>
      </c>
      <c r="N12" s="127">
        <f t="shared" si="2"/>
        <v>8.5798847382308</v>
      </c>
      <c r="O12" s="264">
        <v>1</v>
      </c>
    </row>
    <row r="13" spans="1:15" s="4" customFormat="1" ht="15">
      <c r="A13" s="186">
        <v>9</v>
      </c>
      <c r="B13" s="280" t="s">
        <v>84</v>
      </c>
      <c r="C13" s="153">
        <v>40165</v>
      </c>
      <c r="D13" s="123" t="s">
        <v>152</v>
      </c>
      <c r="E13" s="155">
        <v>125</v>
      </c>
      <c r="F13" s="155">
        <v>40</v>
      </c>
      <c r="G13" s="155">
        <v>13</v>
      </c>
      <c r="H13" s="156">
        <v>182912.5</v>
      </c>
      <c r="I13" s="157">
        <v>15006</v>
      </c>
      <c r="J13" s="158">
        <f t="shared" si="0"/>
        <v>375.15</v>
      </c>
      <c r="K13" s="159">
        <f t="shared" si="1"/>
        <v>12.189290950286551</v>
      </c>
      <c r="L13" s="160">
        <f>4033069.5+3582182.5+3469556.5+3099545+3107521.5+2751160+2297667.5+1520298+788693.5+562184.5+348660.5+276467.5+182912.5</f>
        <v>26019919</v>
      </c>
      <c r="M13" s="158">
        <f>383242+338340+309119+280170+290777+261753+222617+140396+74659+50484+29496+23353+15006</f>
        <v>2419412</v>
      </c>
      <c r="N13" s="127">
        <f t="shared" si="2"/>
        <v>10.754645756902917</v>
      </c>
      <c r="O13" s="264"/>
    </row>
    <row r="14" spans="1:15" s="4" customFormat="1" ht="15">
      <c r="A14" s="186">
        <v>10</v>
      </c>
      <c r="B14" s="280" t="s">
        <v>215</v>
      </c>
      <c r="C14" s="153">
        <v>40242</v>
      </c>
      <c r="D14" s="123" t="s">
        <v>150</v>
      </c>
      <c r="E14" s="155">
        <v>53</v>
      </c>
      <c r="F14" s="155">
        <v>53</v>
      </c>
      <c r="G14" s="155">
        <v>2</v>
      </c>
      <c r="H14" s="156">
        <f>162581+16</f>
        <v>162597</v>
      </c>
      <c r="I14" s="157">
        <v>15857</v>
      </c>
      <c r="J14" s="158">
        <f t="shared" si="0"/>
        <v>299.188679245283</v>
      </c>
      <c r="K14" s="159">
        <f t="shared" si="1"/>
        <v>10.253957242858045</v>
      </c>
      <c r="L14" s="160">
        <f>286027+162581+16</f>
        <v>448624</v>
      </c>
      <c r="M14" s="158">
        <f>27352+15857</f>
        <v>43209</v>
      </c>
      <c r="N14" s="127">
        <f t="shared" si="2"/>
        <v>10.382651762364322</v>
      </c>
      <c r="O14" s="264"/>
    </row>
    <row r="15" spans="1:15" s="4" customFormat="1" ht="15">
      <c r="A15" s="186">
        <v>11</v>
      </c>
      <c r="B15" s="280" t="s">
        <v>7</v>
      </c>
      <c r="C15" s="153">
        <v>40088</v>
      </c>
      <c r="D15" s="123" t="s">
        <v>152</v>
      </c>
      <c r="E15" s="155">
        <v>22</v>
      </c>
      <c r="F15" s="155">
        <v>22</v>
      </c>
      <c r="G15" s="155">
        <v>12</v>
      </c>
      <c r="H15" s="156">
        <v>126229.75</v>
      </c>
      <c r="I15" s="157">
        <v>10017</v>
      </c>
      <c r="J15" s="158">
        <f t="shared" si="0"/>
        <v>455.3181818181818</v>
      </c>
      <c r="K15" s="159">
        <f t="shared" si="1"/>
        <v>12.601552360986323</v>
      </c>
      <c r="L15" s="160">
        <f>25195+10013.5+1152+270+83.5+141+48+709.5+1424+1356+5416.5+126229.75</f>
        <v>172038.75</v>
      </c>
      <c r="M15" s="158">
        <f>2139+1282+178+44+14+26+8+240+356+299+446+10017</f>
        <v>15049</v>
      </c>
      <c r="N15" s="127">
        <f t="shared" si="2"/>
        <v>11.431905774470064</v>
      </c>
      <c r="O15" s="264"/>
    </row>
    <row r="16" spans="1:15" s="4" customFormat="1" ht="15">
      <c r="A16" s="186">
        <v>12</v>
      </c>
      <c r="B16" s="280" t="s">
        <v>179</v>
      </c>
      <c r="C16" s="153">
        <v>40214</v>
      </c>
      <c r="D16" s="123" t="s">
        <v>216</v>
      </c>
      <c r="E16" s="155">
        <v>144</v>
      </c>
      <c r="F16" s="155">
        <v>63</v>
      </c>
      <c r="G16" s="155">
        <v>6</v>
      </c>
      <c r="H16" s="156">
        <v>105990</v>
      </c>
      <c r="I16" s="157">
        <v>14309</v>
      </c>
      <c r="J16" s="158">
        <f t="shared" si="0"/>
        <v>227.12698412698413</v>
      </c>
      <c r="K16" s="159">
        <f t="shared" si="1"/>
        <v>7.407226221259347</v>
      </c>
      <c r="L16" s="160">
        <v>5986171</v>
      </c>
      <c r="M16" s="158">
        <v>646865</v>
      </c>
      <c r="N16" s="127">
        <f t="shared" si="2"/>
        <v>9.254127213560789</v>
      </c>
      <c r="O16" s="264">
        <v>1</v>
      </c>
    </row>
    <row r="17" spans="1:15" s="4" customFormat="1" ht="15">
      <c r="A17" s="186">
        <v>13</v>
      </c>
      <c r="B17" s="280" t="s">
        <v>217</v>
      </c>
      <c r="C17" s="153">
        <v>40242</v>
      </c>
      <c r="D17" s="123" t="s">
        <v>152</v>
      </c>
      <c r="E17" s="155">
        <v>74</v>
      </c>
      <c r="F17" s="155">
        <v>74</v>
      </c>
      <c r="G17" s="155">
        <v>2</v>
      </c>
      <c r="H17" s="156">
        <v>90920.5</v>
      </c>
      <c r="I17" s="157">
        <v>11183</v>
      </c>
      <c r="J17" s="158">
        <f t="shared" si="0"/>
        <v>151.1216216216216</v>
      </c>
      <c r="K17" s="159">
        <f t="shared" si="1"/>
        <v>8.13024233211124</v>
      </c>
      <c r="L17" s="160">
        <f>226964.75+90920.5</f>
        <v>317885.25</v>
      </c>
      <c r="M17" s="158">
        <f>25792+11183</f>
        <v>36975</v>
      </c>
      <c r="N17" s="127">
        <f t="shared" si="2"/>
        <v>8.597302231237322</v>
      </c>
      <c r="O17" s="264">
        <v>1</v>
      </c>
    </row>
    <row r="18" spans="1:15" s="4" customFormat="1" ht="15">
      <c r="A18" s="186">
        <v>14</v>
      </c>
      <c r="B18" s="280" t="s">
        <v>192</v>
      </c>
      <c r="C18" s="153">
        <v>40235</v>
      </c>
      <c r="D18" s="154" t="s">
        <v>154</v>
      </c>
      <c r="E18" s="155">
        <v>29</v>
      </c>
      <c r="F18" s="155">
        <v>25</v>
      </c>
      <c r="G18" s="155">
        <v>3</v>
      </c>
      <c r="H18" s="156">
        <v>77407.5</v>
      </c>
      <c r="I18" s="157">
        <v>6438</v>
      </c>
      <c r="J18" s="158">
        <f t="shared" si="0"/>
        <v>257.52</v>
      </c>
      <c r="K18" s="159">
        <f t="shared" si="1"/>
        <v>12.023532152842497</v>
      </c>
      <c r="L18" s="160">
        <v>623205</v>
      </c>
      <c r="M18" s="158">
        <v>49850</v>
      </c>
      <c r="N18" s="127">
        <f t="shared" si="2"/>
        <v>12.50160481444333</v>
      </c>
      <c r="O18" s="264"/>
    </row>
    <row r="19" spans="1:15" s="4" customFormat="1" ht="18">
      <c r="A19" s="186">
        <v>15</v>
      </c>
      <c r="B19" s="280" t="s">
        <v>218</v>
      </c>
      <c r="C19" s="281">
        <v>40249</v>
      </c>
      <c r="D19" s="282" t="s">
        <v>100</v>
      </c>
      <c r="E19" s="155" t="s">
        <v>219</v>
      </c>
      <c r="F19" s="155" t="s">
        <v>219</v>
      </c>
      <c r="G19" s="155" t="s">
        <v>113</v>
      </c>
      <c r="H19" s="156">
        <v>59458.25</v>
      </c>
      <c r="I19" s="157">
        <v>4736</v>
      </c>
      <c r="J19" s="158">
        <f t="shared" si="0"/>
        <v>315.73333333333335</v>
      </c>
      <c r="K19" s="159">
        <f t="shared" si="1"/>
        <v>12.554529138513514</v>
      </c>
      <c r="L19" s="160">
        <v>59458.25</v>
      </c>
      <c r="M19" s="158">
        <v>4736</v>
      </c>
      <c r="N19" s="127">
        <f t="shared" si="2"/>
        <v>12.554529138513514</v>
      </c>
      <c r="O19" s="334"/>
    </row>
    <row r="20" spans="1:15" s="4" customFormat="1" ht="15">
      <c r="A20" s="186">
        <v>16</v>
      </c>
      <c r="B20" s="280" t="s">
        <v>220</v>
      </c>
      <c r="C20" s="153">
        <v>40249</v>
      </c>
      <c r="D20" s="123" t="s">
        <v>150</v>
      </c>
      <c r="E20" s="155">
        <v>26</v>
      </c>
      <c r="F20" s="155">
        <v>26</v>
      </c>
      <c r="G20" s="155">
        <v>1</v>
      </c>
      <c r="H20" s="156">
        <v>58852</v>
      </c>
      <c r="I20" s="157">
        <v>6058</v>
      </c>
      <c r="J20" s="158">
        <f t="shared" si="0"/>
        <v>233</v>
      </c>
      <c r="K20" s="159">
        <f t="shared" si="1"/>
        <v>9.714757345658633</v>
      </c>
      <c r="L20" s="160">
        <v>58852</v>
      </c>
      <c r="M20" s="158">
        <v>6058</v>
      </c>
      <c r="N20" s="127">
        <f t="shared" si="2"/>
        <v>9.714757345658633</v>
      </c>
      <c r="O20" s="264">
        <v>1</v>
      </c>
    </row>
    <row r="21" spans="1:15" s="4" customFormat="1" ht="15">
      <c r="A21" s="186">
        <v>17</v>
      </c>
      <c r="B21" s="280" t="s">
        <v>180</v>
      </c>
      <c r="C21" s="153">
        <v>40228</v>
      </c>
      <c r="D21" s="123" t="s">
        <v>151</v>
      </c>
      <c r="E21" s="155">
        <v>87</v>
      </c>
      <c r="F21" s="155">
        <v>36</v>
      </c>
      <c r="G21" s="155">
        <v>4</v>
      </c>
      <c r="H21" s="156">
        <v>27966</v>
      </c>
      <c r="I21" s="157">
        <v>2826</v>
      </c>
      <c r="J21" s="158">
        <f t="shared" si="0"/>
        <v>78.5</v>
      </c>
      <c r="K21" s="159">
        <f t="shared" si="1"/>
        <v>9.895966029723992</v>
      </c>
      <c r="L21" s="160">
        <v>1149572</v>
      </c>
      <c r="M21" s="158">
        <v>111953</v>
      </c>
      <c r="N21" s="127">
        <f t="shared" si="2"/>
        <v>10.268344751815494</v>
      </c>
      <c r="O21" s="264"/>
    </row>
    <row r="22" spans="1:15" s="4" customFormat="1" ht="15">
      <c r="A22" s="186">
        <v>18</v>
      </c>
      <c r="B22" s="280" t="s">
        <v>181</v>
      </c>
      <c r="C22" s="153">
        <v>40228</v>
      </c>
      <c r="D22" s="123" t="s">
        <v>152</v>
      </c>
      <c r="E22" s="155">
        <v>88</v>
      </c>
      <c r="F22" s="155">
        <v>36</v>
      </c>
      <c r="G22" s="155">
        <v>4</v>
      </c>
      <c r="H22" s="156">
        <v>24407</v>
      </c>
      <c r="I22" s="157">
        <v>3582</v>
      </c>
      <c r="J22" s="158">
        <f t="shared" si="0"/>
        <v>99.5</v>
      </c>
      <c r="K22" s="159">
        <f t="shared" si="1"/>
        <v>6.813791178112786</v>
      </c>
      <c r="L22" s="160">
        <f>398810.5+242913.25+86259.3+24407</f>
        <v>752390.05</v>
      </c>
      <c r="M22" s="158">
        <f>40763+25741+10324+3582</f>
        <v>80410</v>
      </c>
      <c r="N22" s="127">
        <f t="shared" si="2"/>
        <v>9.356921402810597</v>
      </c>
      <c r="O22" s="264"/>
    </row>
    <row r="23" spans="1:15" s="4" customFormat="1" ht="15">
      <c r="A23" s="186">
        <v>19</v>
      </c>
      <c r="B23" s="280" t="s">
        <v>194</v>
      </c>
      <c r="C23" s="153">
        <v>40235</v>
      </c>
      <c r="D23" s="123" t="s">
        <v>151</v>
      </c>
      <c r="E23" s="155">
        <v>46</v>
      </c>
      <c r="F23" s="155">
        <v>31</v>
      </c>
      <c r="G23" s="155">
        <v>3</v>
      </c>
      <c r="H23" s="156">
        <v>23167</v>
      </c>
      <c r="I23" s="157">
        <v>2350</v>
      </c>
      <c r="J23" s="158">
        <f t="shared" si="0"/>
        <v>75.80645161290323</v>
      </c>
      <c r="K23" s="159">
        <f t="shared" si="1"/>
        <v>9.858297872340426</v>
      </c>
      <c r="L23" s="160">
        <v>250726</v>
      </c>
      <c r="M23" s="158">
        <v>24117</v>
      </c>
      <c r="N23" s="127">
        <f t="shared" si="2"/>
        <v>10.396235020939587</v>
      </c>
      <c r="O23" s="264"/>
    </row>
    <row r="24" spans="1:15" s="4" customFormat="1" ht="15">
      <c r="A24" s="186">
        <v>20</v>
      </c>
      <c r="B24" s="280" t="s">
        <v>221</v>
      </c>
      <c r="C24" s="153">
        <v>40249</v>
      </c>
      <c r="D24" s="123" t="s">
        <v>152</v>
      </c>
      <c r="E24" s="155">
        <v>1</v>
      </c>
      <c r="F24" s="155">
        <v>1</v>
      </c>
      <c r="G24" s="155">
        <v>1</v>
      </c>
      <c r="H24" s="156">
        <v>20829</v>
      </c>
      <c r="I24" s="157">
        <v>1348</v>
      </c>
      <c r="J24" s="158">
        <f t="shared" si="0"/>
        <v>1348</v>
      </c>
      <c r="K24" s="159">
        <f t="shared" si="1"/>
        <v>15.451780415430267</v>
      </c>
      <c r="L24" s="160">
        <f>13599.5+20829</f>
        <v>34428.5</v>
      </c>
      <c r="M24" s="158">
        <f>894+1348</f>
        <v>2242</v>
      </c>
      <c r="N24" s="127">
        <f t="shared" si="2"/>
        <v>15.356155218554862</v>
      </c>
      <c r="O24" s="264"/>
    </row>
    <row r="25" spans="1:15" s="4" customFormat="1" ht="15">
      <c r="A25" s="186">
        <v>21</v>
      </c>
      <c r="B25" s="280" t="s">
        <v>17</v>
      </c>
      <c r="C25" s="153">
        <v>40137</v>
      </c>
      <c r="D25" s="154" t="s">
        <v>73</v>
      </c>
      <c r="E25" s="155">
        <v>311</v>
      </c>
      <c r="F25" s="155">
        <v>1</v>
      </c>
      <c r="G25" s="155">
        <v>10</v>
      </c>
      <c r="H25" s="156">
        <v>18992</v>
      </c>
      <c r="I25" s="157">
        <v>2713</v>
      </c>
      <c r="J25" s="158">
        <f t="shared" si="0"/>
        <v>2713</v>
      </c>
      <c r="K25" s="159">
        <f t="shared" si="1"/>
        <v>7.0003685956505715</v>
      </c>
      <c r="L25" s="160">
        <f>3304754.25+2499078+631694+23+231806.5+262+75092+83827.5+39718+180+150+8500+0.5+18992</f>
        <v>6894077.75</v>
      </c>
      <c r="M25" s="158">
        <f>413699+312050+80320+31253+42+12537-15+13061+6551+45+15+1409+2713</f>
        <v>873680</v>
      </c>
      <c r="N25" s="127">
        <f t="shared" si="2"/>
        <v>7.890849910722461</v>
      </c>
      <c r="O25" s="264">
        <v>1</v>
      </c>
    </row>
    <row r="26" spans="1:15" s="4" customFormat="1" ht="15">
      <c r="A26" s="186">
        <v>22</v>
      </c>
      <c r="B26" s="280" t="s">
        <v>188</v>
      </c>
      <c r="C26" s="153">
        <v>40235</v>
      </c>
      <c r="D26" s="123" t="s">
        <v>150</v>
      </c>
      <c r="E26" s="155">
        <v>91</v>
      </c>
      <c r="F26" s="155">
        <v>32</v>
      </c>
      <c r="G26" s="155">
        <v>3</v>
      </c>
      <c r="H26" s="156">
        <v>16630</v>
      </c>
      <c r="I26" s="157">
        <v>2317</v>
      </c>
      <c r="J26" s="158">
        <f t="shared" si="0"/>
        <v>72.40625</v>
      </c>
      <c r="K26" s="159">
        <f t="shared" si="1"/>
        <v>7.177384548985757</v>
      </c>
      <c r="L26" s="160">
        <f>150520+96696+16630</f>
        <v>263846</v>
      </c>
      <c r="M26" s="158">
        <f>18446+12241+2317</f>
        <v>33004</v>
      </c>
      <c r="N26" s="127">
        <f t="shared" si="2"/>
        <v>7.994364319476427</v>
      </c>
      <c r="O26" s="264">
        <v>1</v>
      </c>
    </row>
    <row r="27" spans="1:15" s="4" customFormat="1" ht="15">
      <c r="A27" s="186">
        <v>23</v>
      </c>
      <c r="B27" s="280" t="s">
        <v>108</v>
      </c>
      <c r="C27" s="153">
        <v>40102</v>
      </c>
      <c r="D27" s="154" t="s">
        <v>154</v>
      </c>
      <c r="E27" s="155">
        <v>319</v>
      </c>
      <c r="F27" s="155">
        <v>3</v>
      </c>
      <c r="G27" s="155">
        <v>22</v>
      </c>
      <c r="H27" s="156">
        <v>12872</v>
      </c>
      <c r="I27" s="157">
        <v>2574</v>
      </c>
      <c r="J27" s="158">
        <f t="shared" si="0"/>
        <v>858</v>
      </c>
      <c r="K27" s="159">
        <f t="shared" si="1"/>
        <v>5.000777000777001</v>
      </c>
      <c r="L27" s="160">
        <v>19767007.75</v>
      </c>
      <c r="M27" s="158">
        <v>2428120</v>
      </c>
      <c r="N27" s="127">
        <f t="shared" si="2"/>
        <v>8.140869376307595</v>
      </c>
      <c r="O27" s="264">
        <v>1</v>
      </c>
    </row>
    <row r="28" spans="1:15" s="4" customFormat="1" ht="15">
      <c r="A28" s="186">
        <v>24</v>
      </c>
      <c r="B28" s="280" t="s">
        <v>65</v>
      </c>
      <c r="C28" s="153">
        <v>39995</v>
      </c>
      <c r="D28" s="123" t="s">
        <v>152</v>
      </c>
      <c r="E28" s="155">
        <v>209</v>
      </c>
      <c r="F28" s="155">
        <v>5</v>
      </c>
      <c r="G28" s="155">
        <v>36</v>
      </c>
      <c r="H28" s="156">
        <v>10448</v>
      </c>
      <c r="I28" s="157">
        <v>2612</v>
      </c>
      <c r="J28" s="158">
        <f t="shared" si="0"/>
        <v>522.4</v>
      </c>
      <c r="K28" s="159">
        <f t="shared" si="1"/>
        <v>4</v>
      </c>
      <c r="L28" s="160">
        <f>872160.5+3062686.25+2016658.5+1330226.25+943221.5+742732+516667.5+450351.5+331944.75+238834+191406+133484.5+252388.75+88483.5+54821.5+50455.5+10393.5+13219.5+4551+15537+5404+869+4082+1834+3805+1635+750+1385+2821+5898+4584.5+5853+2137+508+960+2260+10448</f>
        <v>11375457</v>
      </c>
      <c r="M28" s="158">
        <f>115039+364710+241056+162109+115810+90639+66180+59650+44695+33272+25508+18324+32600+11489+6695+7353+1723+3013+920+3530+1123+138+968+454+919+396+210+249+551+1381+976+1328+506+127+240+565+2612</f>
        <v>1417058</v>
      </c>
      <c r="N28" s="127">
        <f t="shared" si="2"/>
        <v>8.027516869457708</v>
      </c>
      <c r="O28" s="264"/>
    </row>
    <row r="29" spans="1:15" s="4" customFormat="1" ht="15">
      <c r="A29" s="186">
        <v>25</v>
      </c>
      <c r="B29" s="280" t="s">
        <v>87</v>
      </c>
      <c r="C29" s="153">
        <v>40537</v>
      </c>
      <c r="D29" s="123" t="s">
        <v>152</v>
      </c>
      <c r="E29" s="155">
        <v>60</v>
      </c>
      <c r="F29" s="155">
        <v>19</v>
      </c>
      <c r="G29" s="155">
        <v>12</v>
      </c>
      <c r="H29" s="156">
        <v>9599</v>
      </c>
      <c r="I29" s="157">
        <v>2236</v>
      </c>
      <c r="J29" s="158">
        <f t="shared" si="0"/>
        <v>117.6842105263158</v>
      </c>
      <c r="K29" s="159">
        <f t="shared" si="1"/>
        <v>4.292933810375671</v>
      </c>
      <c r="L29" s="160">
        <f>421775.5+397095.5+287050+215248.5+189819.5+180729.5+86816.5+23840+19148+14942.5+8798.5+9599</f>
        <v>1854863</v>
      </c>
      <c r="M29" s="158">
        <f>43739+40732+31780+27356+25902+24895+12153+4496+3179+3069+1650+2236</f>
        <v>221187</v>
      </c>
      <c r="N29" s="127">
        <f t="shared" si="2"/>
        <v>8.385949445491823</v>
      </c>
      <c r="O29" s="264"/>
    </row>
    <row r="30" spans="1:15" s="4" customFormat="1" ht="15">
      <c r="A30" s="186">
        <v>26</v>
      </c>
      <c r="B30" s="280" t="s">
        <v>167</v>
      </c>
      <c r="C30" s="153">
        <v>40200</v>
      </c>
      <c r="D30" s="154" t="s">
        <v>73</v>
      </c>
      <c r="E30" s="155">
        <v>203</v>
      </c>
      <c r="F30" s="155">
        <v>7</v>
      </c>
      <c r="G30" s="155">
        <v>8</v>
      </c>
      <c r="H30" s="156">
        <v>8491</v>
      </c>
      <c r="I30" s="157">
        <v>1222</v>
      </c>
      <c r="J30" s="158">
        <f t="shared" si="0"/>
        <v>174.57142857142858</v>
      </c>
      <c r="K30" s="159">
        <f t="shared" si="1"/>
        <v>6.948445171849428</v>
      </c>
      <c r="L30" s="160">
        <f>3375939.75+2025612.25+1005793.75+228158+129822-591+58554+4486+0.5+8491</f>
        <v>6836266.25</v>
      </c>
      <c r="M30" s="158">
        <f>390291+234725-168+117153-100+30011-18+18391+466+8404+725+1222</f>
        <v>801102</v>
      </c>
      <c r="N30" s="127">
        <f t="shared" si="2"/>
        <v>8.533577809068008</v>
      </c>
      <c r="O30" s="264">
        <v>1</v>
      </c>
    </row>
    <row r="31" spans="1:15" s="4" customFormat="1" ht="15">
      <c r="A31" s="186">
        <v>27</v>
      </c>
      <c r="B31" s="280" t="s">
        <v>184</v>
      </c>
      <c r="C31" s="153">
        <v>40214</v>
      </c>
      <c r="D31" s="123" t="s">
        <v>150</v>
      </c>
      <c r="E31" s="155">
        <v>72</v>
      </c>
      <c r="F31" s="155">
        <v>7</v>
      </c>
      <c r="G31" s="155">
        <v>6</v>
      </c>
      <c r="H31" s="156">
        <v>8065</v>
      </c>
      <c r="I31" s="157">
        <v>1475</v>
      </c>
      <c r="J31" s="158">
        <f t="shared" si="0"/>
        <v>210.71428571428572</v>
      </c>
      <c r="K31" s="159">
        <f t="shared" si="1"/>
        <v>5.467796610169492</v>
      </c>
      <c r="L31" s="160">
        <f>1183138+6392+8065</f>
        <v>1197595</v>
      </c>
      <c r="M31" s="158">
        <f>117197+1409+1475</f>
        <v>120081</v>
      </c>
      <c r="N31" s="127">
        <f t="shared" si="2"/>
        <v>9.973226405509614</v>
      </c>
      <c r="O31" s="264"/>
    </row>
    <row r="32" spans="1:15" s="4" customFormat="1" ht="15">
      <c r="A32" s="186">
        <v>28</v>
      </c>
      <c r="B32" s="280" t="s">
        <v>172</v>
      </c>
      <c r="C32" s="153">
        <v>40221</v>
      </c>
      <c r="D32" s="123" t="s">
        <v>150</v>
      </c>
      <c r="E32" s="155">
        <v>85</v>
      </c>
      <c r="F32" s="155">
        <v>6</v>
      </c>
      <c r="G32" s="155">
        <v>5</v>
      </c>
      <c r="H32" s="156">
        <v>7797</v>
      </c>
      <c r="I32" s="157">
        <v>1016</v>
      </c>
      <c r="J32" s="158">
        <f t="shared" si="0"/>
        <v>169.33333333333334</v>
      </c>
      <c r="K32" s="159">
        <f t="shared" si="1"/>
        <v>7.674212598425197</v>
      </c>
      <c r="L32" s="160">
        <f>1044209+15921+2+7797</f>
        <v>1067929</v>
      </c>
      <c r="M32" s="158">
        <f>97086+1857-2+1016</f>
        <v>99957</v>
      </c>
      <c r="N32" s="127">
        <f t="shared" si="2"/>
        <v>10.683884070150164</v>
      </c>
      <c r="O32" s="264"/>
    </row>
    <row r="33" spans="1:15" s="4" customFormat="1" ht="15">
      <c r="A33" s="186">
        <v>29</v>
      </c>
      <c r="B33" s="280" t="s">
        <v>189</v>
      </c>
      <c r="C33" s="153">
        <v>40235</v>
      </c>
      <c r="D33" s="123" t="s">
        <v>150</v>
      </c>
      <c r="E33" s="155">
        <v>27</v>
      </c>
      <c r="F33" s="155">
        <v>5</v>
      </c>
      <c r="G33" s="155">
        <v>3</v>
      </c>
      <c r="H33" s="156">
        <f>7002+639</f>
        <v>7641</v>
      </c>
      <c r="I33" s="157">
        <f>608+64</f>
        <v>672</v>
      </c>
      <c r="J33" s="158">
        <f t="shared" si="0"/>
        <v>134.4</v>
      </c>
      <c r="K33" s="159">
        <f t="shared" si="1"/>
        <v>11.370535714285714</v>
      </c>
      <c r="L33" s="160">
        <f>98211+58288+7002+639</f>
        <v>164140</v>
      </c>
      <c r="M33" s="158">
        <f>8036+4847+608+64</f>
        <v>13555</v>
      </c>
      <c r="N33" s="127">
        <f t="shared" si="2"/>
        <v>12.109184802655847</v>
      </c>
      <c r="O33" s="264"/>
    </row>
    <row r="34" spans="1:15" s="4" customFormat="1" ht="15">
      <c r="A34" s="186">
        <v>30</v>
      </c>
      <c r="B34" s="280" t="s">
        <v>49</v>
      </c>
      <c r="C34" s="153">
        <v>40193</v>
      </c>
      <c r="D34" s="154" t="s">
        <v>154</v>
      </c>
      <c r="E34" s="155">
        <v>86</v>
      </c>
      <c r="F34" s="155">
        <v>5</v>
      </c>
      <c r="G34" s="155">
        <v>9</v>
      </c>
      <c r="H34" s="156">
        <v>7377</v>
      </c>
      <c r="I34" s="157">
        <v>1697</v>
      </c>
      <c r="J34" s="158">
        <f t="shared" si="0"/>
        <v>339.4</v>
      </c>
      <c r="K34" s="159">
        <f t="shared" si="1"/>
        <v>4.3470830878020035</v>
      </c>
      <c r="L34" s="160">
        <v>1666787.5</v>
      </c>
      <c r="M34" s="158">
        <v>182361</v>
      </c>
      <c r="N34" s="127">
        <f t="shared" si="2"/>
        <v>9.140043649683868</v>
      </c>
      <c r="O34" s="264"/>
    </row>
    <row r="35" spans="1:15" s="4" customFormat="1" ht="15">
      <c r="A35" s="186">
        <v>31</v>
      </c>
      <c r="B35" s="280" t="s">
        <v>183</v>
      </c>
      <c r="C35" s="153">
        <v>40228</v>
      </c>
      <c r="D35" s="123" t="s">
        <v>152</v>
      </c>
      <c r="E35" s="155">
        <v>17</v>
      </c>
      <c r="F35" s="155">
        <v>5</v>
      </c>
      <c r="G35" s="155">
        <v>4</v>
      </c>
      <c r="H35" s="156">
        <v>7126</v>
      </c>
      <c r="I35" s="157">
        <v>846</v>
      </c>
      <c r="J35" s="158">
        <f t="shared" si="0"/>
        <v>169.2</v>
      </c>
      <c r="K35" s="159">
        <f t="shared" si="1"/>
        <v>8.423167848699764</v>
      </c>
      <c r="L35" s="160">
        <f>123803.5+36356.5+10616.5+7126</f>
        <v>177902.5</v>
      </c>
      <c r="M35" s="158">
        <f>9724+2877+987+846</f>
        <v>14434</v>
      </c>
      <c r="N35" s="127">
        <f t="shared" si="2"/>
        <v>12.325239018982957</v>
      </c>
      <c r="O35" s="264"/>
    </row>
    <row r="36" spans="1:15" s="4" customFormat="1" ht="15">
      <c r="A36" s="186">
        <v>32</v>
      </c>
      <c r="B36" s="280" t="s">
        <v>193</v>
      </c>
      <c r="C36" s="153">
        <v>39717</v>
      </c>
      <c r="D36" s="123" t="s">
        <v>151</v>
      </c>
      <c r="E36" s="155">
        <v>130</v>
      </c>
      <c r="F36" s="155">
        <v>1</v>
      </c>
      <c r="G36" s="155">
        <v>77</v>
      </c>
      <c r="H36" s="156">
        <v>5600</v>
      </c>
      <c r="I36" s="157">
        <v>1400</v>
      </c>
      <c r="J36" s="158">
        <f t="shared" si="0"/>
        <v>1400</v>
      </c>
      <c r="K36" s="159">
        <f t="shared" si="1"/>
        <v>4</v>
      </c>
      <c r="L36" s="160">
        <v>1488597</v>
      </c>
      <c r="M36" s="158">
        <v>174447</v>
      </c>
      <c r="N36" s="127">
        <f t="shared" si="2"/>
        <v>8.533233589571617</v>
      </c>
      <c r="O36" s="264"/>
    </row>
    <row r="37" spans="1:15" s="4" customFormat="1" ht="15">
      <c r="A37" s="186">
        <v>33</v>
      </c>
      <c r="B37" s="280" t="s">
        <v>70</v>
      </c>
      <c r="C37" s="153">
        <v>40102</v>
      </c>
      <c r="D37" s="123" t="s">
        <v>151</v>
      </c>
      <c r="E37" s="155">
        <v>99</v>
      </c>
      <c r="F37" s="155">
        <v>1</v>
      </c>
      <c r="G37" s="155">
        <v>22</v>
      </c>
      <c r="H37" s="156">
        <v>4830</v>
      </c>
      <c r="I37" s="157">
        <v>1610</v>
      </c>
      <c r="J37" s="158">
        <f aca="true" t="shared" si="3" ref="J37:J65">I37/F37</f>
        <v>1610</v>
      </c>
      <c r="K37" s="159">
        <f aca="true" t="shared" si="4" ref="K37:K65">H37/I37</f>
        <v>3</v>
      </c>
      <c r="L37" s="160">
        <v>2612860</v>
      </c>
      <c r="M37" s="158">
        <v>282507</v>
      </c>
      <c r="N37" s="127">
        <f aca="true" t="shared" si="5" ref="N37:N65">+L37/M37</f>
        <v>9.248832772285288</v>
      </c>
      <c r="O37" s="264"/>
    </row>
    <row r="38" spans="1:15" s="4" customFormat="1" ht="15">
      <c r="A38" s="186">
        <v>34</v>
      </c>
      <c r="B38" s="280" t="s">
        <v>163</v>
      </c>
      <c r="C38" s="153">
        <v>40207</v>
      </c>
      <c r="D38" s="123" t="s">
        <v>152</v>
      </c>
      <c r="E38" s="155">
        <v>43</v>
      </c>
      <c r="F38" s="155">
        <v>6</v>
      </c>
      <c r="G38" s="155">
        <v>7</v>
      </c>
      <c r="H38" s="156">
        <v>4755.5</v>
      </c>
      <c r="I38" s="157">
        <v>758</v>
      </c>
      <c r="J38" s="158">
        <f t="shared" si="3"/>
        <v>126.33333333333333</v>
      </c>
      <c r="K38" s="159">
        <f t="shared" si="4"/>
        <v>6.2737467018469655</v>
      </c>
      <c r="L38" s="160">
        <f>102370+44067.75+18390+5765+946+3445+4755.5</f>
        <v>179739.25</v>
      </c>
      <c r="M38" s="158">
        <f>13060+5979+2634+1158+157+588+758</f>
        <v>24334</v>
      </c>
      <c r="N38" s="127">
        <f t="shared" si="5"/>
        <v>7.3863421550094515</v>
      </c>
      <c r="O38" s="264">
        <v>1</v>
      </c>
    </row>
    <row r="39" spans="1:15" s="4" customFormat="1" ht="15">
      <c r="A39" s="186">
        <v>35</v>
      </c>
      <c r="B39" s="280" t="s">
        <v>195</v>
      </c>
      <c r="C39" s="153">
        <v>40200</v>
      </c>
      <c r="D39" s="123" t="s">
        <v>151</v>
      </c>
      <c r="E39" s="155">
        <v>95</v>
      </c>
      <c r="F39" s="155">
        <v>20</v>
      </c>
      <c r="G39" s="155">
        <v>8</v>
      </c>
      <c r="H39" s="156">
        <v>4124</v>
      </c>
      <c r="I39" s="157">
        <v>830</v>
      </c>
      <c r="J39" s="158">
        <f t="shared" si="3"/>
        <v>41.5</v>
      </c>
      <c r="K39" s="159">
        <f t="shared" si="4"/>
        <v>4.968674698795181</v>
      </c>
      <c r="L39" s="160">
        <v>1911183</v>
      </c>
      <c r="M39" s="158">
        <v>209669</v>
      </c>
      <c r="N39" s="127">
        <f t="shared" si="5"/>
        <v>9.115238781126441</v>
      </c>
      <c r="O39" s="264"/>
    </row>
    <row r="40" spans="1:15" s="4" customFormat="1" ht="15">
      <c r="A40" s="186">
        <v>36</v>
      </c>
      <c r="B40" s="280" t="s">
        <v>66</v>
      </c>
      <c r="C40" s="153">
        <v>40067</v>
      </c>
      <c r="D40" s="154" t="s">
        <v>154</v>
      </c>
      <c r="E40" s="155">
        <v>105</v>
      </c>
      <c r="F40" s="155">
        <v>1</v>
      </c>
      <c r="G40" s="155">
        <v>25</v>
      </c>
      <c r="H40" s="156">
        <v>3920</v>
      </c>
      <c r="I40" s="157">
        <v>784</v>
      </c>
      <c r="J40" s="158">
        <f t="shared" si="3"/>
        <v>784</v>
      </c>
      <c r="K40" s="159">
        <f t="shared" si="4"/>
        <v>5</v>
      </c>
      <c r="L40" s="160">
        <v>633839.5</v>
      </c>
      <c r="M40" s="158">
        <v>76456</v>
      </c>
      <c r="N40" s="127">
        <f t="shared" si="5"/>
        <v>8.290251909595062</v>
      </c>
      <c r="O40" s="264"/>
    </row>
    <row r="41" spans="1:15" s="4" customFormat="1" ht="15">
      <c r="A41" s="186">
        <v>37</v>
      </c>
      <c r="B41" s="280" t="s">
        <v>196</v>
      </c>
      <c r="C41" s="153">
        <v>40193</v>
      </c>
      <c r="D41" s="123" t="s">
        <v>152</v>
      </c>
      <c r="E41" s="155">
        <v>55</v>
      </c>
      <c r="F41" s="155">
        <v>9</v>
      </c>
      <c r="G41" s="155">
        <v>9</v>
      </c>
      <c r="H41" s="156">
        <v>3868</v>
      </c>
      <c r="I41" s="157">
        <v>818</v>
      </c>
      <c r="J41" s="158">
        <f t="shared" si="3"/>
        <v>90.88888888888889</v>
      </c>
      <c r="K41" s="159">
        <f t="shared" si="4"/>
        <v>4.728606356968215</v>
      </c>
      <c r="L41" s="160">
        <f>197266+158498+94472.5+25746.5+5341+4975+4175+3550+3868</f>
        <v>497892</v>
      </c>
      <c r="M41" s="158">
        <f>19567+17056+12441+3194+866+909+697+693+818</f>
        <v>56241</v>
      </c>
      <c r="N41" s="127">
        <f t="shared" si="5"/>
        <v>8.85282978609911</v>
      </c>
      <c r="O41" s="264"/>
    </row>
    <row r="42" spans="1:15" s="4" customFormat="1" ht="15">
      <c r="A42" s="186">
        <v>38</v>
      </c>
      <c r="B42" s="280" t="s">
        <v>89</v>
      </c>
      <c r="C42" s="153">
        <v>40179</v>
      </c>
      <c r="D42" s="123" t="s">
        <v>152</v>
      </c>
      <c r="E42" s="155">
        <v>42</v>
      </c>
      <c r="F42" s="155">
        <v>2</v>
      </c>
      <c r="G42" s="155">
        <v>11</v>
      </c>
      <c r="H42" s="156">
        <v>3348</v>
      </c>
      <c r="I42" s="157">
        <v>552</v>
      </c>
      <c r="J42" s="158">
        <f t="shared" si="3"/>
        <v>276</v>
      </c>
      <c r="K42" s="159">
        <f t="shared" si="4"/>
        <v>6.065217391304348</v>
      </c>
      <c r="L42" s="160">
        <f>310442.5+275157.5+119153+26271.5+19971.5+13231+6468+3094+3122+818+3348</f>
        <v>781077</v>
      </c>
      <c r="M42" s="158">
        <f>26771+24068+11328+2954+1983+1309+737+492+663+147+552</f>
        <v>71004</v>
      </c>
      <c r="N42" s="127">
        <f t="shared" si="5"/>
        <v>11.000464762548589</v>
      </c>
      <c r="O42" s="264"/>
    </row>
    <row r="43" spans="1:15" s="4" customFormat="1" ht="15">
      <c r="A43" s="186">
        <v>39</v>
      </c>
      <c r="B43" s="280" t="s">
        <v>182</v>
      </c>
      <c r="C43" s="153">
        <v>40228</v>
      </c>
      <c r="D43" s="123" t="s">
        <v>151</v>
      </c>
      <c r="E43" s="155">
        <v>70</v>
      </c>
      <c r="F43" s="155">
        <v>8</v>
      </c>
      <c r="G43" s="155">
        <v>4</v>
      </c>
      <c r="H43" s="156">
        <v>2667</v>
      </c>
      <c r="I43" s="157">
        <v>361</v>
      </c>
      <c r="J43" s="158">
        <f t="shared" si="3"/>
        <v>45.125</v>
      </c>
      <c r="K43" s="159">
        <f t="shared" si="4"/>
        <v>7.38781163434903</v>
      </c>
      <c r="L43" s="160">
        <v>242883</v>
      </c>
      <c r="M43" s="158">
        <v>24142</v>
      </c>
      <c r="N43" s="127">
        <f t="shared" si="5"/>
        <v>10.060599784607737</v>
      </c>
      <c r="O43" s="264"/>
    </row>
    <row r="44" spans="1:15" s="4" customFormat="1" ht="15">
      <c r="A44" s="186">
        <v>40</v>
      </c>
      <c r="B44" s="280" t="s">
        <v>205</v>
      </c>
      <c r="C44" s="153">
        <v>40193</v>
      </c>
      <c r="D44" s="123" t="s">
        <v>152</v>
      </c>
      <c r="E44" s="155">
        <v>17</v>
      </c>
      <c r="F44" s="155">
        <v>2</v>
      </c>
      <c r="G44" s="155">
        <v>7</v>
      </c>
      <c r="H44" s="156">
        <v>2653</v>
      </c>
      <c r="I44" s="157">
        <v>719</v>
      </c>
      <c r="J44" s="158">
        <f t="shared" si="3"/>
        <v>359.5</v>
      </c>
      <c r="K44" s="159">
        <f t="shared" si="4"/>
        <v>3.689847009735744</v>
      </c>
      <c r="L44" s="160">
        <f>1080+95415+33267.75+2666+272+903+421+2653</f>
        <v>136677.75</v>
      </c>
      <c r="M44" s="158">
        <f>108+7515+2837+363+32+176+93+719</f>
        <v>11843</v>
      </c>
      <c r="N44" s="127">
        <f t="shared" si="5"/>
        <v>11.540804694756396</v>
      </c>
      <c r="O44" s="264"/>
    </row>
    <row r="45" spans="1:15" s="4" customFormat="1" ht="15">
      <c r="A45" s="186">
        <v>41</v>
      </c>
      <c r="B45" s="280" t="s">
        <v>162</v>
      </c>
      <c r="C45" s="153">
        <v>40200</v>
      </c>
      <c r="D45" s="123" t="s">
        <v>151</v>
      </c>
      <c r="E45" s="155">
        <v>227</v>
      </c>
      <c r="F45" s="155">
        <v>6</v>
      </c>
      <c r="G45" s="155">
        <v>8</v>
      </c>
      <c r="H45" s="156">
        <v>2644</v>
      </c>
      <c r="I45" s="157">
        <v>588</v>
      </c>
      <c r="J45" s="158">
        <f t="shared" si="3"/>
        <v>98</v>
      </c>
      <c r="K45" s="159">
        <f t="shared" si="4"/>
        <v>4.496598639455782</v>
      </c>
      <c r="L45" s="160">
        <v>6702174</v>
      </c>
      <c r="M45" s="158">
        <v>746629</v>
      </c>
      <c r="N45" s="127">
        <f t="shared" si="5"/>
        <v>8.976578729194822</v>
      </c>
      <c r="O45" s="264">
        <v>1</v>
      </c>
    </row>
    <row r="46" spans="1:15" s="4" customFormat="1" ht="15">
      <c r="A46" s="186">
        <v>42</v>
      </c>
      <c r="B46" s="280" t="s">
        <v>10</v>
      </c>
      <c r="C46" s="153">
        <v>40207</v>
      </c>
      <c r="D46" s="154" t="s">
        <v>154</v>
      </c>
      <c r="E46" s="155">
        <v>47</v>
      </c>
      <c r="F46" s="155">
        <v>3</v>
      </c>
      <c r="G46" s="155">
        <v>7</v>
      </c>
      <c r="H46" s="156">
        <v>2502.5</v>
      </c>
      <c r="I46" s="157">
        <v>319</v>
      </c>
      <c r="J46" s="158">
        <f t="shared" si="3"/>
        <v>106.33333333333333</v>
      </c>
      <c r="K46" s="159">
        <f t="shared" si="4"/>
        <v>7.844827586206897</v>
      </c>
      <c r="L46" s="160">
        <v>1852479.5</v>
      </c>
      <c r="M46" s="158">
        <v>157413</v>
      </c>
      <c r="N46" s="127">
        <f t="shared" si="5"/>
        <v>11.768275174223222</v>
      </c>
      <c r="O46" s="264"/>
    </row>
    <row r="47" spans="1:15" s="4" customFormat="1" ht="15">
      <c r="A47" s="186">
        <v>43</v>
      </c>
      <c r="B47" s="280" t="s">
        <v>51</v>
      </c>
      <c r="C47" s="153">
        <v>40193</v>
      </c>
      <c r="D47" s="154" t="s">
        <v>154</v>
      </c>
      <c r="E47" s="155">
        <v>124</v>
      </c>
      <c r="F47" s="155">
        <v>2</v>
      </c>
      <c r="G47" s="155">
        <v>9</v>
      </c>
      <c r="H47" s="156">
        <v>2376</v>
      </c>
      <c r="I47" s="157">
        <v>495</v>
      </c>
      <c r="J47" s="158">
        <f t="shared" si="3"/>
        <v>247.5</v>
      </c>
      <c r="K47" s="159">
        <f t="shared" si="4"/>
        <v>4.8</v>
      </c>
      <c r="L47" s="160">
        <v>452298.75</v>
      </c>
      <c r="M47" s="158">
        <v>56796</v>
      </c>
      <c r="N47" s="127">
        <f t="shared" si="5"/>
        <v>7.963566976547644</v>
      </c>
      <c r="O47" s="264">
        <v>1</v>
      </c>
    </row>
    <row r="48" spans="1:15" s="4" customFormat="1" ht="15">
      <c r="A48" s="186">
        <v>44</v>
      </c>
      <c r="B48" s="280" t="s">
        <v>161</v>
      </c>
      <c r="C48" s="153">
        <v>39892</v>
      </c>
      <c r="D48" s="123" t="s">
        <v>152</v>
      </c>
      <c r="E48" s="155">
        <v>5</v>
      </c>
      <c r="F48" s="155">
        <v>1</v>
      </c>
      <c r="G48" s="155">
        <v>23</v>
      </c>
      <c r="H48" s="156">
        <v>2376</v>
      </c>
      <c r="I48" s="157">
        <v>594</v>
      </c>
      <c r="J48" s="158">
        <f t="shared" si="3"/>
        <v>594</v>
      </c>
      <c r="K48" s="159">
        <f t="shared" si="4"/>
        <v>4</v>
      </c>
      <c r="L48" s="160">
        <f>18881.5+13473+6553+4173.5+2378+3269+2172+792+240+60+1236+552+1321+1757+465+884+565+65+261+952+114+51+2376</f>
        <v>62591</v>
      </c>
      <c r="M48" s="158">
        <f>2268+1745+795+568+579+610+541+209+80+20+215+68+169+337+93+144+93+15+56+238+23+20+594</f>
        <v>9480</v>
      </c>
      <c r="N48" s="127">
        <f t="shared" si="5"/>
        <v>6.6024261603375525</v>
      </c>
      <c r="O48" s="264"/>
    </row>
    <row r="49" spans="1:15" s="4" customFormat="1" ht="15">
      <c r="A49" s="186">
        <v>45</v>
      </c>
      <c r="B49" s="280" t="s">
        <v>81</v>
      </c>
      <c r="C49" s="153">
        <v>40151</v>
      </c>
      <c r="D49" s="123" t="s">
        <v>152</v>
      </c>
      <c r="E49" s="155">
        <v>2</v>
      </c>
      <c r="F49" s="155">
        <v>1</v>
      </c>
      <c r="G49" s="155">
        <v>9</v>
      </c>
      <c r="H49" s="156">
        <v>2139</v>
      </c>
      <c r="I49" s="157">
        <v>535</v>
      </c>
      <c r="J49" s="158">
        <f t="shared" si="3"/>
        <v>535</v>
      </c>
      <c r="K49" s="159">
        <f t="shared" si="4"/>
        <v>3.9981308411214953</v>
      </c>
      <c r="L49" s="160">
        <f>14952+6112+2196+2975+2853+674+1006+530+2139</f>
        <v>33437</v>
      </c>
      <c r="M49" s="158">
        <f>1468+666+254+478+502+81+130+107+535</f>
        <v>4221</v>
      </c>
      <c r="N49" s="127">
        <f t="shared" si="5"/>
        <v>7.921582563373608</v>
      </c>
      <c r="O49" s="264"/>
    </row>
    <row r="50" spans="1:15" s="4" customFormat="1" ht="15">
      <c r="A50" s="186">
        <v>46</v>
      </c>
      <c r="B50" s="280" t="s">
        <v>207</v>
      </c>
      <c r="C50" s="153">
        <v>40186</v>
      </c>
      <c r="D50" s="123" t="s">
        <v>152</v>
      </c>
      <c r="E50" s="155">
        <v>1</v>
      </c>
      <c r="F50" s="155">
        <v>1</v>
      </c>
      <c r="G50" s="155">
        <v>8</v>
      </c>
      <c r="H50" s="156">
        <v>1780</v>
      </c>
      <c r="I50" s="157">
        <v>445</v>
      </c>
      <c r="J50" s="158">
        <f t="shared" si="3"/>
        <v>445</v>
      </c>
      <c r="K50" s="159">
        <f t="shared" si="4"/>
        <v>4</v>
      </c>
      <c r="L50" s="160">
        <f>9061+11823.5+5543+523+1044+255+746+557+1780</f>
        <v>31332.5</v>
      </c>
      <c r="M50" s="158">
        <f>906+798+439+43+88+22+127+99+445</f>
        <v>2967</v>
      </c>
      <c r="N50" s="127">
        <f t="shared" si="5"/>
        <v>10.560330299966296</v>
      </c>
      <c r="O50" s="264"/>
    </row>
    <row r="51" spans="1:15" s="4" customFormat="1" ht="15">
      <c r="A51" s="186">
        <v>47</v>
      </c>
      <c r="B51" s="280" t="s">
        <v>58</v>
      </c>
      <c r="C51" s="153">
        <v>39955</v>
      </c>
      <c r="D51" s="123" t="s">
        <v>152</v>
      </c>
      <c r="E51" s="155">
        <v>88</v>
      </c>
      <c r="F51" s="155">
        <v>1</v>
      </c>
      <c r="G51" s="155">
        <v>26</v>
      </c>
      <c r="H51" s="156">
        <v>1780</v>
      </c>
      <c r="I51" s="157">
        <v>445</v>
      </c>
      <c r="J51" s="158">
        <f t="shared" si="3"/>
        <v>445</v>
      </c>
      <c r="K51" s="159">
        <f t="shared" si="4"/>
        <v>4</v>
      </c>
      <c r="L51" s="160">
        <f>253985.25+197941+176827+129137.25+73306.5+36496.5+20735+12653+3137+3974+3108+6704.75+3312+1885+643+108556.75+31027+8660.5+1196.5+2137+5262+2140+4040+1780+1188+1780</f>
        <v>1091613</v>
      </c>
      <c r="M51" s="158">
        <f>26929+21325+23241+17550+10624+6388+4049+2644+577+882+663+1354+764+460+116+14641+4967+986+117+181+1185+535+1010+445+297+445</f>
        <v>142375</v>
      </c>
      <c r="N51" s="127">
        <f t="shared" si="5"/>
        <v>7.66716769095698</v>
      </c>
      <c r="O51" s="264"/>
    </row>
    <row r="52" spans="1:15" s="4" customFormat="1" ht="15">
      <c r="A52" s="186">
        <v>48</v>
      </c>
      <c r="B52" s="280" t="s">
        <v>43</v>
      </c>
      <c r="C52" s="153">
        <v>39926</v>
      </c>
      <c r="D52" s="123" t="s">
        <v>152</v>
      </c>
      <c r="E52" s="155">
        <v>40</v>
      </c>
      <c r="F52" s="155">
        <v>1</v>
      </c>
      <c r="G52" s="155">
        <v>33</v>
      </c>
      <c r="H52" s="156">
        <v>1780</v>
      </c>
      <c r="I52" s="157">
        <v>445</v>
      </c>
      <c r="J52" s="158">
        <f t="shared" si="3"/>
        <v>445</v>
      </c>
      <c r="K52" s="159">
        <f t="shared" si="4"/>
        <v>4</v>
      </c>
      <c r="L52" s="160">
        <f>35864.5+53058.5+35303.5+15734.5+12778.5+9687.5+8045+13953.5+10307+6140.75+1296+667+231+755+1970+2246+752.5+591.5+130+445+2051+750+1477+2060+1816+47+72+84+378+2301+1280+700+256+1780</f>
        <v>225009.25</v>
      </c>
      <c r="M52" s="158">
        <f>3971+5771+3969+2398+2257+2131+1634+2509+1783+912+230+126+48+181+472+311+114+91+20+78+493+183+365+462+452+9+24+28+94+494+182+115+64+445</f>
        <v>32416</v>
      </c>
      <c r="N52" s="127">
        <f t="shared" si="5"/>
        <v>6.941302134748272</v>
      </c>
      <c r="O52" s="264"/>
    </row>
    <row r="53" spans="1:15" s="4" customFormat="1" ht="15">
      <c r="A53" s="186">
        <v>49</v>
      </c>
      <c r="B53" s="280" t="s">
        <v>12</v>
      </c>
      <c r="C53" s="153">
        <v>40207</v>
      </c>
      <c r="D53" s="123" t="s">
        <v>151</v>
      </c>
      <c r="E53" s="155">
        <v>50</v>
      </c>
      <c r="F53" s="155">
        <v>3</v>
      </c>
      <c r="G53" s="155">
        <v>7</v>
      </c>
      <c r="H53" s="156">
        <v>1395</v>
      </c>
      <c r="I53" s="157">
        <v>215</v>
      </c>
      <c r="J53" s="158">
        <f t="shared" si="3"/>
        <v>71.66666666666667</v>
      </c>
      <c r="K53" s="159">
        <f t="shared" si="4"/>
        <v>6.488372093023256</v>
      </c>
      <c r="L53" s="160">
        <v>802019</v>
      </c>
      <c r="M53" s="158">
        <v>70057</v>
      </c>
      <c r="N53" s="127">
        <f t="shared" si="5"/>
        <v>11.448092267724853</v>
      </c>
      <c r="O53" s="264"/>
    </row>
    <row r="54" spans="1:15" s="4" customFormat="1" ht="15">
      <c r="A54" s="186">
        <v>50</v>
      </c>
      <c r="B54" s="280" t="s">
        <v>197</v>
      </c>
      <c r="C54" s="153">
        <v>40186</v>
      </c>
      <c r="D54" s="123" t="s">
        <v>152</v>
      </c>
      <c r="E54" s="155">
        <v>4</v>
      </c>
      <c r="F54" s="155">
        <v>2</v>
      </c>
      <c r="G54" s="155">
        <v>10</v>
      </c>
      <c r="H54" s="156">
        <v>1248</v>
      </c>
      <c r="I54" s="157">
        <v>237</v>
      </c>
      <c r="J54" s="158">
        <f t="shared" si="3"/>
        <v>118.5</v>
      </c>
      <c r="K54" s="159">
        <f t="shared" si="4"/>
        <v>5.265822784810126</v>
      </c>
      <c r="L54" s="160">
        <f>16093+2026+1632+2529+3793+924+2564+676+3194+1248</f>
        <v>34679</v>
      </c>
      <c r="M54" s="158">
        <f>1351+257+325+456+731+166+434+122+514+237</f>
        <v>4593</v>
      </c>
      <c r="N54" s="127">
        <f t="shared" si="5"/>
        <v>7.550402786849554</v>
      </c>
      <c r="O54" s="264"/>
    </row>
    <row r="55" spans="1:15" s="4" customFormat="1" ht="15">
      <c r="A55" s="186">
        <v>51</v>
      </c>
      <c r="B55" s="280" t="s">
        <v>107</v>
      </c>
      <c r="C55" s="153">
        <v>40144</v>
      </c>
      <c r="D55" s="123" t="s">
        <v>151</v>
      </c>
      <c r="E55" s="155">
        <v>128</v>
      </c>
      <c r="F55" s="155">
        <v>1</v>
      </c>
      <c r="G55" s="155">
        <v>16</v>
      </c>
      <c r="H55" s="156">
        <v>1218</v>
      </c>
      <c r="I55" s="157">
        <v>560</v>
      </c>
      <c r="J55" s="158">
        <f t="shared" si="3"/>
        <v>560</v>
      </c>
      <c r="K55" s="159">
        <f t="shared" si="4"/>
        <v>2.175</v>
      </c>
      <c r="L55" s="160">
        <v>2616897</v>
      </c>
      <c r="M55" s="158">
        <v>317322</v>
      </c>
      <c r="N55" s="127">
        <f t="shared" si="5"/>
        <v>8.246818688902755</v>
      </c>
      <c r="O55" s="264">
        <v>1</v>
      </c>
    </row>
    <row r="56" spans="1:15" s="4" customFormat="1" ht="15">
      <c r="A56" s="186">
        <v>52</v>
      </c>
      <c r="B56" s="280" t="s">
        <v>90</v>
      </c>
      <c r="C56" s="153">
        <v>40179</v>
      </c>
      <c r="D56" s="123" t="s">
        <v>150</v>
      </c>
      <c r="E56" s="155">
        <v>60</v>
      </c>
      <c r="F56" s="155">
        <v>1</v>
      </c>
      <c r="G56" s="155">
        <v>10</v>
      </c>
      <c r="H56" s="156">
        <v>1190</v>
      </c>
      <c r="I56" s="157">
        <v>238</v>
      </c>
      <c r="J56" s="158">
        <f t="shared" si="3"/>
        <v>238</v>
      </c>
      <c r="K56" s="159">
        <f t="shared" si="4"/>
        <v>5</v>
      </c>
      <c r="L56" s="160">
        <f>471455+3571+1190</f>
        <v>476216</v>
      </c>
      <c r="M56" s="158">
        <f>46173+892+238</f>
        <v>47303</v>
      </c>
      <c r="N56" s="127">
        <f t="shared" si="5"/>
        <v>10.067353022007062</v>
      </c>
      <c r="O56" s="264"/>
    </row>
    <row r="57" spans="1:15" s="4" customFormat="1" ht="15">
      <c r="A57" s="186">
        <v>53</v>
      </c>
      <c r="B57" s="280" t="s">
        <v>75</v>
      </c>
      <c r="C57" s="153">
        <v>40123</v>
      </c>
      <c r="D57" s="154" t="s">
        <v>154</v>
      </c>
      <c r="E57" s="155">
        <v>58</v>
      </c>
      <c r="F57" s="155">
        <v>1</v>
      </c>
      <c r="G57" s="155">
        <v>16</v>
      </c>
      <c r="H57" s="156">
        <v>1188</v>
      </c>
      <c r="I57" s="157">
        <v>238</v>
      </c>
      <c r="J57" s="158">
        <f t="shared" si="3"/>
        <v>238</v>
      </c>
      <c r="K57" s="159">
        <f t="shared" si="4"/>
        <v>4.991596638655462</v>
      </c>
      <c r="L57" s="160">
        <v>477968.75</v>
      </c>
      <c r="M57" s="158">
        <v>46317</v>
      </c>
      <c r="N57" s="127">
        <f t="shared" si="5"/>
        <v>10.319510115076538</v>
      </c>
      <c r="O57" s="264"/>
    </row>
    <row r="58" spans="1:15" s="4" customFormat="1" ht="15">
      <c r="A58" s="186">
        <v>54</v>
      </c>
      <c r="B58" s="280" t="s">
        <v>198</v>
      </c>
      <c r="C58" s="153">
        <v>40186</v>
      </c>
      <c r="D58" s="123" t="s">
        <v>152</v>
      </c>
      <c r="E58" s="155">
        <v>4</v>
      </c>
      <c r="F58" s="155">
        <v>2</v>
      </c>
      <c r="G58" s="155">
        <v>10</v>
      </c>
      <c r="H58" s="156">
        <v>871</v>
      </c>
      <c r="I58" s="157">
        <v>208</v>
      </c>
      <c r="J58" s="158">
        <f t="shared" si="3"/>
        <v>104</v>
      </c>
      <c r="K58" s="159">
        <f t="shared" si="4"/>
        <v>4.1875</v>
      </c>
      <c r="L58" s="160">
        <f>19677.25+6138.5+538+2308.5+3432+4106+4545+2392+1206+871</f>
        <v>45214.25</v>
      </c>
      <c r="M58" s="158">
        <f>1627+845+84+359+556+884+725+553+247+208</f>
        <v>6088</v>
      </c>
      <c r="N58" s="127">
        <f t="shared" si="5"/>
        <v>7.426782194480946</v>
      </c>
      <c r="O58" s="264"/>
    </row>
    <row r="59" spans="1:15" s="4" customFormat="1" ht="15">
      <c r="A59" s="186">
        <v>55</v>
      </c>
      <c r="B59" s="280" t="s">
        <v>116</v>
      </c>
      <c r="C59" s="153">
        <v>40158</v>
      </c>
      <c r="D59" s="154" t="s">
        <v>154</v>
      </c>
      <c r="E59" s="155">
        <v>6</v>
      </c>
      <c r="F59" s="155">
        <v>1</v>
      </c>
      <c r="G59" s="155">
        <v>8</v>
      </c>
      <c r="H59" s="156">
        <v>750</v>
      </c>
      <c r="I59" s="157">
        <v>125</v>
      </c>
      <c r="J59" s="158">
        <f t="shared" si="3"/>
        <v>125</v>
      </c>
      <c r="K59" s="159">
        <f t="shared" si="4"/>
        <v>6</v>
      </c>
      <c r="L59" s="160">
        <v>50916.5</v>
      </c>
      <c r="M59" s="158">
        <v>4718</v>
      </c>
      <c r="N59" s="127">
        <f t="shared" si="5"/>
        <v>10.791966935142009</v>
      </c>
      <c r="O59" s="264"/>
    </row>
    <row r="60" spans="1:15" s="4" customFormat="1" ht="15">
      <c r="A60" s="186">
        <v>56</v>
      </c>
      <c r="B60" s="280" t="s">
        <v>48</v>
      </c>
      <c r="C60" s="153">
        <v>40193</v>
      </c>
      <c r="D60" s="123" t="s">
        <v>150</v>
      </c>
      <c r="E60" s="155">
        <v>83</v>
      </c>
      <c r="F60" s="155">
        <v>1</v>
      </c>
      <c r="G60" s="155">
        <v>9</v>
      </c>
      <c r="H60" s="156">
        <v>724</v>
      </c>
      <c r="I60" s="157">
        <v>141</v>
      </c>
      <c r="J60" s="158">
        <f t="shared" si="3"/>
        <v>141</v>
      </c>
      <c r="K60" s="159">
        <f t="shared" si="4"/>
        <v>5.134751773049645</v>
      </c>
      <c r="L60" s="160">
        <f>2810668+724</f>
        <v>2811392</v>
      </c>
      <c r="M60" s="158">
        <f>266748+141</f>
        <v>266889</v>
      </c>
      <c r="N60" s="127">
        <f t="shared" si="5"/>
        <v>10.53393732975132</v>
      </c>
      <c r="O60" s="264"/>
    </row>
    <row r="61" spans="1:15" s="4" customFormat="1" ht="15">
      <c r="A61" s="186">
        <v>57</v>
      </c>
      <c r="B61" s="280" t="s">
        <v>79</v>
      </c>
      <c r="C61" s="153">
        <v>40137</v>
      </c>
      <c r="D61" s="123" t="s">
        <v>150</v>
      </c>
      <c r="E61" s="155">
        <v>20</v>
      </c>
      <c r="F61" s="155">
        <v>1</v>
      </c>
      <c r="G61" s="155">
        <v>17</v>
      </c>
      <c r="H61" s="156">
        <v>413</v>
      </c>
      <c r="I61" s="157">
        <v>59</v>
      </c>
      <c r="J61" s="158">
        <f t="shared" si="3"/>
        <v>59</v>
      </c>
      <c r="K61" s="159">
        <f t="shared" si="4"/>
        <v>7</v>
      </c>
      <c r="L61" s="160">
        <f>1034595+1595+413</f>
        <v>1036603</v>
      </c>
      <c r="M61" s="158">
        <f>85844+247+59</f>
        <v>86150</v>
      </c>
      <c r="N61" s="127">
        <f t="shared" si="5"/>
        <v>12.032536273940801</v>
      </c>
      <c r="O61" s="264"/>
    </row>
    <row r="62" spans="1:15" s="4" customFormat="1" ht="15">
      <c r="A62" s="186">
        <v>58</v>
      </c>
      <c r="B62" s="280" t="s">
        <v>185</v>
      </c>
      <c r="C62" s="153">
        <v>40228</v>
      </c>
      <c r="D62" s="123" t="s">
        <v>178</v>
      </c>
      <c r="E62" s="155">
        <v>15</v>
      </c>
      <c r="F62" s="155">
        <v>1</v>
      </c>
      <c r="G62" s="155">
        <v>4</v>
      </c>
      <c r="H62" s="156">
        <v>184</v>
      </c>
      <c r="I62" s="157">
        <v>30</v>
      </c>
      <c r="J62" s="158">
        <f t="shared" si="3"/>
        <v>30</v>
      </c>
      <c r="K62" s="159">
        <f t="shared" si="4"/>
        <v>6.133333333333334</v>
      </c>
      <c r="L62" s="160">
        <v>33595</v>
      </c>
      <c r="M62" s="158">
        <v>3149</v>
      </c>
      <c r="N62" s="127">
        <f t="shared" si="5"/>
        <v>10.6684661797396</v>
      </c>
      <c r="O62" s="264"/>
    </row>
    <row r="63" spans="1:15" s="4" customFormat="1" ht="15">
      <c r="A63" s="186">
        <v>59</v>
      </c>
      <c r="B63" s="280" t="s">
        <v>20</v>
      </c>
      <c r="C63" s="153">
        <v>40165</v>
      </c>
      <c r="D63" s="154" t="s">
        <v>154</v>
      </c>
      <c r="E63" s="155">
        <v>38</v>
      </c>
      <c r="F63" s="155">
        <v>1</v>
      </c>
      <c r="G63" s="155">
        <v>13</v>
      </c>
      <c r="H63" s="156">
        <v>100</v>
      </c>
      <c r="I63" s="157">
        <v>23</v>
      </c>
      <c r="J63" s="158">
        <f t="shared" si="3"/>
        <v>23</v>
      </c>
      <c r="K63" s="159">
        <f t="shared" si="4"/>
        <v>4.3478260869565215</v>
      </c>
      <c r="L63" s="160">
        <v>1115246</v>
      </c>
      <c r="M63" s="158">
        <v>135728</v>
      </c>
      <c r="N63" s="127">
        <f t="shared" si="5"/>
        <v>8.216771778851822</v>
      </c>
      <c r="O63" s="264">
        <v>1</v>
      </c>
    </row>
    <row r="64" spans="1:15" s="4" customFormat="1" ht="15">
      <c r="A64" s="186">
        <v>60</v>
      </c>
      <c r="B64" s="280" t="s">
        <v>199</v>
      </c>
      <c r="C64" s="153">
        <v>40221</v>
      </c>
      <c r="D64" s="123" t="s">
        <v>152</v>
      </c>
      <c r="E64" s="155">
        <v>2</v>
      </c>
      <c r="F64" s="155">
        <v>1</v>
      </c>
      <c r="G64" s="155">
        <v>5</v>
      </c>
      <c r="H64" s="156">
        <v>72</v>
      </c>
      <c r="I64" s="157">
        <v>24</v>
      </c>
      <c r="J64" s="158">
        <f t="shared" si="3"/>
        <v>24</v>
      </c>
      <c r="K64" s="159">
        <f t="shared" si="4"/>
        <v>3</v>
      </c>
      <c r="L64" s="160">
        <f>3272+1637+421+75+72</f>
        <v>5477</v>
      </c>
      <c r="M64" s="158">
        <f>320+180+79+25+24</f>
        <v>628</v>
      </c>
      <c r="N64" s="127">
        <f t="shared" si="5"/>
        <v>8.721337579617835</v>
      </c>
      <c r="O64" s="264"/>
    </row>
    <row r="65" spans="1:15" s="4" customFormat="1" ht="15.75" thickBot="1">
      <c r="A65" s="333">
        <v>61</v>
      </c>
      <c r="B65" s="331" t="s">
        <v>160</v>
      </c>
      <c r="C65" s="192">
        <v>39976</v>
      </c>
      <c r="D65" s="124" t="s">
        <v>152</v>
      </c>
      <c r="E65" s="193">
        <v>2</v>
      </c>
      <c r="F65" s="193">
        <v>1</v>
      </c>
      <c r="G65" s="193">
        <v>17</v>
      </c>
      <c r="H65" s="194">
        <v>66</v>
      </c>
      <c r="I65" s="195">
        <v>22</v>
      </c>
      <c r="J65" s="161">
        <f t="shared" si="3"/>
        <v>22</v>
      </c>
      <c r="K65" s="162">
        <f t="shared" si="4"/>
        <v>3</v>
      </c>
      <c r="L65" s="163">
        <f>4047+2102+1183+288+2185+769.5+1362.5+929+117+25+266+133+952+1424+1780+1780+66</f>
        <v>19409</v>
      </c>
      <c r="M65" s="161">
        <f>502+366+177+30+537+130+151+131+15+2+54+19+238+356+445+445+22</f>
        <v>3620</v>
      </c>
      <c r="N65" s="125">
        <f t="shared" si="5"/>
        <v>5.361602209944752</v>
      </c>
      <c r="O65" s="264"/>
    </row>
    <row r="66" spans="1:15" s="4" customFormat="1" ht="15">
      <c r="A66" s="358" t="s">
        <v>155</v>
      </c>
      <c r="B66" s="359"/>
      <c r="C66" s="9"/>
      <c r="D66" s="15"/>
      <c r="E66" s="142"/>
      <c r="F66" s="143"/>
      <c r="G66" s="142"/>
      <c r="H66" s="18">
        <f>SUM(H5:H65)</f>
        <v>11375781</v>
      </c>
      <c r="I66" s="19">
        <f>SUM(I5:I65)</f>
        <v>1294516</v>
      </c>
      <c r="J66" s="25"/>
      <c r="K66" s="26"/>
      <c r="L66" s="27"/>
      <c r="M66" s="28"/>
      <c r="N66" s="26"/>
      <c r="O66" s="20"/>
    </row>
    <row r="67" spans="1:15" s="4" customFormat="1" ht="13.5">
      <c r="A67" s="284"/>
      <c r="B67" s="285"/>
      <c r="C67" s="286"/>
      <c r="D67" s="287"/>
      <c r="E67" s="288"/>
      <c r="F67" s="288"/>
      <c r="G67" s="288"/>
      <c r="H67" s="289"/>
      <c r="I67" s="290"/>
      <c r="J67" s="291"/>
      <c r="K67" s="292"/>
      <c r="L67" s="293"/>
      <c r="M67" s="294"/>
      <c r="N67" s="292"/>
      <c r="O67" s="20"/>
    </row>
    <row r="68" spans="1:15" s="4" customFormat="1" ht="15">
      <c r="A68" s="284"/>
      <c r="B68" s="295"/>
      <c r="C68" s="296"/>
      <c r="D68" s="297"/>
      <c r="E68" s="298"/>
      <c r="F68" s="299"/>
      <c r="G68" s="288"/>
      <c r="H68" s="289"/>
      <c r="I68" s="290"/>
      <c r="J68" s="360" t="s">
        <v>153</v>
      </c>
      <c r="K68" s="361"/>
      <c r="L68" s="361"/>
      <c r="M68" s="361"/>
      <c r="N68" s="361"/>
      <c r="O68" s="20"/>
    </row>
    <row r="69" spans="1:15" s="4" customFormat="1" ht="15">
      <c r="A69" s="284"/>
      <c r="B69" s="295"/>
      <c r="C69" s="296"/>
      <c r="D69" s="297"/>
      <c r="E69" s="298"/>
      <c r="F69" s="288"/>
      <c r="G69" s="300"/>
      <c r="H69" s="289"/>
      <c r="I69" s="290"/>
      <c r="J69" s="361"/>
      <c r="K69" s="361"/>
      <c r="L69" s="361"/>
      <c r="M69" s="361"/>
      <c r="N69" s="361"/>
      <c r="O69" s="20"/>
    </row>
    <row r="70" spans="1:15" s="10" customFormat="1" ht="15">
      <c r="A70" s="284"/>
      <c r="B70" s="295"/>
      <c r="C70" s="296"/>
      <c r="D70" s="297"/>
      <c r="E70" s="298"/>
      <c r="F70" s="288"/>
      <c r="G70" s="300"/>
      <c r="H70" s="289"/>
      <c r="I70" s="290"/>
      <c r="J70" s="361"/>
      <c r="K70" s="361"/>
      <c r="L70" s="361"/>
      <c r="M70" s="361"/>
      <c r="N70" s="361"/>
      <c r="O70" s="20"/>
    </row>
    <row r="71" spans="1:15" s="4" customFormat="1" ht="15">
      <c r="A71" s="284"/>
      <c r="B71" s="295"/>
      <c r="C71" s="296"/>
      <c r="D71" s="297"/>
      <c r="E71" s="298"/>
      <c r="F71" s="288"/>
      <c r="G71" s="300"/>
      <c r="H71" s="289"/>
      <c r="I71" s="290"/>
      <c r="J71" s="362"/>
      <c r="K71" s="362"/>
      <c r="L71" s="362"/>
      <c r="M71" s="362"/>
      <c r="N71" s="362"/>
      <c r="O71" s="20"/>
    </row>
    <row r="72" spans="1:15" s="4" customFormat="1" ht="15">
      <c r="A72" s="284"/>
      <c r="B72" s="295"/>
      <c r="C72" s="296"/>
      <c r="D72" s="297"/>
      <c r="E72" s="298"/>
      <c r="F72" s="288"/>
      <c r="G72" s="355" t="s">
        <v>131</v>
      </c>
      <c r="H72" s="356"/>
      <c r="I72" s="356"/>
      <c r="J72" s="356"/>
      <c r="K72" s="356"/>
      <c r="L72" s="356"/>
      <c r="M72" s="356"/>
      <c r="N72" s="356"/>
      <c r="O72" s="20"/>
    </row>
    <row r="73" spans="1:15" s="4" customFormat="1" ht="15">
      <c r="A73" s="284"/>
      <c r="B73" s="295"/>
      <c r="C73" s="296"/>
      <c r="D73" s="297"/>
      <c r="E73" s="298"/>
      <c r="F73" s="298"/>
      <c r="G73" s="356"/>
      <c r="H73" s="356"/>
      <c r="I73" s="356"/>
      <c r="J73" s="356"/>
      <c r="K73" s="356"/>
      <c r="L73" s="356"/>
      <c r="M73" s="356"/>
      <c r="N73" s="356"/>
      <c r="O73" s="20"/>
    </row>
    <row r="74" spans="1:15" s="4" customFormat="1" ht="15">
      <c r="A74" s="284"/>
      <c r="B74" s="295"/>
      <c r="C74" s="296"/>
      <c r="D74" s="297"/>
      <c r="E74" s="298"/>
      <c r="F74" s="288"/>
      <c r="G74" s="356"/>
      <c r="H74" s="356"/>
      <c r="I74" s="356"/>
      <c r="J74" s="356"/>
      <c r="K74" s="356"/>
      <c r="L74" s="356"/>
      <c r="M74" s="356"/>
      <c r="N74" s="356"/>
      <c r="O74" s="20"/>
    </row>
    <row r="75" spans="1:15" s="4" customFormat="1" ht="15">
      <c r="A75" s="284"/>
      <c r="B75" s="295"/>
      <c r="C75" s="296"/>
      <c r="D75" s="297"/>
      <c r="E75" s="298"/>
      <c r="F75" s="288"/>
      <c r="G75" s="356"/>
      <c r="H75" s="356"/>
      <c r="I75" s="356"/>
      <c r="J75" s="356"/>
      <c r="K75" s="356"/>
      <c r="L75" s="356"/>
      <c r="M75" s="356"/>
      <c r="N75" s="356"/>
      <c r="O75" s="20"/>
    </row>
    <row r="76" spans="1:15" s="4" customFormat="1" ht="15">
      <c r="A76" s="284"/>
      <c r="B76" s="295"/>
      <c r="C76" s="296"/>
      <c r="D76" s="297"/>
      <c r="E76" s="298"/>
      <c r="F76" s="288"/>
      <c r="G76" s="356"/>
      <c r="H76" s="356"/>
      <c r="I76" s="356"/>
      <c r="J76" s="356"/>
      <c r="K76" s="356"/>
      <c r="L76" s="356"/>
      <c r="M76" s="356"/>
      <c r="N76" s="356"/>
      <c r="O76" s="20"/>
    </row>
    <row r="77" spans="1:15" s="6" customFormat="1" ht="15">
      <c r="A77" s="284"/>
      <c r="B77" s="295"/>
      <c r="C77" s="296"/>
      <c r="D77" s="297"/>
      <c r="E77" s="298"/>
      <c r="F77" s="288"/>
      <c r="G77" s="356"/>
      <c r="H77" s="356"/>
      <c r="I77" s="356"/>
      <c r="J77" s="356"/>
      <c r="K77" s="356"/>
      <c r="L77" s="356"/>
      <c r="M77" s="356"/>
      <c r="N77" s="356"/>
      <c r="O77" s="20"/>
    </row>
    <row r="78" spans="1:15" s="6" customFormat="1" ht="15">
      <c r="A78" s="284"/>
      <c r="B78" s="295"/>
      <c r="C78" s="296"/>
      <c r="D78" s="297"/>
      <c r="E78" s="298"/>
      <c r="F78" s="288"/>
      <c r="G78" s="357" t="s">
        <v>124</v>
      </c>
      <c r="H78" s="356"/>
      <c r="I78" s="356"/>
      <c r="J78" s="356"/>
      <c r="K78" s="356"/>
      <c r="L78" s="356"/>
      <c r="M78" s="356"/>
      <c r="N78" s="356"/>
      <c r="O78" s="20"/>
    </row>
    <row r="79" spans="1:15" s="6" customFormat="1" ht="15">
      <c r="A79" s="284"/>
      <c r="B79" s="295"/>
      <c r="C79" s="296"/>
      <c r="D79" s="297"/>
      <c r="E79" s="298"/>
      <c r="F79" s="288"/>
      <c r="G79" s="356"/>
      <c r="H79" s="356"/>
      <c r="I79" s="356"/>
      <c r="J79" s="356"/>
      <c r="K79" s="356"/>
      <c r="L79" s="356"/>
      <c r="M79" s="356"/>
      <c r="N79" s="356"/>
      <c r="O79" s="20"/>
    </row>
    <row r="80" spans="1:15" s="6" customFormat="1" ht="15">
      <c r="A80" s="284"/>
      <c r="B80" s="295"/>
      <c r="C80" s="296"/>
      <c r="D80" s="297"/>
      <c r="E80" s="298"/>
      <c r="F80" s="288"/>
      <c r="G80" s="356"/>
      <c r="H80" s="356"/>
      <c r="I80" s="356"/>
      <c r="J80" s="356"/>
      <c r="K80" s="356"/>
      <c r="L80" s="356"/>
      <c r="M80" s="356"/>
      <c r="N80" s="356"/>
      <c r="O80" s="20"/>
    </row>
    <row r="81" spans="1:15" s="6" customFormat="1" ht="15">
      <c r="A81" s="284"/>
      <c r="B81" s="295"/>
      <c r="C81" s="296"/>
      <c r="D81" s="297"/>
      <c r="E81" s="298"/>
      <c r="F81" s="288"/>
      <c r="G81" s="356"/>
      <c r="H81" s="356"/>
      <c r="I81" s="356"/>
      <c r="J81" s="356"/>
      <c r="K81" s="356"/>
      <c r="L81" s="356"/>
      <c r="M81" s="356"/>
      <c r="N81" s="356"/>
      <c r="O81" s="20"/>
    </row>
    <row r="82" spans="1:15" s="6" customFormat="1" ht="15">
      <c r="A82" s="284"/>
      <c r="B82" s="295"/>
      <c r="C82" s="296"/>
      <c r="D82" s="297"/>
      <c r="E82" s="298"/>
      <c r="F82" s="288"/>
      <c r="G82" s="356"/>
      <c r="H82" s="356"/>
      <c r="I82" s="356"/>
      <c r="J82" s="356"/>
      <c r="K82" s="356"/>
      <c r="L82" s="356"/>
      <c r="M82" s="356"/>
      <c r="N82" s="356"/>
      <c r="O82" s="20"/>
    </row>
    <row r="83" spans="1:15" s="6" customFormat="1" ht="15">
      <c r="A83" s="284"/>
      <c r="B83" s="301"/>
      <c r="C83" s="302"/>
      <c r="D83" s="303"/>
      <c r="E83" s="155"/>
      <c r="F83" s="288"/>
      <c r="G83" s="356"/>
      <c r="H83" s="356"/>
      <c r="I83" s="356"/>
      <c r="J83" s="356"/>
      <c r="K83" s="356"/>
      <c r="L83" s="356"/>
      <c r="M83" s="356"/>
      <c r="N83" s="356"/>
      <c r="O83" s="20"/>
    </row>
    <row r="84" spans="1:15" s="6" customFormat="1" ht="15">
      <c r="A84" s="284"/>
      <c r="B84" s="301"/>
      <c r="C84" s="302"/>
      <c r="D84" s="303"/>
      <c r="E84" s="155"/>
      <c r="F84" s="288"/>
      <c r="G84" s="356"/>
      <c r="H84" s="356"/>
      <c r="I84" s="356"/>
      <c r="J84" s="356"/>
      <c r="K84" s="356"/>
      <c r="L84" s="356"/>
      <c r="M84" s="356"/>
      <c r="N84" s="356"/>
      <c r="O84" s="20"/>
    </row>
    <row r="85" spans="1:15" s="6" customFormat="1" ht="15">
      <c r="A85" s="284"/>
      <c r="B85" s="301"/>
      <c r="C85" s="302"/>
      <c r="D85" s="303"/>
      <c r="E85" s="155"/>
      <c r="F85" s="288"/>
      <c r="G85" s="155"/>
      <c r="H85" s="304"/>
      <c r="I85" s="305"/>
      <c r="J85" s="306"/>
      <c r="K85" s="307"/>
      <c r="L85" s="308"/>
      <c r="M85" s="309"/>
      <c r="N85" s="307"/>
      <c r="O85" s="20"/>
    </row>
    <row r="86" spans="1:15" s="6" customFormat="1" ht="15">
      <c r="A86" s="284"/>
      <c r="B86" s="301"/>
      <c r="C86" s="302"/>
      <c r="D86" s="303"/>
      <c r="E86" s="155"/>
      <c r="F86" s="288"/>
      <c r="G86" s="155"/>
      <c r="H86" s="304"/>
      <c r="I86" s="305"/>
      <c r="J86" s="306"/>
      <c r="K86" s="307"/>
      <c r="L86" s="308"/>
      <c r="M86" s="309"/>
      <c r="N86" s="307"/>
      <c r="O86" s="20"/>
    </row>
    <row r="87" spans="1:15" s="6" customFormat="1" ht="18">
      <c r="A87" s="284"/>
      <c r="B87" s="301"/>
      <c r="C87" s="302"/>
      <c r="D87" s="303"/>
      <c r="E87" s="155"/>
      <c r="F87" s="288"/>
      <c r="G87" s="288"/>
      <c r="H87" s="310"/>
      <c r="I87" s="311"/>
      <c r="J87" s="291"/>
      <c r="K87" s="292"/>
      <c r="L87" s="312"/>
      <c r="M87" s="294"/>
      <c r="N87" s="292"/>
      <c r="O87" s="20"/>
    </row>
    <row r="88" spans="1:15" s="6" customFormat="1" ht="18">
      <c r="A88" s="284"/>
      <c r="B88" s="301"/>
      <c r="C88" s="302"/>
      <c r="D88" s="303"/>
      <c r="E88" s="155"/>
      <c r="F88" s="288"/>
      <c r="G88" s="288"/>
      <c r="H88" s="310"/>
      <c r="I88" s="311"/>
      <c r="J88" s="291"/>
      <c r="K88" s="292"/>
      <c r="L88" s="312"/>
      <c r="M88" s="294"/>
      <c r="N88" s="292"/>
      <c r="O88" s="20"/>
    </row>
    <row r="89" spans="1:15" s="6" customFormat="1" ht="15">
      <c r="A89" s="284"/>
      <c r="B89" s="301"/>
      <c r="C89" s="302"/>
      <c r="D89" s="303"/>
      <c r="E89" s="155"/>
      <c r="F89" s="155"/>
      <c r="G89" s="155"/>
      <c r="H89" s="304"/>
      <c r="I89" s="305"/>
      <c r="J89" s="306"/>
      <c r="K89" s="307"/>
      <c r="L89" s="308"/>
      <c r="M89" s="309"/>
      <c r="N89" s="307"/>
      <c r="O89" s="20"/>
    </row>
    <row r="90" spans="1:15" s="6" customFormat="1" ht="15">
      <c r="A90" s="284"/>
      <c r="B90" s="301"/>
      <c r="C90" s="302"/>
      <c r="D90" s="303"/>
      <c r="E90" s="155"/>
      <c r="F90" s="155"/>
      <c r="G90" s="155"/>
      <c r="H90" s="304"/>
      <c r="I90" s="305"/>
      <c r="J90" s="306"/>
      <c r="K90" s="307"/>
      <c r="L90" s="308"/>
      <c r="M90" s="309"/>
      <c r="N90" s="307"/>
      <c r="O90" s="20"/>
    </row>
    <row r="91" spans="2:14" ht="18">
      <c r="B91" s="301"/>
      <c r="C91" s="302"/>
      <c r="D91" s="303"/>
      <c r="E91" s="155"/>
      <c r="F91" s="155"/>
      <c r="G91" s="155"/>
      <c r="H91" s="304"/>
      <c r="I91" s="305"/>
      <c r="J91" s="306"/>
      <c r="K91" s="307"/>
      <c r="L91" s="308"/>
      <c r="M91" s="309"/>
      <c r="N91" s="307"/>
    </row>
    <row r="92" spans="2:14" ht="18">
      <c r="B92" s="301"/>
      <c r="C92" s="302"/>
      <c r="D92" s="303"/>
      <c r="E92" s="155"/>
      <c r="F92" s="155"/>
      <c r="G92" s="155"/>
      <c r="H92" s="304"/>
      <c r="I92" s="305"/>
      <c r="J92" s="306"/>
      <c r="K92" s="307"/>
      <c r="L92" s="308"/>
      <c r="M92" s="309"/>
      <c r="N92" s="307"/>
    </row>
    <row r="93" spans="2:14" ht="18">
      <c r="B93" s="301"/>
      <c r="C93" s="302"/>
      <c r="D93" s="303"/>
      <c r="E93" s="155"/>
      <c r="F93" s="155"/>
      <c r="G93" s="155"/>
      <c r="H93" s="304"/>
      <c r="I93" s="305"/>
      <c r="J93" s="306"/>
      <c r="K93" s="307"/>
      <c r="L93" s="308"/>
      <c r="M93" s="309"/>
      <c r="N93" s="307"/>
    </row>
    <row r="94" spans="2:14" ht="18">
      <c r="B94" s="301"/>
      <c r="C94" s="302"/>
      <c r="D94" s="303"/>
      <c r="E94" s="155"/>
      <c r="F94" s="155"/>
      <c r="G94" s="155"/>
      <c r="H94" s="304"/>
      <c r="I94" s="305"/>
      <c r="J94" s="306"/>
      <c r="K94" s="307"/>
      <c r="L94" s="308"/>
      <c r="M94" s="309"/>
      <c r="N94" s="307"/>
    </row>
    <row r="95" spans="2:14" ht="18">
      <c r="B95" s="301"/>
      <c r="C95" s="302"/>
      <c r="D95" s="303"/>
      <c r="E95" s="155"/>
      <c r="F95" s="155"/>
      <c r="G95" s="155"/>
      <c r="H95" s="304"/>
      <c r="I95" s="305"/>
      <c r="J95" s="306"/>
      <c r="K95" s="307"/>
      <c r="L95" s="308"/>
      <c r="M95" s="309"/>
      <c r="N95" s="307"/>
    </row>
    <row r="96" spans="2:14" ht="18">
      <c r="B96" s="301"/>
      <c r="C96" s="302"/>
      <c r="D96" s="303"/>
      <c r="E96" s="155"/>
      <c r="F96" s="155"/>
      <c r="G96" s="155"/>
      <c r="H96" s="304"/>
      <c r="I96" s="305"/>
      <c r="J96" s="306"/>
      <c r="K96" s="307"/>
      <c r="L96" s="308"/>
      <c r="M96" s="309"/>
      <c r="N96" s="307"/>
    </row>
    <row r="97" spans="6:14" ht="22.5">
      <c r="F97" s="155"/>
      <c r="G97" s="155"/>
      <c r="H97" s="304"/>
      <c r="I97" s="305"/>
      <c r="J97" s="306"/>
      <c r="K97" s="307"/>
      <c r="L97" s="308"/>
      <c r="M97" s="309"/>
      <c r="N97" s="307"/>
    </row>
    <row r="98" spans="6:14" ht="22.5">
      <c r="F98" s="155"/>
      <c r="G98" s="155"/>
      <c r="H98" s="304"/>
      <c r="I98" s="305"/>
      <c r="J98" s="306"/>
      <c r="K98" s="307"/>
      <c r="L98" s="308"/>
      <c r="M98" s="309"/>
      <c r="N98" s="307"/>
    </row>
    <row r="99" spans="6:14" ht="22.5">
      <c r="F99" s="155"/>
      <c r="G99" s="155"/>
      <c r="H99" s="304"/>
      <c r="I99" s="305"/>
      <c r="J99" s="306"/>
      <c r="K99" s="307"/>
      <c r="L99" s="308"/>
      <c r="M99" s="309"/>
      <c r="N99" s="307"/>
    </row>
    <row r="100" spans="6:14" ht="22.5">
      <c r="F100" s="155"/>
      <c r="G100" s="155"/>
      <c r="H100" s="304"/>
      <c r="I100" s="305"/>
      <c r="J100" s="306"/>
      <c r="K100" s="307"/>
      <c r="L100" s="308"/>
      <c r="M100" s="309"/>
      <c r="N100" s="307"/>
    </row>
    <row r="101" spans="6:14" ht="22.5">
      <c r="F101" s="155"/>
      <c r="G101" s="155"/>
      <c r="H101" s="304"/>
      <c r="I101" s="305"/>
      <c r="J101" s="306"/>
      <c r="K101" s="307"/>
      <c r="L101" s="308"/>
      <c r="M101" s="309"/>
      <c r="N101" s="307"/>
    </row>
    <row r="102" spans="6:14" ht="22.5">
      <c r="F102" s="155"/>
      <c r="G102" s="155"/>
      <c r="H102" s="304"/>
      <c r="I102" s="305"/>
      <c r="J102" s="306"/>
      <c r="K102" s="307"/>
      <c r="L102" s="308"/>
      <c r="M102" s="309"/>
      <c r="N102" s="307"/>
    </row>
  </sheetData>
  <sheetProtection insertRows="0" deleteRows="0" sort="0"/>
  <mergeCells count="14">
    <mergeCell ref="D3:D4"/>
    <mergeCell ref="G3:G4"/>
    <mergeCell ref="H3:K3"/>
    <mergeCell ref="C3:C4"/>
    <mergeCell ref="G72:N77"/>
    <mergeCell ref="G78:N84"/>
    <mergeCell ref="A66:B66"/>
    <mergeCell ref="J68:N70"/>
    <mergeCell ref="J71:N71"/>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66:G70 H67:I70 G71:N77 J66:O70 P68:P74 P60:P65 P6:P16 P18:P31 P46:P51" formula="1"/>
    <ignoredError sqref="E19:G19" numberStoredAsText="1"/>
  </ignoredErrors>
  <drawing r:id="rId1"/>
</worksheet>
</file>

<file path=xl/worksheets/sheet2.xml><?xml version="1.0" encoding="utf-8"?>
<worksheet xmlns="http://schemas.openxmlformats.org/spreadsheetml/2006/main" xmlns:r="http://schemas.openxmlformats.org/officeDocument/2006/relationships">
  <dimension ref="A1:O56"/>
  <sheetViews>
    <sheetView zoomScale="110" zoomScaleNormal="110" zoomScalePageLayoutView="0" workbookViewId="0" topLeftCell="B1">
      <selection activeCell="B3" sqref="B3:B4"/>
    </sheetView>
  </sheetViews>
  <sheetFormatPr defaultColWidth="17.421875" defaultRowHeight="12.75"/>
  <cols>
    <col min="1" max="1" width="4.28125" style="131" bestFit="1" customWidth="1"/>
    <col min="2" max="2" width="73.00390625" style="8" bestFit="1" customWidth="1"/>
    <col min="3" max="3" width="11.00390625" style="39" bestFit="1" customWidth="1"/>
    <col min="4" max="4" width="14.57421875" style="39" customWidth="1"/>
    <col min="5" max="5" width="5.8515625" style="152" bestFit="1" customWidth="1"/>
    <col min="6" max="6" width="7.421875" style="152" customWidth="1"/>
    <col min="7" max="7" width="16.140625" style="36" bestFit="1" customWidth="1"/>
    <col min="8" max="8" width="11.57421875" style="37" bestFit="1" customWidth="1"/>
    <col min="9" max="9" width="7.7109375" style="38" customWidth="1"/>
    <col min="10" max="10" width="2.421875" style="17" bestFit="1" customWidth="1"/>
    <col min="11" max="11" width="17.421875" style="11" customWidth="1"/>
    <col min="12" max="12" width="17.421875" style="12" customWidth="1"/>
    <col min="13" max="13" width="17.421875" style="11" customWidth="1"/>
    <col min="14" max="15" width="17.421875" style="0" customWidth="1"/>
    <col min="16" max="16384" width="17.421875" style="8" customWidth="1"/>
  </cols>
  <sheetData>
    <row r="1" spans="1:13" s="135" customFormat="1" ht="34.5" thickBot="1">
      <c r="A1" s="373" t="s">
        <v>208</v>
      </c>
      <c r="B1" s="374"/>
      <c r="C1" s="374"/>
      <c r="D1" s="374"/>
      <c r="E1" s="374"/>
      <c r="F1" s="374"/>
      <c r="G1" s="374"/>
      <c r="H1" s="374"/>
      <c r="I1" s="374"/>
      <c r="J1" s="132"/>
      <c r="K1" s="133"/>
      <c r="L1" s="134"/>
      <c r="M1" s="133"/>
    </row>
    <row r="2" spans="1:15" s="40" customFormat="1" ht="13.5" thickBot="1">
      <c r="A2" s="196"/>
      <c r="B2" s="203"/>
      <c r="C2" s="198"/>
      <c r="D2" s="198"/>
      <c r="E2" s="197"/>
      <c r="F2" s="197"/>
      <c r="G2" s="199"/>
      <c r="H2" s="200"/>
      <c r="I2" s="201"/>
      <c r="J2" s="41"/>
      <c r="K2" s="42"/>
      <c r="L2" s="43"/>
      <c r="M2" s="42"/>
      <c r="N2" s="22"/>
      <c r="O2" s="22"/>
    </row>
    <row r="3" spans="1:13" s="47" customFormat="1" ht="12.75">
      <c r="A3" s="129"/>
      <c r="B3" s="375" t="s">
        <v>126</v>
      </c>
      <c r="C3" s="377" t="s">
        <v>133</v>
      </c>
      <c r="D3" s="377" t="s">
        <v>137</v>
      </c>
      <c r="E3" s="379" t="s">
        <v>139</v>
      </c>
      <c r="F3" s="379" t="s">
        <v>134</v>
      </c>
      <c r="G3" s="381" t="s">
        <v>141</v>
      </c>
      <c r="H3" s="382"/>
      <c r="I3" s="383" t="s">
        <v>135</v>
      </c>
      <c r="J3" s="44"/>
      <c r="K3" s="45"/>
      <c r="L3" s="46"/>
      <c r="M3" s="45"/>
    </row>
    <row r="4" spans="1:13" s="47" customFormat="1" ht="13.5" thickBot="1">
      <c r="A4" s="130"/>
      <c r="B4" s="376"/>
      <c r="C4" s="378"/>
      <c r="D4" s="378"/>
      <c r="E4" s="380"/>
      <c r="F4" s="380"/>
      <c r="G4" s="48" t="s">
        <v>130</v>
      </c>
      <c r="H4" s="49" t="s">
        <v>125</v>
      </c>
      <c r="I4" s="384"/>
      <c r="J4" s="44"/>
      <c r="K4" s="45"/>
      <c r="L4" s="46"/>
      <c r="M4" s="45"/>
    </row>
    <row r="5" spans="1:13" s="7" customFormat="1" ht="15">
      <c r="A5" s="175">
        <v>1</v>
      </c>
      <c r="B5" s="339" t="s">
        <v>173</v>
      </c>
      <c r="C5" s="340">
        <v>40221</v>
      </c>
      <c r="D5" s="341" t="s">
        <v>73</v>
      </c>
      <c r="E5" s="342">
        <v>378</v>
      </c>
      <c r="F5" s="342">
        <v>5</v>
      </c>
      <c r="G5" s="274">
        <f>15262368+6874188.5+2847763.25-223+1769171+1008022.25</f>
        <v>27761290</v>
      </c>
      <c r="H5" s="275">
        <f>1752204+788243+333771+209388+119359</f>
        <v>3202965</v>
      </c>
      <c r="I5" s="211">
        <f aca="true" t="shared" si="0" ref="I5:I28">+G5/H5</f>
        <v>8.667372262887667</v>
      </c>
      <c r="J5" s="264">
        <v>1</v>
      </c>
      <c r="K5" s="13"/>
      <c r="L5" s="14"/>
      <c r="M5" s="13"/>
    </row>
    <row r="6" spans="1:13" s="7" customFormat="1" ht="15">
      <c r="A6" s="175">
        <v>2</v>
      </c>
      <c r="B6" s="50" t="s">
        <v>50</v>
      </c>
      <c r="C6" s="265">
        <v>40179</v>
      </c>
      <c r="D6" s="123" t="s">
        <v>151</v>
      </c>
      <c r="E6" s="269">
        <v>370</v>
      </c>
      <c r="F6" s="269">
        <v>10</v>
      </c>
      <c r="G6" s="267">
        <v>20848181</v>
      </c>
      <c r="H6" s="268">
        <v>232413</v>
      </c>
      <c r="I6" s="127">
        <f t="shared" si="0"/>
        <v>89.7031620434313</v>
      </c>
      <c r="J6" s="264">
        <v>1</v>
      </c>
      <c r="K6" s="13"/>
      <c r="L6" s="14"/>
      <c r="M6" s="13"/>
    </row>
    <row r="7" spans="1:11" ht="15.75" thickBot="1">
      <c r="A7" s="202">
        <v>3</v>
      </c>
      <c r="B7" s="331" t="s">
        <v>190</v>
      </c>
      <c r="C7" s="347">
        <v>40235</v>
      </c>
      <c r="D7" s="124" t="s">
        <v>151</v>
      </c>
      <c r="E7" s="348">
        <v>256</v>
      </c>
      <c r="F7" s="348">
        <v>3</v>
      </c>
      <c r="G7" s="276">
        <v>13005738</v>
      </c>
      <c r="H7" s="279">
        <v>1453080</v>
      </c>
      <c r="I7" s="125">
        <f t="shared" si="0"/>
        <v>8.950462465934429</v>
      </c>
      <c r="J7" s="264">
        <v>1</v>
      </c>
      <c r="K7" s="345"/>
    </row>
    <row r="8" spans="1:11" ht="15">
      <c r="A8" s="175">
        <v>4</v>
      </c>
      <c r="B8" s="283" t="s">
        <v>167</v>
      </c>
      <c r="C8" s="343">
        <v>40200</v>
      </c>
      <c r="D8" s="350" t="s">
        <v>73</v>
      </c>
      <c r="E8" s="344">
        <v>203</v>
      </c>
      <c r="F8" s="344">
        <v>8</v>
      </c>
      <c r="G8" s="277">
        <f>3375939.75+2025612.25+1005793.75+228158+129822-591+58554+4486+0.5+8491</f>
        <v>6836266.25</v>
      </c>
      <c r="H8" s="278">
        <f>390291+234725-168+117153-100+30011-18+18391+466+8404+725+1222</f>
        <v>801102</v>
      </c>
      <c r="I8" s="126">
        <f t="shared" si="0"/>
        <v>8.533577809068008</v>
      </c>
      <c r="J8" s="264">
        <v>1</v>
      </c>
      <c r="K8" s="345"/>
    </row>
    <row r="9" spans="1:11" ht="15">
      <c r="A9" s="175">
        <v>5</v>
      </c>
      <c r="B9" s="280" t="s">
        <v>162</v>
      </c>
      <c r="C9" s="265">
        <v>40200</v>
      </c>
      <c r="D9" s="123" t="s">
        <v>151</v>
      </c>
      <c r="E9" s="269">
        <v>227</v>
      </c>
      <c r="F9" s="269">
        <v>8</v>
      </c>
      <c r="G9" s="267">
        <v>6702174</v>
      </c>
      <c r="H9" s="268">
        <v>746629</v>
      </c>
      <c r="I9" s="127">
        <f t="shared" si="0"/>
        <v>8.976578729194822</v>
      </c>
      <c r="J9" s="264">
        <v>1</v>
      </c>
      <c r="K9" s="345"/>
    </row>
    <row r="10" spans="1:11" ht="15">
      <c r="A10" s="175">
        <v>6</v>
      </c>
      <c r="B10" s="280" t="s">
        <v>191</v>
      </c>
      <c r="C10" s="265">
        <v>40235</v>
      </c>
      <c r="D10" s="123" t="s">
        <v>152</v>
      </c>
      <c r="E10" s="269">
        <v>227</v>
      </c>
      <c r="F10" s="269">
        <v>3</v>
      </c>
      <c r="G10" s="267">
        <f>3023418.25+2075206.75+1597108.5</f>
        <v>6695733.5</v>
      </c>
      <c r="H10" s="268">
        <f>341528+246334+201790</f>
        <v>789652</v>
      </c>
      <c r="I10" s="127">
        <f t="shared" si="0"/>
        <v>8.479347231438659</v>
      </c>
      <c r="J10" s="264">
        <v>1</v>
      </c>
      <c r="K10" s="345"/>
    </row>
    <row r="11" spans="1:11" ht="15">
      <c r="A11" s="175">
        <v>7</v>
      </c>
      <c r="B11" s="280" t="s">
        <v>179</v>
      </c>
      <c r="C11" s="265">
        <v>40214</v>
      </c>
      <c r="D11" s="123" t="s">
        <v>216</v>
      </c>
      <c r="E11" s="269">
        <v>144</v>
      </c>
      <c r="F11" s="269">
        <v>6</v>
      </c>
      <c r="G11" s="267">
        <v>5986171</v>
      </c>
      <c r="H11" s="268">
        <v>646865</v>
      </c>
      <c r="I11" s="127">
        <f t="shared" si="0"/>
        <v>9.254127213560789</v>
      </c>
      <c r="J11" s="264">
        <v>1</v>
      </c>
      <c r="K11" s="345"/>
    </row>
    <row r="12" spans="1:11" ht="15">
      <c r="A12" s="175">
        <v>8</v>
      </c>
      <c r="B12" s="280" t="s">
        <v>48</v>
      </c>
      <c r="C12" s="265">
        <v>40193</v>
      </c>
      <c r="D12" s="123" t="s">
        <v>150</v>
      </c>
      <c r="E12" s="269">
        <v>83</v>
      </c>
      <c r="F12" s="269">
        <v>9</v>
      </c>
      <c r="G12" s="267">
        <f>2810668+724</f>
        <v>2811392</v>
      </c>
      <c r="H12" s="268">
        <f>266748+141</f>
        <v>266889</v>
      </c>
      <c r="I12" s="127">
        <f t="shared" si="0"/>
        <v>10.53393732975132</v>
      </c>
      <c r="J12" s="264"/>
      <c r="K12" s="345"/>
    </row>
    <row r="13" spans="1:11" ht="15">
      <c r="A13" s="175">
        <v>9</v>
      </c>
      <c r="B13" s="280" t="s">
        <v>213</v>
      </c>
      <c r="C13" s="265">
        <v>40242</v>
      </c>
      <c r="D13" s="346" t="s">
        <v>154</v>
      </c>
      <c r="E13" s="269">
        <v>125</v>
      </c>
      <c r="F13" s="269">
        <v>2</v>
      </c>
      <c r="G13" s="267">
        <v>2492621.25</v>
      </c>
      <c r="H13" s="268">
        <v>388707</v>
      </c>
      <c r="I13" s="127">
        <f t="shared" si="0"/>
        <v>6.412596763114634</v>
      </c>
      <c r="J13" s="264">
        <v>1</v>
      </c>
      <c r="K13" s="345"/>
    </row>
    <row r="14" spans="1:11" ht="15">
      <c r="A14" s="175">
        <v>10</v>
      </c>
      <c r="B14" s="280" t="s">
        <v>211</v>
      </c>
      <c r="C14" s="265">
        <v>40242</v>
      </c>
      <c r="D14" s="123" t="s">
        <v>151</v>
      </c>
      <c r="E14" s="269">
        <v>75</v>
      </c>
      <c r="F14" s="269">
        <v>2</v>
      </c>
      <c r="G14" s="267">
        <v>2088140</v>
      </c>
      <c r="H14" s="268">
        <v>180253</v>
      </c>
      <c r="I14" s="127">
        <f t="shared" si="0"/>
        <v>11.584495126294708</v>
      </c>
      <c r="J14" s="264"/>
      <c r="K14" s="345"/>
    </row>
    <row r="15" spans="1:11" ht="15">
      <c r="A15" s="175">
        <v>11</v>
      </c>
      <c r="B15" s="280" t="s">
        <v>195</v>
      </c>
      <c r="C15" s="265">
        <v>40200</v>
      </c>
      <c r="D15" s="123" t="s">
        <v>151</v>
      </c>
      <c r="E15" s="269">
        <v>95</v>
      </c>
      <c r="F15" s="269">
        <v>8</v>
      </c>
      <c r="G15" s="267">
        <v>1911183</v>
      </c>
      <c r="H15" s="268">
        <v>209669</v>
      </c>
      <c r="I15" s="127">
        <f t="shared" si="0"/>
        <v>9.115238781126441</v>
      </c>
      <c r="J15" s="264"/>
      <c r="K15" s="345"/>
    </row>
    <row r="16" spans="1:11" ht="15">
      <c r="A16" s="175">
        <v>12</v>
      </c>
      <c r="B16" s="280" t="s">
        <v>87</v>
      </c>
      <c r="C16" s="265">
        <v>40537</v>
      </c>
      <c r="D16" s="123" t="s">
        <v>152</v>
      </c>
      <c r="E16" s="269">
        <v>60</v>
      </c>
      <c r="F16" s="269">
        <v>12</v>
      </c>
      <c r="G16" s="267">
        <f>421775.5+397095.5+287050+215248.5+189819.5+180729.5+86816.5+23840+19148+14942.5+8798.5+9599</f>
        <v>1854863</v>
      </c>
      <c r="H16" s="268">
        <f>43739+40732+31780+27356+25902+24895+12153+4496+3179+3069+1650+2236</f>
        <v>221187</v>
      </c>
      <c r="I16" s="127">
        <f t="shared" si="0"/>
        <v>8.385949445491823</v>
      </c>
      <c r="J16" s="264"/>
      <c r="K16" s="345"/>
    </row>
    <row r="17" spans="1:11" ht="15">
      <c r="A17" s="175">
        <v>13</v>
      </c>
      <c r="B17" s="280" t="s">
        <v>10</v>
      </c>
      <c r="C17" s="265">
        <v>40207</v>
      </c>
      <c r="D17" s="346" t="s">
        <v>154</v>
      </c>
      <c r="E17" s="269">
        <v>47</v>
      </c>
      <c r="F17" s="269">
        <v>7</v>
      </c>
      <c r="G17" s="267">
        <v>1852479.5</v>
      </c>
      <c r="H17" s="268">
        <v>157413</v>
      </c>
      <c r="I17" s="127">
        <f t="shared" si="0"/>
        <v>11.768275174223222</v>
      </c>
      <c r="J17" s="264"/>
      <c r="K17" s="345"/>
    </row>
    <row r="18" spans="1:11" ht="15">
      <c r="A18" s="175">
        <v>14</v>
      </c>
      <c r="B18" s="280" t="s">
        <v>49</v>
      </c>
      <c r="C18" s="265">
        <v>40193</v>
      </c>
      <c r="D18" s="346" t="s">
        <v>154</v>
      </c>
      <c r="E18" s="269">
        <v>86</v>
      </c>
      <c r="F18" s="269">
        <v>9</v>
      </c>
      <c r="G18" s="267">
        <v>1666787.5</v>
      </c>
      <c r="H18" s="268">
        <v>182361</v>
      </c>
      <c r="I18" s="127">
        <f t="shared" si="0"/>
        <v>9.140043649683868</v>
      </c>
      <c r="J18" s="264"/>
      <c r="K18" s="345"/>
    </row>
    <row r="19" spans="1:11" ht="15">
      <c r="A19" s="175">
        <v>15</v>
      </c>
      <c r="B19" s="280" t="s">
        <v>184</v>
      </c>
      <c r="C19" s="265">
        <v>40214</v>
      </c>
      <c r="D19" s="123" t="s">
        <v>150</v>
      </c>
      <c r="E19" s="269">
        <v>72</v>
      </c>
      <c r="F19" s="269">
        <v>6</v>
      </c>
      <c r="G19" s="267">
        <f>1183138+6392+8065</f>
        <v>1197595</v>
      </c>
      <c r="H19" s="268">
        <f>117197+1409+1475</f>
        <v>120081</v>
      </c>
      <c r="I19" s="127">
        <f t="shared" si="0"/>
        <v>9.973226405509614</v>
      </c>
      <c r="J19" s="264"/>
      <c r="K19" s="345"/>
    </row>
    <row r="20" spans="1:11" ht="15">
      <c r="A20" s="175">
        <v>16</v>
      </c>
      <c r="B20" s="280" t="s">
        <v>180</v>
      </c>
      <c r="C20" s="265">
        <v>40228</v>
      </c>
      <c r="D20" s="123" t="s">
        <v>151</v>
      </c>
      <c r="E20" s="269">
        <v>87</v>
      </c>
      <c r="F20" s="269">
        <v>4</v>
      </c>
      <c r="G20" s="267">
        <v>1149572</v>
      </c>
      <c r="H20" s="268">
        <v>111953</v>
      </c>
      <c r="I20" s="127">
        <f t="shared" si="0"/>
        <v>10.268344751815494</v>
      </c>
      <c r="J20" s="264"/>
      <c r="K20" s="345"/>
    </row>
    <row r="21" spans="1:11" ht="15">
      <c r="A21" s="175">
        <v>17</v>
      </c>
      <c r="B21" s="280" t="s">
        <v>210</v>
      </c>
      <c r="C21" s="265">
        <v>40249</v>
      </c>
      <c r="D21" s="123" t="s">
        <v>151</v>
      </c>
      <c r="E21" s="269">
        <v>97</v>
      </c>
      <c r="F21" s="269">
        <v>1</v>
      </c>
      <c r="G21" s="267">
        <v>1084162</v>
      </c>
      <c r="H21" s="268">
        <v>104239</v>
      </c>
      <c r="I21" s="127">
        <f t="shared" si="0"/>
        <v>10.400732931052676</v>
      </c>
      <c r="J21" s="264"/>
      <c r="K21" s="345"/>
    </row>
    <row r="22" spans="1:11" ht="15">
      <c r="A22" s="175">
        <v>18</v>
      </c>
      <c r="B22" s="280" t="s">
        <v>172</v>
      </c>
      <c r="C22" s="265">
        <v>40221</v>
      </c>
      <c r="D22" s="123" t="s">
        <v>150</v>
      </c>
      <c r="E22" s="269">
        <v>85</v>
      </c>
      <c r="F22" s="269">
        <v>5</v>
      </c>
      <c r="G22" s="267">
        <f>1044209+15921+2+7797</f>
        <v>1067929</v>
      </c>
      <c r="H22" s="268">
        <f>97086+1857-2+1016</f>
        <v>99957</v>
      </c>
      <c r="I22" s="127">
        <f t="shared" si="0"/>
        <v>10.683884070150164</v>
      </c>
      <c r="J22" s="264"/>
      <c r="K22" s="345"/>
    </row>
    <row r="23" spans="1:11" ht="15">
      <c r="A23" s="175">
        <v>19</v>
      </c>
      <c r="B23" s="50" t="s">
        <v>11</v>
      </c>
      <c r="C23" s="265">
        <v>40207</v>
      </c>
      <c r="D23" s="346" t="s">
        <v>127</v>
      </c>
      <c r="E23" s="269">
        <v>87</v>
      </c>
      <c r="F23" s="269">
        <v>6</v>
      </c>
      <c r="G23" s="267">
        <v>1050974</v>
      </c>
      <c r="H23" s="268">
        <v>99541</v>
      </c>
      <c r="I23" s="127">
        <f t="shared" si="0"/>
        <v>10.55820214785867</v>
      </c>
      <c r="J23" s="264"/>
      <c r="K23" s="345"/>
    </row>
    <row r="24" spans="1:11" ht="15">
      <c r="A24" s="175">
        <v>20</v>
      </c>
      <c r="B24" s="280" t="s">
        <v>12</v>
      </c>
      <c r="C24" s="265">
        <v>40207</v>
      </c>
      <c r="D24" s="123" t="s">
        <v>151</v>
      </c>
      <c r="E24" s="269">
        <v>50</v>
      </c>
      <c r="F24" s="269">
        <v>7</v>
      </c>
      <c r="G24" s="267">
        <v>802019</v>
      </c>
      <c r="H24" s="268">
        <v>70057</v>
      </c>
      <c r="I24" s="127">
        <f t="shared" si="0"/>
        <v>11.448092267724853</v>
      </c>
      <c r="J24" s="264"/>
      <c r="K24" s="345"/>
    </row>
    <row r="25" spans="1:11" ht="15">
      <c r="A25" s="175">
        <v>21</v>
      </c>
      <c r="B25" s="280" t="s">
        <v>89</v>
      </c>
      <c r="C25" s="265">
        <v>40179</v>
      </c>
      <c r="D25" s="123" t="s">
        <v>152</v>
      </c>
      <c r="E25" s="269">
        <v>42</v>
      </c>
      <c r="F25" s="269">
        <v>11</v>
      </c>
      <c r="G25" s="267">
        <f>310442.5+275157.5+119153+26271.5+19971.5+13231+6468+3094+3122+818+3348</f>
        <v>781077</v>
      </c>
      <c r="H25" s="268">
        <f>26771+24068+11328+2954+1983+1309+737+492+663+147+552</f>
        <v>71004</v>
      </c>
      <c r="I25" s="127">
        <f t="shared" si="0"/>
        <v>11.000464762548589</v>
      </c>
      <c r="J25" s="264"/>
      <c r="K25" s="345"/>
    </row>
    <row r="26" spans="1:11" ht="15">
      <c r="A26" s="175">
        <v>22</v>
      </c>
      <c r="B26" s="280" t="s">
        <v>181</v>
      </c>
      <c r="C26" s="265">
        <v>40228</v>
      </c>
      <c r="D26" s="123" t="s">
        <v>152</v>
      </c>
      <c r="E26" s="269">
        <v>88</v>
      </c>
      <c r="F26" s="269">
        <v>4</v>
      </c>
      <c r="G26" s="267">
        <f>398810.5+242913.25+86259.3+24407</f>
        <v>752390.05</v>
      </c>
      <c r="H26" s="268">
        <f>40763+25741+10324+3582</f>
        <v>80410</v>
      </c>
      <c r="I26" s="127">
        <f t="shared" si="0"/>
        <v>9.356921402810597</v>
      </c>
      <c r="J26" s="264"/>
      <c r="K26" s="345"/>
    </row>
    <row r="27" spans="1:11" ht="15">
      <c r="A27" s="175">
        <v>23</v>
      </c>
      <c r="B27" s="280" t="s">
        <v>212</v>
      </c>
      <c r="C27" s="265">
        <v>40249</v>
      </c>
      <c r="D27" s="346" t="s">
        <v>154</v>
      </c>
      <c r="E27" s="269">
        <v>116</v>
      </c>
      <c r="F27" s="269">
        <v>1</v>
      </c>
      <c r="G27" s="267">
        <v>681331.25</v>
      </c>
      <c r="H27" s="268">
        <v>84984</v>
      </c>
      <c r="I27" s="127">
        <f t="shared" si="0"/>
        <v>8.017170879224324</v>
      </c>
      <c r="J27" s="264">
        <v>1</v>
      </c>
      <c r="K27" s="345"/>
    </row>
    <row r="28" spans="1:11" ht="15">
      <c r="A28" s="175">
        <v>24</v>
      </c>
      <c r="B28" s="280" t="s">
        <v>192</v>
      </c>
      <c r="C28" s="265">
        <v>40235</v>
      </c>
      <c r="D28" s="346" t="s">
        <v>154</v>
      </c>
      <c r="E28" s="269">
        <v>29</v>
      </c>
      <c r="F28" s="269">
        <v>3</v>
      </c>
      <c r="G28" s="267">
        <v>623205</v>
      </c>
      <c r="H28" s="268">
        <v>49850</v>
      </c>
      <c r="I28" s="127">
        <f t="shared" si="0"/>
        <v>12.50160481444333</v>
      </c>
      <c r="J28" s="264"/>
      <c r="K28" s="345"/>
    </row>
    <row r="29" spans="1:11" ht="15">
      <c r="A29" s="175">
        <v>25</v>
      </c>
      <c r="B29" s="50" t="s">
        <v>201</v>
      </c>
      <c r="C29" s="265">
        <v>40193</v>
      </c>
      <c r="D29" s="123" t="s">
        <v>151</v>
      </c>
      <c r="E29" s="269">
        <v>40</v>
      </c>
      <c r="F29" s="269">
        <v>6</v>
      </c>
      <c r="G29" s="267">
        <v>614217</v>
      </c>
      <c r="H29" s="268">
        <v>52523</v>
      </c>
      <c r="I29" s="127">
        <f>G29/H29</f>
        <v>11.694248234106963</v>
      </c>
      <c r="J29" s="264"/>
      <c r="K29" s="345"/>
    </row>
    <row r="30" spans="1:11" ht="15">
      <c r="A30" s="175">
        <v>26</v>
      </c>
      <c r="B30" s="280" t="s">
        <v>196</v>
      </c>
      <c r="C30" s="265">
        <v>40193</v>
      </c>
      <c r="D30" s="123" t="s">
        <v>152</v>
      </c>
      <c r="E30" s="269">
        <v>55</v>
      </c>
      <c r="F30" s="269">
        <v>9</v>
      </c>
      <c r="G30" s="267">
        <f>197266+158498+94472.5+25746.5+5341+4975+4175+3550+3868</f>
        <v>497892</v>
      </c>
      <c r="H30" s="271">
        <f>19567+17056+12441+3194+866+909+697+693+818</f>
        <v>56241</v>
      </c>
      <c r="I30" s="127">
        <f>+G30/H30</f>
        <v>8.85282978609911</v>
      </c>
      <c r="J30" s="264"/>
      <c r="K30" s="345"/>
    </row>
    <row r="31" spans="1:11" ht="15">
      <c r="A31" s="175">
        <v>27</v>
      </c>
      <c r="B31" s="280" t="s">
        <v>90</v>
      </c>
      <c r="C31" s="265">
        <v>40179</v>
      </c>
      <c r="D31" s="123" t="s">
        <v>150</v>
      </c>
      <c r="E31" s="269">
        <v>60</v>
      </c>
      <c r="F31" s="269">
        <v>10</v>
      </c>
      <c r="G31" s="267">
        <f>471455+3571+1190</f>
        <v>476216</v>
      </c>
      <c r="H31" s="268">
        <f>46173+892+238</f>
        <v>47303</v>
      </c>
      <c r="I31" s="127">
        <f>+G31/H31</f>
        <v>10.067353022007062</v>
      </c>
      <c r="J31" s="264"/>
      <c r="K31" s="345"/>
    </row>
    <row r="32" spans="1:11" ht="15">
      <c r="A32" s="175">
        <v>28</v>
      </c>
      <c r="B32" s="50" t="s">
        <v>202</v>
      </c>
      <c r="C32" s="265">
        <v>40200</v>
      </c>
      <c r="D32" s="123" t="s">
        <v>150</v>
      </c>
      <c r="E32" s="269">
        <v>50</v>
      </c>
      <c r="F32" s="269">
        <v>5</v>
      </c>
      <c r="G32" s="267">
        <v>468738</v>
      </c>
      <c r="H32" s="268">
        <v>42012</v>
      </c>
      <c r="I32" s="127">
        <f>G32/H32</f>
        <v>11.157240788346186</v>
      </c>
      <c r="J32" s="264"/>
      <c r="K32" s="345"/>
    </row>
    <row r="33" spans="1:11" ht="15">
      <c r="A33" s="175">
        <v>29</v>
      </c>
      <c r="B33" s="280" t="s">
        <v>51</v>
      </c>
      <c r="C33" s="265">
        <v>40193</v>
      </c>
      <c r="D33" s="346" t="s">
        <v>154</v>
      </c>
      <c r="E33" s="269">
        <v>124</v>
      </c>
      <c r="F33" s="269">
        <v>9</v>
      </c>
      <c r="G33" s="267">
        <v>452298.75</v>
      </c>
      <c r="H33" s="268">
        <v>56796</v>
      </c>
      <c r="I33" s="127">
        <f>+G33/H33</f>
        <v>7.963566976547644</v>
      </c>
      <c r="J33" s="264">
        <v>1</v>
      </c>
      <c r="K33" s="345"/>
    </row>
    <row r="34" spans="1:11" ht="15">
      <c r="A34" s="175">
        <v>30</v>
      </c>
      <c r="B34" s="280" t="s">
        <v>215</v>
      </c>
      <c r="C34" s="265">
        <v>40242</v>
      </c>
      <c r="D34" s="123" t="s">
        <v>150</v>
      </c>
      <c r="E34" s="269">
        <v>53</v>
      </c>
      <c r="F34" s="269">
        <v>2</v>
      </c>
      <c r="G34" s="267">
        <f>286027+162581+16</f>
        <v>448624</v>
      </c>
      <c r="H34" s="268">
        <f>27352+15857</f>
        <v>43209</v>
      </c>
      <c r="I34" s="127">
        <f>+G34/H34</f>
        <v>10.382651762364322</v>
      </c>
      <c r="J34" s="264"/>
      <c r="K34" s="345"/>
    </row>
    <row r="35" spans="1:11" ht="15">
      <c r="A35" s="175">
        <v>31</v>
      </c>
      <c r="B35" s="280" t="s">
        <v>214</v>
      </c>
      <c r="C35" s="265">
        <v>40249</v>
      </c>
      <c r="D35" s="346" t="s">
        <v>73</v>
      </c>
      <c r="E35" s="269">
        <v>71</v>
      </c>
      <c r="F35" s="269">
        <v>1</v>
      </c>
      <c r="G35" s="267">
        <f>432486.25</f>
        <v>432486.25</v>
      </c>
      <c r="H35" s="268">
        <f>50407</f>
        <v>50407</v>
      </c>
      <c r="I35" s="127">
        <f>+G35/H35</f>
        <v>8.5798847382308</v>
      </c>
      <c r="J35" s="264">
        <v>1</v>
      </c>
      <c r="K35" s="345"/>
    </row>
    <row r="36" spans="1:11" ht="15">
      <c r="A36" s="175">
        <v>32</v>
      </c>
      <c r="B36" s="50" t="s">
        <v>203</v>
      </c>
      <c r="C36" s="265">
        <v>40214</v>
      </c>
      <c r="D36" s="123" t="s">
        <v>151</v>
      </c>
      <c r="E36" s="269">
        <v>33</v>
      </c>
      <c r="F36" s="269">
        <v>3</v>
      </c>
      <c r="G36" s="267">
        <v>375414</v>
      </c>
      <c r="H36" s="268">
        <v>30674</v>
      </c>
      <c r="I36" s="127">
        <f>G36/H36</f>
        <v>12.238834191823694</v>
      </c>
      <c r="J36" s="264"/>
      <c r="K36" s="345"/>
    </row>
    <row r="37" spans="1:11" ht="15">
      <c r="A37" s="175">
        <v>33</v>
      </c>
      <c r="B37" s="280" t="s">
        <v>217</v>
      </c>
      <c r="C37" s="265">
        <v>40242</v>
      </c>
      <c r="D37" s="123" t="s">
        <v>152</v>
      </c>
      <c r="E37" s="269">
        <v>74</v>
      </c>
      <c r="F37" s="269">
        <v>2</v>
      </c>
      <c r="G37" s="267">
        <f>226964.75+90920.5</f>
        <v>317885.25</v>
      </c>
      <c r="H37" s="268">
        <f>25792+11183</f>
        <v>36975</v>
      </c>
      <c r="I37" s="127">
        <f aca="true" t="shared" si="1" ref="I37:I46">+G37/H37</f>
        <v>8.597302231237322</v>
      </c>
      <c r="J37" s="264">
        <v>1</v>
      </c>
      <c r="K37" s="345"/>
    </row>
    <row r="38" spans="1:11" ht="15">
      <c r="A38" s="175">
        <v>34</v>
      </c>
      <c r="B38" s="280" t="s">
        <v>188</v>
      </c>
      <c r="C38" s="265">
        <v>40235</v>
      </c>
      <c r="D38" s="123" t="s">
        <v>150</v>
      </c>
      <c r="E38" s="269">
        <v>91</v>
      </c>
      <c r="F38" s="269">
        <v>3</v>
      </c>
      <c r="G38" s="267">
        <f>150520+96696+16630</f>
        <v>263846</v>
      </c>
      <c r="H38" s="268">
        <f>18446+12241+2317</f>
        <v>33004</v>
      </c>
      <c r="I38" s="127">
        <f t="shared" si="1"/>
        <v>7.994364319476427</v>
      </c>
      <c r="J38" s="264">
        <v>1</v>
      </c>
      <c r="K38" s="345"/>
    </row>
    <row r="39" spans="1:11" ht="15">
      <c r="A39" s="175">
        <v>35</v>
      </c>
      <c r="B39" s="50" t="s">
        <v>204</v>
      </c>
      <c r="C39" s="265">
        <v>40186</v>
      </c>
      <c r="D39" s="123" t="s">
        <v>150</v>
      </c>
      <c r="E39" s="269">
        <v>59</v>
      </c>
      <c r="F39" s="269">
        <v>6</v>
      </c>
      <c r="G39" s="267">
        <v>261553</v>
      </c>
      <c r="H39" s="271">
        <v>25914</v>
      </c>
      <c r="I39" s="127">
        <f t="shared" si="1"/>
        <v>10.093115690360422</v>
      </c>
      <c r="J39" s="270"/>
      <c r="K39" s="345"/>
    </row>
    <row r="40" spans="1:11" ht="15">
      <c r="A40" s="175">
        <v>36</v>
      </c>
      <c r="B40" s="280" t="s">
        <v>194</v>
      </c>
      <c r="C40" s="265">
        <v>40235</v>
      </c>
      <c r="D40" s="123" t="s">
        <v>151</v>
      </c>
      <c r="E40" s="269">
        <v>46</v>
      </c>
      <c r="F40" s="269">
        <v>3</v>
      </c>
      <c r="G40" s="267">
        <v>250726</v>
      </c>
      <c r="H40" s="268">
        <v>24117</v>
      </c>
      <c r="I40" s="127">
        <f t="shared" si="1"/>
        <v>10.396235020939587</v>
      </c>
      <c r="J40" s="264"/>
      <c r="K40" s="345"/>
    </row>
    <row r="41" spans="1:11" ht="15">
      <c r="A41" s="175">
        <v>37</v>
      </c>
      <c r="B41" s="280" t="s">
        <v>182</v>
      </c>
      <c r="C41" s="265">
        <v>40228</v>
      </c>
      <c r="D41" s="123" t="s">
        <v>151</v>
      </c>
      <c r="E41" s="269">
        <v>70</v>
      </c>
      <c r="F41" s="269">
        <v>4</v>
      </c>
      <c r="G41" s="267">
        <v>242883</v>
      </c>
      <c r="H41" s="268">
        <v>24142</v>
      </c>
      <c r="I41" s="127">
        <f t="shared" si="1"/>
        <v>10.060599784607737</v>
      </c>
      <c r="J41" s="264"/>
      <c r="K41" s="345"/>
    </row>
    <row r="42" spans="1:11" ht="15">
      <c r="A42" s="175">
        <v>38</v>
      </c>
      <c r="B42" s="50" t="s">
        <v>187</v>
      </c>
      <c r="C42" s="265">
        <v>40186</v>
      </c>
      <c r="D42" s="123" t="s">
        <v>157</v>
      </c>
      <c r="E42" s="269">
        <v>19</v>
      </c>
      <c r="F42" s="269">
        <v>8</v>
      </c>
      <c r="G42" s="267">
        <v>218763</v>
      </c>
      <c r="H42" s="268">
        <v>18481</v>
      </c>
      <c r="I42" s="127">
        <f t="shared" si="1"/>
        <v>11.837184135057626</v>
      </c>
      <c r="J42" s="264"/>
      <c r="K42" s="345"/>
    </row>
    <row r="43" spans="1:11" ht="15">
      <c r="A43" s="175">
        <v>39</v>
      </c>
      <c r="B43" s="280" t="s">
        <v>163</v>
      </c>
      <c r="C43" s="265">
        <v>40207</v>
      </c>
      <c r="D43" s="123" t="s">
        <v>152</v>
      </c>
      <c r="E43" s="269">
        <v>43</v>
      </c>
      <c r="F43" s="269">
        <v>7</v>
      </c>
      <c r="G43" s="267">
        <f>102370+44067.75+18390+5765+946+3445+4755.5</f>
        <v>179739.25</v>
      </c>
      <c r="H43" s="268">
        <f>13060+5979+2634+1158+157+588+758</f>
        <v>24334</v>
      </c>
      <c r="I43" s="127">
        <f t="shared" si="1"/>
        <v>7.3863421550094515</v>
      </c>
      <c r="J43" s="264">
        <v>1</v>
      </c>
      <c r="K43" s="345"/>
    </row>
    <row r="44" spans="1:11" ht="15">
      <c r="A44" s="175">
        <v>40</v>
      </c>
      <c r="B44" s="280" t="s">
        <v>183</v>
      </c>
      <c r="C44" s="265">
        <v>40228</v>
      </c>
      <c r="D44" s="123" t="s">
        <v>152</v>
      </c>
      <c r="E44" s="269">
        <v>17</v>
      </c>
      <c r="F44" s="269">
        <v>4</v>
      </c>
      <c r="G44" s="267">
        <f>123803.5+36356.5+10616.5+7126</f>
        <v>177902.5</v>
      </c>
      <c r="H44" s="268">
        <f>9724+2877+987+846</f>
        <v>14434</v>
      </c>
      <c r="I44" s="127">
        <f t="shared" si="1"/>
        <v>12.325239018982957</v>
      </c>
      <c r="J44" s="264"/>
      <c r="K44" s="345"/>
    </row>
    <row r="45" spans="1:11" ht="15">
      <c r="A45" s="175">
        <v>41</v>
      </c>
      <c r="B45" s="280" t="s">
        <v>189</v>
      </c>
      <c r="C45" s="265">
        <v>40235</v>
      </c>
      <c r="D45" s="123" t="s">
        <v>150</v>
      </c>
      <c r="E45" s="269">
        <v>27</v>
      </c>
      <c r="F45" s="269">
        <v>3</v>
      </c>
      <c r="G45" s="267">
        <f>98211+58288+7002+639</f>
        <v>164140</v>
      </c>
      <c r="H45" s="268">
        <f>8036+4847+608+64</f>
        <v>13555</v>
      </c>
      <c r="I45" s="127">
        <f t="shared" si="1"/>
        <v>12.109184802655847</v>
      </c>
      <c r="J45" s="264"/>
      <c r="K45" s="345"/>
    </row>
    <row r="46" spans="1:11" ht="15">
      <c r="A46" s="175">
        <v>42</v>
      </c>
      <c r="B46" s="280" t="s">
        <v>205</v>
      </c>
      <c r="C46" s="265">
        <v>40193</v>
      </c>
      <c r="D46" s="123" t="s">
        <v>152</v>
      </c>
      <c r="E46" s="269">
        <v>17</v>
      </c>
      <c r="F46" s="269">
        <v>7</v>
      </c>
      <c r="G46" s="267">
        <f>1080+95415+33267.75+2666+272+903+421+2653</f>
        <v>136677.75</v>
      </c>
      <c r="H46" s="268">
        <f>108+7515+2837+363+32+176+93+719</f>
        <v>11843</v>
      </c>
      <c r="I46" s="127">
        <f t="shared" si="1"/>
        <v>11.540804694756396</v>
      </c>
      <c r="J46" s="264"/>
      <c r="K46" s="345"/>
    </row>
    <row r="47" spans="1:11" ht="15">
      <c r="A47" s="175">
        <v>43</v>
      </c>
      <c r="B47" s="50" t="s">
        <v>206</v>
      </c>
      <c r="C47" s="265">
        <v>40179</v>
      </c>
      <c r="D47" s="123" t="s">
        <v>152</v>
      </c>
      <c r="E47" s="269">
        <v>8</v>
      </c>
      <c r="F47" s="269">
        <v>8</v>
      </c>
      <c r="G47" s="267">
        <f>61026+19560+4475+1071+144+9277.5+1552+556</f>
        <v>97661.5</v>
      </c>
      <c r="H47" s="268">
        <f>4540+1674+518+171+26+988+221+91</f>
        <v>8229</v>
      </c>
      <c r="I47" s="127">
        <f>G47/H47</f>
        <v>11.867966946165998</v>
      </c>
      <c r="J47" s="264"/>
      <c r="K47" s="345"/>
    </row>
    <row r="48" spans="1:11" ht="18">
      <c r="A48" s="175">
        <v>44</v>
      </c>
      <c r="B48" s="280" t="s">
        <v>218</v>
      </c>
      <c r="C48" s="281">
        <v>40249</v>
      </c>
      <c r="D48" s="282" t="s">
        <v>100</v>
      </c>
      <c r="E48" s="269" t="s">
        <v>219</v>
      </c>
      <c r="F48" s="269" t="s">
        <v>113</v>
      </c>
      <c r="G48" s="267">
        <v>59458.25</v>
      </c>
      <c r="H48" s="268">
        <v>4736</v>
      </c>
      <c r="I48" s="127">
        <f aca="true" t="shared" si="2" ref="I48:I56">+G48/H48</f>
        <v>12.554529138513514</v>
      </c>
      <c r="J48" s="349"/>
      <c r="K48" s="345"/>
    </row>
    <row r="49" spans="1:11" ht="15">
      <c r="A49" s="175">
        <v>45</v>
      </c>
      <c r="B49" s="280" t="s">
        <v>220</v>
      </c>
      <c r="C49" s="265">
        <v>40249</v>
      </c>
      <c r="D49" s="123" t="s">
        <v>150</v>
      </c>
      <c r="E49" s="269">
        <v>26</v>
      </c>
      <c r="F49" s="269">
        <v>1</v>
      </c>
      <c r="G49" s="267">
        <v>58852</v>
      </c>
      <c r="H49" s="268">
        <v>6058</v>
      </c>
      <c r="I49" s="127">
        <f t="shared" si="2"/>
        <v>9.714757345658633</v>
      </c>
      <c r="J49" s="264">
        <v>1</v>
      </c>
      <c r="K49" s="345"/>
    </row>
    <row r="50" spans="1:11" ht="15">
      <c r="A50" s="175">
        <v>46</v>
      </c>
      <c r="B50" s="280" t="s">
        <v>198</v>
      </c>
      <c r="C50" s="265">
        <v>40186</v>
      </c>
      <c r="D50" s="123" t="s">
        <v>152</v>
      </c>
      <c r="E50" s="269">
        <v>4</v>
      </c>
      <c r="F50" s="269">
        <v>10</v>
      </c>
      <c r="G50" s="267">
        <f>19677.25+6138.5+538+2308.5+3432+4106+4545+2392+1206+871</f>
        <v>45214.25</v>
      </c>
      <c r="H50" s="268">
        <f>1627+845+84+359+556+884+725+553+247+208</f>
        <v>6088</v>
      </c>
      <c r="I50" s="127">
        <f t="shared" si="2"/>
        <v>7.426782194480946</v>
      </c>
      <c r="J50" s="264"/>
      <c r="K50" s="345"/>
    </row>
    <row r="51" spans="1:11" ht="15">
      <c r="A51" s="175">
        <v>47</v>
      </c>
      <c r="B51" s="280" t="s">
        <v>197</v>
      </c>
      <c r="C51" s="265">
        <v>40186</v>
      </c>
      <c r="D51" s="123" t="s">
        <v>152</v>
      </c>
      <c r="E51" s="269">
        <v>4</v>
      </c>
      <c r="F51" s="269">
        <v>10</v>
      </c>
      <c r="G51" s="267">
        <f>16093+2026+1632+2529+3793+924+2564+676+3194+1248</f>
        <v>34679</v>
      </c>
      <c r="H51" s="268">
        <f>1351+257+325+456+731+166+434+122+514+237</f>
        <v>4593</v>
      </c>
      <c r="I51" s="127">
        <f t="shared" si="2"/>
        <v>7.550402786849554</v>
      </c>
      <c r="J51" s="264"/>
      <c r="K51" s="345"/>
    </row>
    <row r="52" spans="1:11" ht="15">
      <c r="A52" s="175">
        <v>48</v>
      </c>
      <c r="B52" s="280" t="s">
        <v>221</v>
      </c>
      <c r="C52" s="265">
        <v>40249</v>
      </c>
      <c r="D52" s="123" t="s">
        <v>152</v>
      </c>
      <c r="E52" s="269">
        <v>1</v>
      </c>
      <c r="F52" s="269">
        <v>1</v>
      </c>
      <c r="G52" s="267">
        <f>13599.5+20829</f>
        <v>34428.5</v>
      </c>
      <c r="H52" s="268">
        <f>894+1348</f>
        <v>2242</v>
      </c>
      <c r="I52" s="127">
        <f t="shared" si="2"/>
        <v>15.356155218554862</v>
      </c>
      <c r="J52" s="264"/>
      <c r="K52" s="345"/>
    </row>
    <row r="53" spans="1:11" ht="15">
      <c r="A53" s="175">
        <v>49</v>
      </c>
      <c r="B53" s="280" t="s">
        <v>185</v>
      </c>
      <c r="C53" s="265">
        <v>40228</v>
      </c>
      <c r="D53" s="123" t="s">
        <v>178</v>
      </c>
      <c r="E53" s="269">
        <v>15</v>
      </c>
      <c r="F53" s="269">
        <v>4</v>
      </c>
      <c r="G53" s="267">
        <v>33595</v>
      </c>
      <c r="H53" s="268">
        <v>3149</v>
      </c>
      <c r="I53" s="127">
        <f t="shared" si="2"/>
        <v>10.6684661797396</v>
      </c>
      <c r="J53" s="264"/>
      <c r="K53" s="345"/>
    </row>
    <row r="54" spans="1:11" ht="15">
      <c r="A54" s="175">
        <v>50</v>
      </c>
      <c r="B54" s="280" t="s">
        <v>207</v>
      </c>
      <c r="C54" s="265">
        <v>40186</v>
      </c>
      <c r="D54" s="123" t="s">
        <v>152</v>
      </c>
      <c r="E54" s="269">
        <v>1</v>
      </c>
      <c r="F54" s="269">
        <v>8</v>
      </c>
      <c r="G54" s="267">
        <f>9061+11823.5+5543+523+1044+255+746+557+1780</f>
        <v>31332.5</v>
      </c>
      <c r="H54" s="268">
        <f>906+798+439+43+88+22+127+99+445</f>
        <v>2967</v>
      </c>
      <c r="I54" s="127">
        <f t="shared" si="2"/>
        <v>10.560330299966296</v>
      </c>
      <c r="J54" s="264"/>
      <c r="K54" s="345"/>
    </row>
    <row r="55" spans="1:11" ht="15">
      <c r="A55" s="175">
        <v>51</v>
      </c>
      <c r="B55" s="280" t="s">
        <v>200</v>
      </c>
      <c r="C55" s="265">
        <v>40193</v>
      </c>
      <c r="D55" s="123" t="s">
        <v>151</v>
      </c>
      <c r="E55" s="272">
        <v>35</v>
      </c>
      <c r="F55" s="272">
        <v>3</v>
      </c>
      <c r="G55" s="266">
        <v>21393</v>
      </c>
      <c r="H55" s="273">
        <v>2214</v>
      </c>
      <c r="I55" s="127">
        <f t="shared" si="2"/>
        <v>9.66260162601626</v>
      </c>
      <c r="J55" s="264">
        <v>1</v>
      </c>
      <c r="K55" s="345"/>
    </row>
    <row r="56" spans="1:11" ht="15.75" thickBot="1">
      <c r="A56" s="202">
        <v>52</v>
      </c>
      <c r="B56" s="331" t="s">
        <v>199</v>
      </c>
      <c r="C56" s="347">
        <v>40221</v>
      </c>
      <c r="D56" s="124" t="s">
        <v>152</v>
      </c>
      <c r="E56" s="348">
        <v>2</v>
      </c>
      <c r="F56" s="348">
        <v>5</v>
      </c>
      <c r="G56" s="276">
        <f>3272+1637+421+75+72</f>
        <v>5477</v>
      </c>
      <c r="H56" s="279">
        <f>320+180+79+25+24</f>
        <v>628</v>
      </c>
      <c r="I56" s="125">
        <f t="shared" si="2"/>
        <v>8.721337579617835</v>
      </c>
      <c r="J56" s="264"/>
      <c r="K56" s="345"/>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E48:G48" numberStoredAsText="1"/>
    <ignoredError sqref="I29:I36 I47" formula="1"/>
  </ignoredErrors>
</worksheet>
</file>

<file path=xl/worksheets/sheet3.xml><?xml version="1.0" encoding="utf-8"?>
<worksheet xmlns="http://schemas.openxmlformats.org/spreadsheetml/2006/main" xmlns:r="http://schemas.openxmlformats.org/officeDocument/2006/relationships">
  <dimension ref="A1:P411"/>
  <sheetViews>
    <sheetView zoomScale="90" zoomScaleNormal="90" zoomScalePageLayoutView="0" workbookViewId="0" topLeftCell="A1">
      <selection activeCell="B2" sqref="B2:B3"/>
    </sheetView>
  </sheetViews>
  <sheetFormatPr defaultColWidth="4.00390625" defaultRowHeight="12.75"/>
  <cols>
    <col min="1" max="1" width="5.00390625" style="32" bestFit="1" customWidth="1"/>
    <col min="2" max="2" width="54.8515625" style="23" bestFit="1" customWidth="1"/>
    <col min="3" max="3" width="7.7109375" style="29" bestFit="1" customWidth="1"/>
    <col min="4" max="4" width="14.28125" style="22" bestFit="1" customWidth="1"/>
    <col min="5" max="5" width="6.28125" style="261" bestFit="1" customWidth="1"/>
    <col min="6" max="6" width="6.7109375" style="262" bestFit="1" customWidth="1"/>
    <col min="7" max="7" width="8.7109375" style="144" customWidth="1"/>
    <col min="8" max="8" width="16.421875" style="30" bestFit="1" customWidth="1"/>
    <col min="9" max="9" width="10.57421875" style="31" bestFit="1" customWidth="1"/>
    <col min="10" max="10" width="7.140625" style="33" bestFit="1" customWidth="1"/>
    <col min="11" max="11" width="8.140625" style="34" bestFit="1" customWidth="1"/>
    <col min="12" max="12" width="16.00390625" style="35" bestFit="1" customWidth="1"/>
    <col min="13" max="13" width="11.421875" style="33" bestFit="1" customWidth="1"/>
    <col min="14" max="14" width="7.7109375" style="34" bestFit="1" customWidth="1"/>
    <col min="15" max="15" width="2.421875" style="51" bestFit="1" customWidth="1"/>
    <col min="16" max="16" width="4.00390625" style="16" customWidth="1"/>
    <col min="17" max="18" width="4.00390625" style="0" customWidth="1"/>
    <col min="19" max="19" width="9.7109375" style="0" bestFit="1" customWidth="1"/>
    <col min="20" max="20" width="6.00390625" style="0" bestFit="1" customWidth="1"/>
  </cols>
  <sheetData>
    <row r="1" spans="1:16" s="141" customFormat="1" ht="34.5" thickBot="1">
      <c r="A1" s="387" t="s">
        <v>209</v>
      </c>
      <c r="B1" s="388"/>
      <c r="C1" s="388"/>
      <c r="D1" s="388"/>
      <c r="E1" s="388"/>
      <c r="F1" s="388"/>
      <c r="G1" s="389"/>
      <c r="H1" s="389"/>
      <c r="I1" s="389"/>
      <c r="J1" s="389"/>
      <c r="K1" s="389"/>
      <c r="L1" s="389"/>
      <c r="M1" s="389"/>
      <c r="N1" s="389"/>
      <c r="O1" s="139"/>
      <c r="P1" s="140"/>
    </row>
    <row r="2" spans="1:16" s="21" customFormat="1" ht="12.75">
      <c r="A2" s="136"/>
      <c r="B2" s="390" t="s">
        <v>126</v>
      </c>
      <c r="C2" s="392" t="s">
        <v>138</v>
      </c>
      <c r="D2" s="394" t="s">
        <v>149</v>
      </c>
      <c r="E2" s="385" t="s">
        <v>139</v>
      </c>
      <c r="F2" s="385" t="s">
        <v>146</v>
      </c>
      <c r="G2" s="385" t="s">
        <v>147</v>
      </c>
      <c r="H2" s="396" t="s">
        <v>140</v>
      </c>
      <c r="I2" s="396"/>
      <c r="J2" s="396"/>
      <c r="K2" s="396"/>
      <c r="L2" s="396" t="s">
        <v>141</v>
      </c>
      <c r="M2" s="396"/>
      <c r="N2" s="397"/>
      <c r="O2" s="263"/>
      <c r="P2" s="24"/>
    </row>
    <row r="3" spans="1:16" s="21" customFormat="1" ht="48" customHeight="1" thickBot="1">
      <c r="A3" s="137"/>
      <c r="B3" s="391"/>
      <c r="C3" s="393"/>
      <c r="D3" s="386"/>
      <c r="E3" s="386"/>
      <c r="F3" s="386"/>
      <c r="G3" s="395"/>
      <c r="H3" s="212" t="s">
        <v>142</v>
      </c>
      <c r="I3" s="213" t="s">
        <v>143</v>
      </c>
      <c r="J3" s="213" t="s">
        <v>132</v>
      </c>
      <c r="K3" s="214" t="s">
        <v>144</v>
      </c>
      <c r="L3" s="212" t="s">
        <v>142</v>
      </c>
      <c r="M3" s="213" t="s">
        <v>143</v>
      </c>
      <c r="N3" s="352" t="s">
        <v>145</v>
      </c>
      <c r="O3" s="263"/>
      <c r="P3" s="24"/>
    </row>
    <row r="4" spans="1:15" ht="15">
      <c r="A4" s="138">
        <v>1</v>
      </c>
      <c r="B4" s="215">
        <v>2012</v>
      </c>
      <c r="C4" s="216">
        <v>40130</v>
      </c>
      <c r="D4" s="217" t="s">
        <v>150</v>
      </c>
      <c r="E4" s="253">
        <v>178</v>
      </c>
      <c r="F4" s="253">
        <v>37</v>
      </c>
      <c r="G4" s="253">
        <v>8</v>
      </c>
      <c r="H4" s="218">
        <f>48622+283</f>
        <v>48905</v>
      </c>
      <c r="I4" s="219">
        <f>7403+116</f>
        <v>7519</v>
      </c>
      <c r="J4" s="220">
        <f>I4/F4</f>
        <v>203.21621621621622</v>
      </c>
      <c r="K4" s="221">
        <f>H4/I4</f>
        <v>6.504189386886554</v>
      </c>
      <c r="L4" s="222">
        <f>13107603+48622+283</f>
        <v>13156508</v>
      </c>
      <c r="M4" s="223">
        <f>1468855+7403+116</f>
        <v>1476374</v>
      </c>
      <c r="N4" s="224">
        <f aca="true" t="shared" si="0" ref="N4:N11">+L4/M4</f>
        <v>8.91136527736197</v>
      </c>
      <c r="O4" s="147"/>
    </row>
    <row r="5" spans="1:15" ht="15">
      <c r="A5" s="138">
        <v>2</v>
      </c>
      <c r="B5" s="225">
        <v>2012</v>
      </c>
      <c r="C5" s="52">
        <v>40130</v>
      </c>
      <c r="D5" s="60" t="s">
        <v>150</v>
      </c>
      <c r="E5" s="254">
        <v>178</v>
      </c>
      <c r="F5" s="254">
        <v>25</v>
      </c>
      <c r="G5" s="254">
        <v>9</v>
      </c>
      <c r="H5" s="54">
        <v>29270</v>
      </c>
      <c r="I5" s="55">
        <v>4996</v>
      </c>
      <c r="J5" s="56">
        <f>I5/F5</f>
        <v>199.84</v>
      </c>
      <c r="K5" s="61">
        <f>H5/I5</f>
        <v>5.858686949559647</v>
      </c>
      <c r="L5" s="58">
        <f>13107603+48622+283+29270</f>
        <v>13185778</v>
      </c>
      <c r="M5" s="59">
        <f>1468855+7403+116+4996</f>
        <v>1481370</v>
      </c>
      <c r="N5" s="226">
        <f t="shared" si="0"/>
        <v>8.901069955514153</v>
      </c>
      <c r="O5" s="148"/>
    </row>
    <row r="6" spans="1:15" ht="15">
      <c r="A6" s="138">
        <v>3</v>
      </c>
      <c r="B6" s="225">
        <v>2012</v>
      </c>
      <c r="C6" s="52">
        <v>40130</v>
      </c>
      <c r="D6" s="62" t="s">
        <v>150</v>
      </c>
      <c r="E6" s="254">
        <v>178</v>
      </c>
      <c r="F6" s="254">
        <v>18</v>
      </c>
      <c r="G6" s="254">
        <v>10</v>
      </c>
      <c r="H6" s="54">
        <v>25563</v>
      </c>
      <c r="I6" s="63">
        <v>4175</v>
      </c>
      <c r="J6" s="64">
        <f>I6/F6</f>
        <v>231.94444444444446</v>
      </c>
      <c r="K6" s="57">
        <f>H6/I6</f>
        <v>6.122874251497006</v>
      </c>
      <c r="L6" s="58">
        <f>13107603+48622+283+29270+25563</f>
        <v>13211341</v>
      </c>
      <c r="M6" s="65">
        <f>1468855+7403+116+4996+4175</f>
        <v>1485545</v>
      </c>
      <c r="N6" s="227">
        <f t="shared" si="0"/>
        <v>8.893262068803033</v>
      </c>
      <c r="O6" s="149"/>
    </row>
    <row r="7" spans="1:15" ht="15">
      <c r="A7" s="138">
        <v>4</v>
      </c>
      <c r="B7" s="225">
        <v>2012</v>
      </c>
      <c r="C7" s="52">
        <v>40130</v>
      </c>
      <c r="D7" s="66" t="s">
        <v>150</v>
      </c>
      <c r="E7" s="254">
        <v>178</v>
      </c>
      <c r="F7" s="254">
        <v>7</v>
      </c>
      <c r="G7" s="254">
        <v>11</v>
      </c>
      <c r="H7" s="67">
        <v>11036</v>
      </c>
      <c r="I7" s="63">
        <v>2539</v>
      </c>
      <c r="J7" s="64">
        <f>I7/F7</f>
        <v>362.7142857142857</v>
      </c>
      <c r="K7" s="57">
        <f>H7/I7</f>
        <v>4.346593146908232</v>
      </c>
      <c r="L7" s="68">
        <f>13107603+48622+283+29270+25563+11036</f>
        <v>13222377</v>
      </c>
      <c r="M7" s="65">
        <f>1468855+7403+116+4996+4175+2539</f>
        <v>1488084</v>
      </c>
      <c r="N7" s="227">
        <f t="shared" si="0"/>
        <v>8.885504447329586</v>
      </c>
      <c r="O7" s="149"/>
    </row>
    <row r="8" spans="1:15" ht="15">
      <c r="A8" s="138">
        <v>5</v>
      </c>
      <c r="B8" s="225">
        <v>2012</v>
      </c>
      <c r="C8" s="69">
        <v>40130</v>
      </c>
      <c r="D8" s="60" t="s">
        <v>150</v>
      </c>
      <c r="E8" s="255">
        <v>178</v>
      </c>
      <c r="F8" s="255">
        <v>5</v>
      </c>
      <c r="G8" s="255">
        <v>12</v>
      </c>
      <c r="H8" s="99">
        <v>8708</v>
      </c>
      <c r="I8" s="100">
        <v>1375</v>
      </c>
      <c r="J8" s="128">
        <f>I8/F8</f>
        <v>275</v>
      </c>
      <c r="K8" s="74">
        <f>H8/I8</f>
        <v>6.333090909090909</v>
      </c>
      <c r="L8" s="101">
        <f>13107603+48622+283+29270+25563+11036+8708</f>
        <v>13231085</v>
      </c>
      <c r="M8" s="128">
        <f>1468855+7403+116+4996+4175+2539+1375</f>
        <v>1489459</v>
      </c>
      <c r="N8" s="228">
        <f t="shared" si="0"/>
        <v>8.883148176619834</v>
      </c>
      <c r="O8" s="150"/>
    </row>
    <row r="9" spans="1:15" ht="15">
      <c r="A9" s="138">
        <v>6</v>
      </c>
      <c r="B9" s="229">
        <v>2012</v>
      </c>
      <c r="C9" s="69">
        <v>40130</v>
      </c>
      <c r="D9" s="60" t="s">
        <v>150</v>
      </c>
      <c r="E9" s="255">
        <v>178</v>
      </c>
      <c r="F9" s="255">
        <v>3</v>
      </c>
      <c r="G9" s="255">
        <v>13</v>
      </c>
      <c r="H9" s="145">
        <v>4169</v>
      </c>
      <c r="I9" s="146">
        <v>819</v>
      </c>
      <c r="J9" s="128">
        <f>(I9/F9)</f>
        <v>273</v>
      </c>
      <c r="K9" s="74">
        <f>(J9/G9)</f>
        <v>21</v>
      </c>
      <c r="L9" s="101">
        <f>13231085+4169</f>
        <v>13235254</v>
      </c>
      <c r="M9" s="128">
        <f>1489459+819</f>
        <v>1490278</v>
      </c>
      <c r="N9" s="230">
        <f t="shared" si="0"/>
        <v>8.881063801518911</v>
      </c>
      <c r="O9" s="149"/>
    </row>
    <row r="10" spans="1:15" ht="15">
      <c r="A10" s="138">
        <v>7</v>
      </c>
      <c r="B10" s="229">
        <v>2012</v>
      </c>
      <c r="C10" s="69">
        <v>40130</v>
      </c>
      <c r="D10" s="60" t="s">
        <v>150</v>
      </c>
      <c r="E10" s="255">
        <v>178</v>
      </c>
      <c r="F10" s="255">
        <v>3</v>
      </c>
      <c r="G10" s="255">
        <v>14</v>
      </c>
      <c r="H10" s="167">
        <v>2910</v>
      </c>
      <c r="I10" s="168">
        <v>575</v>
      </c>
      <c r="J10" s="174">
        <f>I10/F10</f>
        <v>191.66666666666666</v>
      </c>
      <c r="K10" s="76">
        <f>H10/I10</f>
        <v>5.060869565217391</v>
      </c>
      <c r="L10" s="75">
        <v>13238163</v>
      </c>
      <c r="M10" s="174">
        <v>1490853</v>
      </c>
      <c r="N10" s="230">
        <f t="shared" si="0"/>
        <v>8.879589738223688</v>
      </c>
      <c r="O10" s="147"/>
    </row>
    <row r="11" spans="1:15" ht="15">
      <c r="A11" s="138">
        <v>8</v>
      </c>
      <c r="B11" s="229">
        <v>2012</v>
      </c>
      <c r="C11" s="69">
        <v>40130</v>
      </c>
      <c r="D11" s="60" t="s">
        <v>150</v>
      </c>
      <c r="E11" s="255">
        <v>178</v>
      </c>
      <c r="F11" s="255">
        <v>2</v>
      </c>
      <c r="G11" s="255">
        <v>15</v>
      </c>
      <c r="H11" s="167">
        <v>1857</v>
      </c>
      <c r="I11" s="168">
        <v>352</v>
      </c>
      <c r="J11" s="174">
        <f>I11/F11</f>
        <v>176</v>
      </c>
      <c r="K11" s="76">
        <f>H11/I11</f>
        <v>5.275568181818182</v>
      </c>
      <c r="L11" s="75">
        <v>13240020</v>
      </c>
      <c r="M11" s="174">
        <v>1491205</v>
      </c>
      <c r="N11" s="230">
        <f t="shared" si="0"/>
        <v>8.87873900637404</v>
      </c>
      <c r="O11" s="180"/>
    </row>
    <row r="12" spans="1:15" ht="15">
      <c r="A12" s="138">
        <v>9</v>
      </c>
      <c r="B12" s="229" t="s">
        <v>69</v>
      </c>
      <c r="C12" s="69">
        <v>40095</v>
      </c>
      <c r="D12" s="70" t="s">
        <v>152</v>
      </c>
      <c r="E12" s="255">
        <v>22</v>
      </c>
      <c r="F12" s="255">
        <v>3</v>
      </c>
      <c r="G12" s="255">
        <v>10</v>
      </c>
      <c r="H12" s="54">
        <v>3158</v>
      </c>
      <c r="I12" s="55">
        <v>596</v>
      </c>
      <c r="J12" s="56">
        <f>(I12/F12)</f>
        <v>198.66666666666666</v>
      </c>
      <c r="K12" s="61">
        <f>H12/I12</f>
        <v>5.298657718120805</v>
      </c>
      <c r="L12" s="58">
        <f>158809.5+140713.25+103696.25+38523+19360+17458+1188+196+2484+3158</f>
        <v>485586</v>
      </c>
      <c r="M12" s="59">
        <f>14214+13110+10683+4685+3074+2645+297+16+571+596</f>
        <v>49891</v>
      </c>
      <c r="N12" s="226">
        <f aca="true" t="shared" si="1" ref="N12:N18">L12/M12</f>
        <v>9.732937804413622</v>
      </c>
      <c r="O12" s="147"/>
    </row>
    <row r="13" spans="1:15" ht="15">
      <c r="A13" s="138">
        <v>10</v>
      </c>
      <c r="B13" s="229" t="s">
        <v>69</v>
      </c>
      <c r="C13" s="69">
        <v>40095</v>
      </c>
      <c r="D13" s="60" t="s">
        <v>152</v>
      </c>
      <c r="E13" s="255">
        <v>22</v>
      </c>
      <c r="F13" s="255">
        <v>2</v>
      </c>
      <c r="G13" s="255">
        <v>12</v>
      </c>
      <c r="H13" s="145">
        <v>2933</v>
      </c>
      <c r="I13" s="146">
        <v>584</v>
      </c>
      <c r="J13" s="128">
        <f>I13/F13</f>
        <v>292</v>
      </c>
      <c r="K13" s="74">
        <f>+H13/I13</f>
        <v>5.022260273972603</v>
      </c>
      <c r="L13" s="101">
        <f>158809.5+140713.25+103696.25+38523+19360+17458+1188+196+2484+3158+1780+2933</f>
        <v>490299</v>
      </c>
      <c r="M13" s="128">
        <f>14214+13110+10683+4685+3074+2645+297+16+571+596+445+584</f>
        <v>50920</v>
      </c>
      <c r="N13" s="230">
        <f t="shared" si="1"/>
        <v>9.628809897879027</v>
      </c>
      <c r="O13" s="149"/>
    </row>
    <row r="14" spans="1:15" ht="15">
      <c r="A14" s="138">
        <v>11</v>
      </c>
      <c r="B14" s="229" t="s">
        <v>69</v>
      </c>
      <c r="C14" s="69">
        <v>40095</v>
      </c>
      <c r="D14" s="71" t="s">
        <v>152</v>
      </c>
      <c r="E14" s="255">
        <v>22</v>
      </c>
      <c r="F14" s="255">
        <v>2</v>
      </c>
      <c r="G14" s="255">
        <v>9</v>
      </c>
      <c r="H14" s="54">
        <v>2484</v>
      </c>
      <c r="I14" s="55">
        <v>571</v>
      </c>
      <c r="J14" s="56">
        <f>(I14/F14)</f>
        <v>285.5</v>
      </c>
      <c r="K14" s="57">
        <f>H14/I14</f>
        <v>4.350262697022767</v>
      </c>
      <c r="L14" s="58">
        <f>158809.5+140713.25+103696.25+38523+19360+17458+1188+196+2484</f>
        <v>482428</v>
      </c>
      <c r="M14" s="59">
        <f>14214+13110+10683+4685+3074+2645+297+16+571</f>
        <v>49295</v>
      </c>
      <c r="N14" s="227">
        <f t="shared" si="1"/>
        <v>9.786550360077086</v>
      </c>
      <c r="O14" s="147"/>
    </row>
    <row r="15" spans="1:15" ht="15">
      <c r="A15" s="138">
        <v>12</v>
      </c>
      <c r="B15" s="231" t="s">
        <v>69</v>
      </c>
      <c r="C15" s="85">
        <v>40095</v>
      </c>
      <c r="D15" s="86" t="s">
        <v>152</v>
      </c>
      <c r="E15" s="256">
        <v>22</v>
      </c>
      <c r="F15" s="256">
        <v>1</v>
      </c>
      <c r="G15" s="256">
        <v>11</v>
      </c>
      <c r="H15" s="67">
        <v>1780</v>
      </c>
      <c r="I15" s="63">
        <v>445</v>
      </c>
      <c r="J15" s="64">
        <f>(I15/F15)</f>
        <v>445</v>
      </c>
      <c r="K15" s="74">
        <f>+H15/I15</f>
        <v>4</v>
      </c>
      <c r="L15" s="68">
        <f>158809.5+140713.25+103696.25+38523+19360+17458+1188+196+2484+3158+1780</f>
        <v>487366</v>
      </c>
      <c r="M15" s="65">
        <f>14214+13110+10683+4685+3074+2645+297+16+571+596+445</f>
        <v>50336</v>
      </c>
      <c r="N15" s="232">
        <f t="shared" si="1"/>
        <v>9.682255244755245</v>
      </c>
      <c r="O15" s="150"/>
    </row>
    <row r="16" spans="1:15" ht="15">
      <c r="A16" s="138">
        <v>13</v>
      </c>
      <c r="B16" s="229" t="s">
        <v>18</v>
      </c>
      <c r="C16" s="69">
        <v>40137</v>
      </c>
      <c r="D16" s="71" t="s">
        <v>83</v>
      </c>
      <c r="E16" s="255">
        <v>149</v>
      </c>
      <c r="F16" s="255">
        <v>9</v>
      </c>
      <c r="G16" s="255">
        <v>7</v>
      </c>
      <c r="H16" s="72">
        <v>27101.5</v>
      </c>
      <c r="I16" s="73">
        <v>4448</v>
      </c>
      <c r="J16" s="174">
        <f>I16/F16</f>
        <v>494.22222222222223</v>
      </c>
      <c r="K16" s="74">
        <f>H16/I16</f>
        <v>6.092963129496403</v>
      </c>
      <c r="L16" s="75">
        <v>3103393</v>
      </c>
      <c r="M16" s="174">
        <v>360904</v>
      </c>
      <c r="N16" s="228">
        <f t="shared" si="1"/>
        <v>8.598943209274488</v>
      </c>
      <c r="O16" s="147">
        <v>1</v>
      </c>
    </row>
    <row r="17" spans="1:15" ht="15">
      <c r="A17" s="138">
        <v>14</v>
      </c>
      <c r="B17" s="229" t="s">
        <v>18</v>
      </c>
      <c r="C17" s="69">
        <v>40137</v>
      </c>
      <c r="D17" s="71" t="s">
        <v>83</v>
      </c>
      <c r="E17" s="255">
        <v>149</v>
      </c>
      <c r="F17" s="255">
        <v>10</v>
      </c>
      <c r="G17" s="255">
        <v>9</v>
      </c>
      <c r="H17" s="72">
        <v>17098.5</v>
      </c>
      <c r="I17" s="73">
        <v>3701</v>
      </c>
      <c r="J17" s="174">
        <f>I17/F17</f>
        <v>370.1</v>
      </c>
      <c r="K17" s="76">
        <f>H17/I17</f>
        <v>4.619967576330722</v>
      </c>
      <c r="L17" s="75">
        <v>3130396</v>
      </c>
      <c r="M17" s="174">
        <v>366723</v>
      </c>
      <c r="N17" s="230">
        <f t="shared" si="1"/>
        <v>8.536132176056588</v>
      </c>
      <c r="O17" s="147"/>
    </row>
    <row r="18" spans="1:15" ht="15">
      <c r="A18" s="138">
        <v>15</v>
      </c>
      <c r="B18" s="229" t="s">
        <v>18</v>
      </c>
      <c r="C18" s="69">
        <v>40137</v>
      </c>
      <c r="D18" s="71" t="s">
        <v>83</v>
      </c>
      <c r="E18" s="255">
        <v>149</v>
      </c>
      <c r="F18" s="255">
        <v>9</v>
      </c>
      <c r="G18" s="255">
        <v>8</v>
      </c>
      <c r="H18" s="72">
        <v>9904.5</v>
      </c>
      <c r="I18" s="73">
        <v>2118</v>
      </c>
      <c r="J18" s="174">
        <f>I18/F18</f>
        <v>235.33333333333334</v>
      </c>
      <c r="K18" s="76">
        <f>H18/I18</f>
        <v>4.676345609065156</v>
      </c>
      <c r="L18" s="75">
        <v>3113297.5</v>
      </c>
      <c r="M18" s="174">
        <v>363022</v>
      </c>
      <c r="N18" s="230">
        <f t="shared" si="1"/>
        <v>8.57605737393326</v>
      </c>
      <c r="O18" s="147">
        <v>1</v>
      </c>
    </row>
    <row r="19" spans="1:15" ht="15">
      <c r="A19" s="138">
        <v>16</v>
      </c>
      <c r="B19" s="229" t="s">
        <v>18</v>
      </c>
      <c r="C19" s="69">
        <v>40137</v>
      </c>
      <c r="D19" s="60" t="s">
        <v>83</v>
      </c>
      <c r="E19" s="255">
        <v>149</v>
      </c>
      <c r="F19" s="255">
        <v>1</v>
      </c>
      <c r="G19" s="255">
        <v>14</v>
      </c>
      <c r="H19" s="167">
        <v>8232.5</v>
      </c>
      <c r="I19" s="168">
        <v>1373</v>
      </c>
      <c r="J19" s="174">
        <f>I19/F19</f>
        <v>1373</v>
      </c>
      <c r="K19" s="76">
        <f>H19/I19</f>
        <v>5.995994173343044</v>
      </c>
      <c r="L19" s="75">
        <v>3142997</v>
      </c>
      <c r="M19" s="174">
        <v>368955</v>
      </c>
      <c r="N19" s="230">
        <f>+L19/M19</f>
        <v>8.518645905327208</v>
      </c>
      <c r="O19" s="182">
        <v>1</v>
      </c>
    </row>
    <row r="20" spans="1:15" ht="15">
      <c r="A20" s="138">
        <v>17</v>
      </c>
      <c r="B20" s="229" t="s">
        <v>18</v>
      </c>
      <c r="C20" s="69">
        <v>40137</v>
      </c>
      <c r="D20" s="60" t="s">
        <v>83</v>
      </c>
      <c r="E20" s="255">
        <v>149</v>
      </c>
      <c r="F20" s="255">
        <v>1</v>
      </c>
      <c r="G20" s="255">
        <v>13</v>
      </c>
      <c r="H20" s="167">
        <v>1987</v>
      </c>
      <c r="I20" s="168">
        <v>399</v>
      </c>
      <c r="J20" s="174">
        <f>I20/F20</f>
        <v>399</v>
      </c>
      <c r="K20" s="76">
        <f>H20/I20</f>
        <v>4.979949874686716</v>
      </c>
      <c r="L20" s="75">
        <v>3134764.5</v>
      </c>
      <c r="M20" s="174">
        <v>367582</v>
      </c>
      <c r="N20" s="230">
        <f>L20/M20</f>
        <v>8.52806856701362</v>
      </c>
      <c r="O20" s="147">
        <v>1</v>
      </c>
    </row>
    <row r="21" spans="1:15" ht="15">
      <c r="A21" s="138">
        <v>18</v>
      </c>
      <c r="B21" s="229" t="s">
        <v>18</v>
      </c>
      <c r="C21" s="69">
        <v>40137</v>
      </c>
      <c r="D21" s="60" t="s">
        <v>83</v>
      </c>
      <c r="E21" s="255">
        <v>149</v>
      </c>
      <c r="F21" s="255">
        <v>1</v>
      </c>
      <c r="G21" s="255">
        <v>12</v>
      </c>
      <c r="H21" s="145">
        <v>1725.5</v>
      </c>
      <c r="I21" s="146">
        <v>350</v>
      </c>
      <c r="J21" s="128">
        <f>(I21/F21)</f>
        <v>350</v>
      </c>
      <c r="K21" s="74">
        <f>(J21/G21)</f>
        <v>29.166666666666668</v>
      </c>
      <c r="L21" s="101">
        <v>3132777.5</v>
      </c>
      <c r="M21" s="128">
        <v>367183</v>
      </c>
      <c r="N21" s="230">
        <f>L21/M21</f>
        <v>8.531924135921326</v>
      </c>
      <c r="O21" s="149">
        <v>1</v>
      </c>
    </row>
    <row r="22" spans="1:15" ht="15">
      <c r="A22" s="138">
        <v>19</v>
      </c>
      <c r="B22" s="229" t="s">
        <v>18</v>
      </c>
      <c r="C22" s="69">
        <v>40137</v>
      </c>
      <c r="D22" s="60" t="s">
        <v>53</v>
      </c>
      <c r="E22" s="255">
        <v>149</v>
      </c>
      <c r="F22" s="255">
        <v>1</v>
      </c>
      <c r="G22" s="255">
        <v>11</v>
      </c>
      <c r="H22" s="99">
        <v>656</v>
      </c>
      <c r="I22" s="100">
        <v>110</v>
      </c>
      <c r="J22" s="128">
        <f>I22/F22</f>
        <v>110</v>
      </c>
      <c r="K22" s="74">
        <f>H22/I22</f>
        <v>5.963636363636364</v>
      </c>
      <c r="L22" s="101">
        <v>3131052</v>
      </c>
      <c r="M22" s="128">
        <v>366833</v>
      </c>
      <c r="N22" s="228">
        <f>L22/M22</f>
        <v>8.535360777247412</v>
      </c>
      <c r="O22" s="151">
        <v>1</v>
      </c>
    </row>
    <row r="23" spans="1:15" ht="15">
      <c r="A23" s="138">
        <v>20</v>
      </c>
      <c r="B23" s="225" t="s">
        <v>23</v>
      </c>
      <c r="C23" s="52">
        <v>40151</v>
      </c>
      <c r="D23" s="60" t="s">
        <v>154</v>
      </c>
      <c r="E23" s="254">
        <v>140</v>
      </c>
      <c r="F23" s="254">
        <v>19</v>
      </c>
      <c r="G23" s="254">
        <v>7</v>
      </c>
      <c r="H23" s="77">
        <v>16570</v>
      </c>
      <c r="I23" s="78">
        <v>2937</v>
      </c>
      <c r="J23" s="79">
        <f>IF(H23&lt;&gt;0,I23/F23,"")</f>
        <v>154.57894736842104</v>
      </c>
      <c r="K23" s="80">
        <f>IF(H23&lt;&gt;0,H23/I23,"")</f>
        <v>5.64181137214845</v>
      </c>
      <c r="L23" s="81">
        <v>1036414</v>
      </c>
      <c r="M23" s="128">
        <v>132115</v>
      </c>
      <c r="N23" s="233">
        <f>IF(L23&lt;&gt;0,L23/M23,"")</f>
        <v>7.844786738826023</v>
      </c>
      <c r="O23" s="149">
        <v>1</v>
      </c>
    </row>
    <row r="24" spans="1:15" ht="15">
      <c r="A24" s="138">
        <v>21</v>
      </c>
      <c r="B24" s="225" t="s">
        <v>103</v>
      </c>
      <c r="C24" s="52">
        <v>40151</v>
      </c>
      <c r="D24" s="60" t="s">
        <v>154</v>
      </c>
      <c r="E24" s="254">
        <v>140</v>
      </c>
      <c r="F24" s="254">
        <v>18</v>
      </c>
      <c r="G24" s="254">
        <v>6</v>
      </c>
      <c r="H24" s="77">
        <v>9901</v>
      </c>
      <c r="I24" s="82">
        <v>1541</v>
      </c>
      <c r="J24" s="83">
        <f>IF(H24&lt;&gt;0,I24/F24,"")</f>
        <v>85.61111111111111</v>
      </c>
      <c r="K24" s="84">
        <f>IF(H24&lt;&gt;0,H24/I24,"")</f>
        <v>6.425048669695003</v>
      </c>
      <c r="L24" s="81">
        <v>1019844</v>
      </c>
      <c r="M24" s="174">
        <v>129178</v>
      </c>
      <c r="N24" s="234">
        <f>IF(L24&lt;&gt;0,L24/M24,"")</f>
        <v>7.894873740110545</v>
      </c>
      <c r="O24" s="148">
        <v>1</v>
      </c>
    </row>
    <row r="25" spans="1:15" ht="15">
      <c r="A25" s="138">
        <v>22</v>
      </c>
      <c r="B25" s="225" t="s">
        <v>103</v>
      </c>
      <c r="C25" s="52">
        <v>40151</v>
      </c>
      <c r="D25" s="66" t="s">
        <v>154</v>
      </c>
      <c r="E25" s="254">
        <v>140</v>
      </c>
      <c r="F25" s="254">
        <v>15</v>
      </c>
      <c r="G25" s="254">
        <v>5</v>
      </c>
      <c r="H25" s="77">
        <v>6903</v>
      </c>
      <c r="I25" s="82">
        <v>1187</v>
      </c>
      <c r="J25" s="83">
        <f>IF(H25&lt;&gt;0,I25/F25,"")</f>
        <v>79.13333333333334</v>
      </c>
      <c r="K25" s="80">
        <f>IF(H25&lt;&gt;0,H25/I25,"")</f>
        <v>5.815501263689975</v>
      </c>
      <c r="L25" s="81">
        <v>1009943</v>
      </c>
      <c r="M25" s="174">
        <v>127637</v>
      </c>
      <c r="N25" s="233">
        <f>IF(L25&lt;&gt;0,L25/M25,"")</f>
        <v>7.9126193815273</v>
      </c>
      <c r="O25" s="147">
        <v>1</v>
      </c>
    </row>
    <row r="26" spans="1:15" ht="15">
      <c r="A26" s="138">
        <v>23</v>
      </c>
      <c r="B26" s="229" t="s">
        <v>23</v>
      </c>
      <c r="C26" s="69">
        <v>40151</v>
      </c>
      <c r="D26" s="60" t="s">
        <v>154</v>
      </c>
      <c r="E26" s="255">
        <v>140</v>
      </c>
      <c r="F26" s="255">
        <v>1</v>
      </c>
      <c r="G26" s="255">
        <v>11</v>
      </c>
      <c r="H26" s="167">
        <v>1761</v>
      </c>
      <c r="I26" s="168">
        <v>501</v>
      </c>
      <c r="J26" s="174">
        <f>I26/F26</f>
        <v>501</v>
      </c>
      <c r="K26" s="76">
        <f>H26/I26</f>
        <v>3.5149700598802394</v>
      </c>
      <c r="L26" s="75">
        <v>1040676.5</v>
      </c>
      <c r="M26" s="174">
        <v>133177</v>
      </c>
      <c r="N26" s="230">
        <f>+L26/M26</f>
        <v>7.8142359416415745</v>
      </c>
      <c r="O26" s="182">
        <v>1</v>
      </c>
    </row>
    <row r="27" spans="1:15" ht="15">
      <c r="A27" s="138">
        <v>24</v>
      </c>
      <c r="B27" s="229" t="s">
        <v>103</v>
      </c>
      <c r="C27" s="69">
        <v>40151</v>
      </c>
      <c r="D27" s="60" t="s">
        <v>154</v>
      </c>
      <c r="E27" s="255">
        <v>140</v>
      </c>
      <c r="F27" s="255">
        <v>3</v>
      </c>
      <c r="G27" s="255">
        <v>9</v>
      </c>
      <c r="H27" s="99">
        <v>1435.5</v>
      </c>
      <c r="I27" s="100">
        <v>375</v>
      </c>
      <c r="J27" s="128">
        <f>I27/F27</f>
        <v>125</v>
      </c>
      <c r="K27" s="74">
        <f>H27/I27</f>
        <v>3.828</v>
      </c>
      <c r="L27" s="101">
        <v>1038795.5</v>
      </c>
      <c r="M27" s="128">
        <v>132664</v>
      </c>
      <c r="N27" s="228">
        <f>L27/M27</f>
        <v>7.830274226617621</v>
      </c>
      <c r="O27" s="150">
        <v>1</v>
      </c>
    </row>
    <row r="28" spans="1:15" ht="15">
      <c r="A28" s="138">
        <v>25</v>
      </c>
      <c r="B28" s="229" t="s">
        <v>103</v>
      </c>
      <c r="C28" s="69">
        <v>40151</v>
      </c>
      <c r="D28" s="71" t="s">
        <v>154</v>
      </c>
      <c r="E28" s="255">
        <v>140</v>
      </c>
      <c r="F28" s="255">
        <v>3</v>
      </c>
      <c r="G28" s="255">
        <v>8</v>
      </c>
      <c r="H28" s="67">
        <v>946</v>
      </c>
      <c r="I28" s="63">
        <v>174</v>
      </c>
      <c r="J28" s="64">
        <f>IF(H28&lt;&gt;0,I28/F28,"")</f>
        <v>58</v>
      </c>
      <c r="K28" s="57">
        <f>IF(H28&lt;&gt;0,H28/I28,"")</f>
        <v>5.436781609195402</v>
      </c>
      <c r="L28" s="68">
        <v>1037360</v>
      </c>
      <c r="M28" s="65">
        <v>132289</v>
      </c>
      <c r="N28" s="227">
        <f>IF(L28&lt;&gt;0,L28/M28,"")</f>
        <v>7.841619484613233</v>
      </c>
      <c r="O28" s="149">
        <v>1</v>
      </c>
    </row>
    <row r="29" spans="1:15" ht="15">
      <c r="A29" s="138">
        <v>26</v>
      </c>
      <c r="B29" s="229" t="s">
        <v>23</v>
      </c>
      <c r="C29" s="69">
        <v>40151</v>
      </c>
      <c r="D29" s="60" t="s">
        <v>154</v>
      </c>
      <c r="E29" s="255">
        <v>140</v>
      </c>
      <c r="F29" s="255">
        <v>1</v>
      </c>
      <c r="G29" s="255">
        <v>10</v>
      </c>
      <c r="H29" s="145">
        <v>120</v>
      </c>
      <c r="I29" s="146">
        <v>12</v>
      </c>
      <c r="J29" s="128">
        <f>IF(H29&lt;&gt;0,I29/F29,"")</f>
        <v>12</v>
      </c>
      <c r="K29" s="74">
        <f>IF(H29&lt;&gt;0,H29/I29,"")</f>
        <v>10</v>
      </c>
      <c r="L29" s="101">
        <v>1038915.5</v>
      </c>
      <c r="M29" s="128">
        <v>132676</v>
      </c>
      <c r="N29" s="230">
        <f>IF(L29&lt;&gt;0,L29/M29,"")</f>
        <v>7.830470469414212</v>
      </c>
      <c r="O29" s="149">
        <v>1</v>
      </c>
    </row>
    <row r="30" spans="1:15" ht="15">
      <c r="A30" s="138">
        <v>27</v>
      </c>
      <c r="B30" s="229" t="s">
        <v>3</v>
      </c>
      <c r="C30" s="69">
        <v>40088</v>
      </c>
      <c r="D30" s="60" t="s">
        <v>53</v>
      </c>
      <c r="E30" s="255">
        <v>25</v>
      </c>
      <c r="F30" s="255">
        <v>1</v>
      </c>
      <c r="G30" s="255">
        <v>9</v>
      </c>
      <c r="H30" s="99">
        <v>1782</v>
      </c>
      <c r="I30" s="100">
        <v>356</v>
      </c>
      <c r="J30" s="128">
        <f>I30/F30</f>
        <v>356</v>
      </c>
      <c r="K30" s="74">
        <f>H30/I30</f>
        <v>5.00561797752809</v>
      </c>
      <c r="L30" s="101">
        <v>41396.25</v>
      </c>
      <c r="M30" s="128">
        <v>6864</v>
      </c>
      <c r="N30" s="228">
        <f aca="true" t="shared" si="2" ref="N30:N36">L30/M30</f>
        <v>6.0309222027972025</v>
      </c>
      <c r="O30" s="151">
        <v>1</v>
      </c>
    </row>
    <row r="31" spans="1:15" ht="15">
      <c r="A31" s="138">
        <v>28</v>
      </c>
      <c r="B31" s="229" t="s">
        <v>92</v>
      </c>
      <c r="C31" s="69">
        <v>40165</v>
      </c>
      <c r="D31" s="71" t="s">
        <v>152</v>
      </c>
      <c r="E31" s="255">
        <v>74</v>
      </c>
      <c r="F31" s="255">
        <v>63</v>
      </c>
      <c r="G31" s="255">
        <v>3</v>
      </c>
      <c r="H31" s="54">
        <v>124291.75</v>
      </c>
      <c r="I31" s="55">
        <v>14864</v>
      </c>
      <c r="J31" s="56">
        <f>(I31/F31)</f>
        <v>235.93650793650792</v>
      </c>
      <c r="K31" s="57">
        <f>H31/I31</f>
        <v>8.361931512378902</v>
      </c>
      <c r="L31" s="58">
        <f>507128.25+345268.5+124291.75</f>
        <v>976688.5</v>
      </c>
      <c r="M31" s="59">
        <f>53408+37346+14864</f>
        <v>105618</v>
      </c>
      <c r="N31" s="227">
        <f t="shared" si="2"/>
        <v>9.247367872900453</v>
      </c>
      <c r="O31" s="147">
        <v>1</v>
      </c>
    </row>
    <row r="32" spans="1:15" ht="15">
      <c r="A32" s="138">
        <v>29</v>
      </c>
      <c r="B32" s="229" t="s">
        <v>92</v>
      </c>
      <c r="C32" s="69">
        <v>40165</v>
      </c>
      <c r="D32" s="70" t="s">
        <v>152</v>
      </c>
      <c r="E32" s="255">
        <v>74</v>
      </c>
      <c r="F32" s="255">
        <v>74</v>
      </c>
      <c r="G32" s="255">
        <v>4</v>
      </c>
      <c r="H32" s="54">
        <v>100787</v>
      </c>
      <c r="I32" s="55">
        <v>15043</v>
      </c>
      <c r="J32" s="56">
        <f>(I32/F32)</f>
        <v>203.28378378378378</v>
      </c>
      <c r="K32" s="61">
        <f>H32/I32</f>
        <v>6.699926876287974</v>
      </c>
      <c r="L32" s="58">
        <f>507128.25+345268.5+124291.75+100787</f>
        <v>1077475.5</v>
      </c>
      <c r="M32" s="59">
        <f>53408+37346+14864+15043</f>
        <v>120661</v>
      </c>
      <c r="N32" s="226">
        <f t="shared" si="2"/>
        <v>8.929774326418643</v>
      </c>
      <c r="O32" s="147">
        <v>1</v>
      </c>
    </row>
    <row r="33" spans="1:15" ht="15">
      <c r="A33" s="138">
        <v>30</v>
      </c>
      <c r="B33" s="231" t="s">
        <v>92</v>
      </c>
      <c r="C33" s="85">
        <v>40165</v>
      </c>
      <c r="D33" s="86" t="s">
        <v>152</v>
      </c>
      <c r="E33" s="256">
        <v>74</v>
      </c>
      <c r="F33" s="256">
        <v>53</v>
      </c>
      <c r="G33" s="256">
        <v>5</v>
      </c>
      <c r="H33" s="54">
        <v>70944</v>
      </c>
      <c r="I33" s="63">
        <v>11010</v>
      </c>
      <c r="J33" s="64">
        <f>(I33/F33)</f>
        <v>207.73584905660377</v>
      </c>
      <c r="K33" s="57">
        <f>H33/I33</f>
        <v>6.443596730245232</v>
      </c>
      <c r="L33" s="58">
        <f>507128.25+345268.5+124291.75+100787+70944</f>
        <v>1148419.5</v>
      </c>
      <c r="M33" s="65">
        <f>53408+37346+14864+15043+11010</f>
        <v>131671</v>
      </c>
      <c r="N33" s="227">
        <f t="shared" si="2"/>
        <v>8.72188636829674</v>
      </c>
      <c r="O33" s="149">
        <v>1</v>
      </c>
    </row>
    <row r="34" spans="1:15" ht="15">
      <c r="A34" s="138">
        <v>31</v>
      </c>
      <c r="B34" s="229" t="s">
        <v>54</v>
      </c>
      <c r="C34" s="69">
        <v>40165</v>
      </c>
      <c r="D34" s="71" t="s">
        <v>152</v>
      </c>
      <c r="E34" s="255">
        <v>74</v>
      </c>
      <c r="F34" s="255">
        <v>21</v>
      </c>
      <c r="G34" s="255">
        <v>6</v>
      </c>
      <c r="H34" s="67">
        <v>12241</v>
      </c>
      <c r="I34" s="63">
        <v>2268</v>
      </c>
      <c r="J34" s="64">
        <f>(I34/F34)</f>
        <v>108</v>
      </c>
      <c r="K34" s="57">
        <f>H34/I34</f>
        <v>5.39726631393298</v>
      </c>
      <c r="L34" s="68">
        <f>507128.25+345268.5+124291.75+100787+70944+12241</f>
        <v>1160660.5</v>
      </c>
      <c r="M34" s="65">
        <f>53408+37346+14864+15043+11010+2268</f>
        <v>133939</v>
      </c>
      <c r="N34" s="227">
        <f t="shared" si="2"/>
        <v>8.665590306034836</v>
      </c>
      <c r="O34" s="149">
        <v>1</v>
      </c>
    </row>
    <row r="35" spans="1:15" ht="15">
      <c r="A35" s="138">
        <v>32</v>
      </c>
      <c r="B35" s="231" t="s">
        <v>0</v>
      </c>
      <c r="C35" s="85">
        <v>40165</v>
      </c>
      <c r="D35" s="86" t="s">
        <v>152</v>
      </c>
      <c r="E35" s="256">
        <v>74</v>
      </c>
      <c r="F35" s="256">
        <v>15</v>
      </c>
      <c r="G35" s="256">
        <v>7</v>
      </c>
      <c r="H35" s="67">
        <v>11639</v>
      </c>
      <c r="I35" s="63">
        <v>2130</v>
      </c>
      <c r="J35" s="64">
        <f>(I35/F35)</f>
        <v>142</v>
      </c>
      <c r="K35" s="74">
        <f>+H35/I35</f>
        <v>5.464319248826291</v>
      </c>
      <c r="L35" s="68">
        <f>507128.25+345268.5+124291.75+100787+70944+12241+11639</f>
        <v>1172299.5</v>
      </c>
      <c r="M35" s="65">
        <f>53408+37346+14864+15043+11010+2268+2130</f>
        <v>136069</v>
      </c>
      <c r="N35" s="232">
        <f t="shared" si="2"/>
        <v>8.615478176513387</v>
      </c>
      <c r="O35" s="150">
        <v>1</v>
      </c>
    </row>
    <row r="36" spans="1:15" ht="15">
      <c r="A36" s="138">
        <v>33</v>
      </c>
      <c r="B36" s="229" t="s">
        <v>92</v>
      </c>
      <c r="C36" s="69">
        <v>40165</v>
      </c>
      <c r="D36" s="60" t="s">
        <v>152</v>
      </c>
      <c r="E36" s="255">
        <v>74</v>
      </c>
      <c r="F36" s="255">
        <v>14</v>
      </c>
      <c r="G36" s="255">
        <v>8</v>
      </c>
      <c r="H36" s="145">
        <v>8352</v>
      </c>
      <c r="I36" s="146">
        <v>1478</v>
      </c>
      <c r="J36" s="128">
        <f>I36/F36</f>
        <v>105.57142857142857</v>
      </c>
      <c r="K36" s="74">
        <f>+H36/I36</f>
        <v>5.650879566982408</v>
      </c>
      <c r="L36" s="101">
        <f>507128.25+345268.5+124291.75+100787+70944+12241+11639+8352</f>
        <v>1180651.5</v>
      </c>
      <c r="M36" s="128">
        <f>53408+37346+14864+15043+11010+2268+2130+1478</f>
        <v>137547</v>
      </c>
      <c r="N36" s="230">
        <f t="shared" si="2"/>
        <v>8.583622325459661</v>
      </c>
      <c r="O36" s="149">
        <v>1</v>
      </c>
    </row>
    <row r="37" spans="1:15" ht="15">
      <c r="A37" s="138">
        <v>34</v>
      </c>
      <c r="B37" s="229" t="s">
        <v>92</v>
      </c>
      <c r="C37" s="69">
        <v>40165</v>
      </c>
      <c r="D37" s="60" t="s">
        <v>152</v>
      </c>
      <c r="E37" s="255">
        <v>74</v>
      </c>
      <c r="F37" s="255">
        <v>2</v>
      </c>
      <c r="G37" s="255">
        <v>10</v>
      </c>
      <c r="H37" s="167">
        <v>3277</v>
      </c>
      <c r="I37" s="168">
        <v>598</v>
      </c>
      <c r="J37" s="174">
        <f>I37/F37</f>
        <v>299</v>
      </c>
      <c r="K37" s="76">
        <f aca="true" t="shared" si="3" ref="K37:K43">H37/I37</f>
        <v>5.4799331103678925</v>
      </c>
      <c r="L37" s="75">
        <f>507128.25+345268.5+124291.75+100787+70944+12241+11639+8352+766+3277</f>
        <v>1184694.5</v>
      </c>
      <c r="M37" s="174">
        <f>53408+37346+14864+15043+11010+2268+2130+1478+133+598</f>
        <v>138278</v>
      </c>
      <c r="N37" s="230">
        <f>+L37/M37</f>
        <v>8.567483619954006</v>
      </c>
      <c r="O37" s="177">
        <v>1</v>
      </c>
    </row>
    <row r="38" spans="1:15" ht="15">
      <c r="A38" s="138">
        <v>35</v>
      </c>
      <c r="B38" s="229" t="s">
        <v>92</v>
      </c>
      <c r="C38" s="69">
        <v>40165</v>
      </c>
      <c r="D38" s="60" t="s">
        <v>152</v>
      </c>
      <c r="E38" s="255">
        <v>74</v>
      </c>
      <c r="F38" s="255">
        <v>1</v>
      </c>
      <c r="G38" s="255">
        <v>9</v>
      </c>
      <c r="H38" s="167">
        <v>766</v>
      </c>
      <c r="I38" s="168">
        <v>133</v>
      </c>
      <c r="J38" s="174">
        <f>(I38/F38)</f>
        <v>133</v>
      </c>
      <c r="K38" s="76">
        <f t="shared" si="3"/>
        <v>5.7593984962406015</v>
      </c>
      <c r="L38" s="75">
        <f>507128.25+345268.5+124291.75+100787+70944+12241+11639+8352+766</f>
        <v>1181417.5</v>
      </c>
      <c r="M38" s="174">
        <f>53408+37346+14864+15043+11010+2268+2130+1478+133</f>
        <v>137680</v>
      </c>
      <c r="N38" s="230">
        <f>L38/M38</f>
        <v>8.580894102266125</v>
      </c>
      <c r="O38" s="147">
        <v>1</v>
      </c>
    </row>
    <row r="39" spans="1:15" ht="15">
      <c r="A39" s="138">
        <v>36</v>
      </c>
      <c r="B39" s="229" t="s">
        <v>92</v>
      </c>
      <c r="C39" s="169">
        <v>40165</v>
      </c>
      <c r="D39" s="60" t="s">
        <v>152</v>
      </c>
      <c r="E39" s="210">
        <v>74</v>
      </c>
      <c r="F39" s="210">
        <v>1</v>
      </c>
      <c r="G39" s="210">
        <v>12</v>
      </c>
      <c r="H39" s="171">
        <v>87</v>
      </c>
      <c r="I39" s="172">
        <v>29</v>
      </c>
      <c r="J39" s="174">
        <f>(I39/F39)</f>
        <v>29</v>
      </c>
      <c r="K39" s="76">
        <f t="shared" si="3"/>
        <v>3</v>
      </c>
      <c r="L39" s="75">
        <f>507128.25+345268.5+124291.75+100787+70944+12241+11639+8352+766+3277+69+87</f>
        <v>1184850.5</v>
      </c>
      <c r="M39" s="174">
        <f>53408+37346+14864+15043+11010+2268+2130+1478+133+598+23+29</f>
        <v>138330</v>
      </c>
      <c r="N39" s="230">
        <f>+L39/M39</f>
        <v>8.565390732306803</v>
      </c>
      <c r="O39" s="180">
        <v>1</v>
      </c>
    </row>
    <row r="40" spans="1:15" ht="15">
      <c r="A40" s="138">
        <v>37</v>
      </c>
      <c r="B40" s="229" t="s">
        <v>92</v>
      </c>
      <c r="C40" s="169">
        <v>40165</v>
      </c>
      <c r="D40" s="60" t="s">
        <v>152</v>
      </c>
      <c r="E40" s="210">
        <v>74</v>
      </c>
      <c r="F40" s="210">
        <v>1</v>
      </c>
      <c r="G40" s="210">
        <v>11</v>
      </c>
      <c r="H40" s="171">
        <v>69</v>
      </c>
      <c r="I40" s="172">
        <v>23</v>
      </c>
      <c r="J40" s="174">
        <f>(I40/F40)</f>
        <v>23</v>
      </c>
      <c r="K40" s="76">
        <f t="shared" si="3"/>
        <v>3</v>
      </c>
      <c r="L40" s="75">
        <f>507128.25+345268.5+124291.75+100787+70944+12241+11639+8352+766+3277+69</f>
        <v>1184763.5</v>
      </c>
      <c r="M40" s="174">
        <f>53408+37346+14864+15043+11010+2268+2130+1478+133+598+23</f>
        <v>138301</v>
      </c>
      <c r="N40" s="230">
        <f>L40/M40</f>
        <v>8.566557725540669</v>
      </c>
      <c r="O40" s="181">
        <v>1</v>
      </c>
    </row>
    <row r="41" spans="1:15" ht="15">
      <c r="A41" s="138">
        <v>38</v>
      </c>
      <c r="B41" s="235" t="s">
        <v>98</v>
      </c>
      <c r="C41" s="52">
        <v>40151</v>
      </c>
      <c r="D41" s="87" t="s">
        <v>129</v>
      </c>
      <c r="E41" s="257">
        <v>128</v>
      </c>
      <c r="F41" s="257">
        <v>14</v>
      </c>
      <c r="G41" s="257">
        <v>5</v>
      </c>
      <c r="H41" s="88">
        <v>10820.5</v>
      </c>
      <c r="I41" s="89">
        <v>2203</v>
      </c>
      <c r="J41" s="90">
        <f aca="true" t="shared" si="4" ref="J41:J47">I41/F41</f>
        <v>157.35714285714286</v>
      </c>
      <c r="K41" s="91">
        <f t="shared" si="3"/>
        <v>4.911711302768952</v>
      </c>
      <c r="L41" s="92">
        <v>1602521</v>
      </c>
      <c r="M41" s="93">
        <v>185512</v>
      </c>
      <c r="N41" s="236">
        <f>+L41/M41</f>
        <v>8.638368407434559</v>
      </c>
      <c r="O41" s="147">
        <v>1</v>
      </c>
    </row>
    <row r="42" spans="1:15" ht="15">
      <c r="A42" s="138">
        <v>39</v>
      </c>
      <c r="B42" s="235" t="s">
        <v>98</v>
      </c>
      <c r="C42" s="52">
        <v>40151</v>
      </c>
      <c r="D42" s="94" t="s">
        <v>129</v>
      </c>
      <c r="E42" s="257">
        <v>128</v>
      </c>
      <c r="F42" s="257">
        <v>13</v>
      </c>
      <c r="G42" s="257">
        <v>6</v>
      </c>
      <c r="H42" s="88">
        <v>10811</v>
      </c>
      <c r="I42" s="89">
        <v>1908</v>
      </c>
      <c r="J42" s="90">
        <f t="shared" si="4"/>
        <v>146.76923076923077</v>
      </c>
      <c r="K42" s="95">
        <f t="shared" si="3"/>
        <v>5.666142557651992</v>
      </c>
      <c r="L42" s="92">
        <v>1613332</v>
      </c>
      <c r="M42" s="93">
        <v>187420</v>
      </c>
      <c r="N42" s="234">
        <f>IF(L42&lt;&gt;0,L42/M42,"")</f>
        <v>8.608110126987516</v>
      </c>
      <c r="O42" s="148">
        <v>1</v>
      </c>
    </row>
    <row r="43" spans="1:15" ht="15">
      <c r="A43" s="138">
        <v>40</v>
      </c>
      <c r="B43" s="235" t="s">
        <v>98</v>
      </c>
      <c r="C43" s="52">
        <v>40151</v>
      </c>
      <c r="D43" s="94" t="s">
        <v>129</v>
      </c>
      <c r="E43" s="257">
        <v>128</v>
      </c>
      <c r="F43" s="257">
        <v>7</v>
      </c>
      <c r="G43" s="257">
        <v>7</v>
      </c>
      <c r="H43" s="88">
        <v>8704</v>
      </c>
      <c r="I43" s="96">
        <v>1365</v>
      </c>
      <c r="J43" s="97">
        <f t="shared" si="4"/>
        <v>195</v>
      </c>
      <c r="K43" s="91">
        <f t="shared" si="3"/>
        <v>6.376556776556777</v>
      </c>
      <c r="L43" s="92">
        <v>1622035.5</v>
      </c>
      <c r="M43" s="98">
        <v>188785</v>
      </c>
      <c r="N43" s="233">
        <f>IF(L43&lt;&gt;0,L43/M43,"")</f>
        <v>8.591972349498107</v>
      </c>
      <c r="O43" s="149">
        <v>1</v>
      </c>
    </row>
    <row r="44" spans="1:15" ht="15">
      <c r="A44" s="138">
        <v>41</v>
      </c>
      <c r="B44" s="229" t="s">
        <v>165</v>
      </c>
      <c r="C44" s="69">
        <v>40151</v>
      </c>
      <c r="D44" s="60" t="s">
        <v>129</v>
      </c>
      <c r="E44" s="255">
        <v>128</v>
      </c>
      <c r="F44" s="255">
        <v>8</v>
      </c>
      <c r="G44" s="255">
        <v>10</v>
      </c>
      <c r="H44" s="145">
        <v>6128</v>
      </c>
      <c r="I44" s="146">
        <v>1096</v>
      </c>
      <c r="J44" s="128">
        <f t="shared" si="4"/>
        <v>137</v>
      </c>
      <c r="K44" s="74">
        <f>+H44/I44</f>
        <v>5.591240875912408</v>
      </c>
      <c r="L44" s="101">
        <v>1635532.5</v>
      </c>
      <c r="M44" s="128">
        <v>191618</v>
      </c>
      <c r="N44" s="230">
        <f>+L44/M44</f>
        <v>8.535380287864397</v>
      </c>
      <c r="O44" s="149">
        <v>1</v>
      </c>
    </row>
    <row r="45" spans="1:15" ht="15">
      <c r="A45" s="138">
        <v>42</v>
      </c>
      <c r="B45" s="235" t="s">
        <v>98</v>
      </c>
      <c r="C45" s="69">
        <v>40151</v>
      </c>
      <c r="D45" s="66" t="s">
        <v>129</v>
      </c>
      <c r="E45" s="255">
        <v>128</v>
      </c>
      <c r="F45" s="255">
        <v>6</v>
      </c>
      <c r="G45" s="255">
        <v>8</v>
      </c>
      <c r="H45" s="99">
        <v>5193</v>
      </c>
      <c r="I45" s="100">
        <v>1233</v>
      </c>
      <c r="J45" s="64">
        <f t="shared" si="4"/>
        <v>205.5</v>
      </c>
      <c r="K45" s="57">
        <f>H45/I45</f>
        <v>4.211678832116788</v>
      </c>
      <c r="L45" s="101">
        <v>1627228.5</v>
      </c>
      <c r="M45" s="128">
        <v>190018</v>
      </c>
      <c r="N45" s="227">
        <f>+L45/M45</f>
        <v>8.563549242703322</v>
      </c>
      <c r="O45" s="149">
        <v>1</v>
      </c>
    </row>
    <row r="46" spans="1:15" ht="15">
      <c r="A46" s="138">
        <v>43</v>
      </c>
      <c r="B46" s="235" t="s">
        <v>98</v>
      </c>
      <c r="C46" s="69">
        <v>40151</v>
      </c>
      <c r="D46" s="60" t="s">
        <v>129</v>
      </c>
      <c r="E46" s="255">
        <v>128</v>
      </c>
      <c r="F46" s="255">
        <v>4</v>
      </c>
      <c r="G46" s="255">
        <v>8</v>
      </c>
      <c r="H46" s="99">
        <v>2176</v>
      </c>
      <c r="I46" s="100">
        <v>504</v>
      </c>
      <c r="J46" s="128">
        <f t="shared" si="4"/>
        <v>126</v>
      </c>
      <c r="K46" s="74">
        <f>H46/I46</f>
        <v>4.317460317460317</v>
      </c>
      <c r="L46" s="101">
        <v>1629405.5</v>
      </c>
      <c r="M46" s="128">
        <v>190522</v>
      </c>
      <c r="N46" s="228">
        <f>L46/M46</f>
        <v>8.552322041549008</v>
      </c>
      <c r="O46" s="151">
        <v>1</v>
      </c>
    </row>
    <row r="47" spans="1:15" ht="15">
      <c r="A47" s="138">
        <v>44</v>
      </c>
      <c r="B47" s="229" t="s">
        <v>165</v>
      </c>
      <c r="C47" s="69">
        <v>40151</v>
      </c>
      <c r="D47" s="60" t="s">
        <v>129</v>
      </c>
      <c r="E47" s="255">
        <v>128</v>
      </c>
      <c r="F47" s="255">
        <v>2</v>
      </c>
      <c r="G47" s="255">
        <v>11</v>
      </c>
      <c r="H47" s="167">
        <v>307</v>
      </c>
      <c r="I47" s="168">
        <v>54</v>
      </c>
      <c r="J47" s="174">
        <f t="shared" si="4"/>
        <v>27</v>
      </c>
      <c r="K47" s="76">
        <f>H47/I47</f>
        <v>5.685185185185185</v>
      </c>
      <c r="L47" s="75">
        <v>1635839.5</v>
      </c>
      <c r="M47" s="174">
        <v>191672</v>
      </c>
      <c r="N47" s="230">
        <f>+L47/M47</f>
        <v>8.534577298718645</v>
      </c>
      <c r="O47" s="147">
        <v>1</v>
      </c>
    </row>
    <row r="48" spans="1:15" ht="15">
      <c r="A48" s="138">
        <v>45</v>
      </c>
      <c r="B48" s="231" t="s">
        <v>67</v>
      </c>
      <c r="C48" s="85">
        <v>40067</v>
      </c>
      <c r="D48" s="86" t="s">
        <v>152</v>
      </c>
      <c r="E48" s="256">
        <v>51</v>
      </c>
      <c r="F48" s="256">
        <v>2</v>
      </c>
      <c r="G48" s="256">
        <v>20</v>
      </c>
      <c r="H48" s="67">
        <v>4061</v>
      </c>
      <c r="I48" s="63">
        <v>931</v>
      </c>
      <c r="J48" s="64">
        <f>(I48/F48)</f>
        <v>465.5</v>
      </c>
      <c r="K48" s="74">
        <f>+H48/I48</f>
        <v>4.361976369495166</v>
      </c>
      <c r="L48" s="68">
        <f>182949+180053+29827+20114+26140.5+10395.5+4671+3342+2340+5520+249.5+165+3602+91+952+1264+44+1663+1188+4061</f>
        <v>478631.5</v>
      </c>
      <c r="M48" s="65">
        <f>18625+17802+3355+2859+3903+1800+782+594+465+1366+90+60+905+15+238+316+11+244+297+931</f>
        <v>54658</v>
      </c>
      <c r="N48" s="232">
        <f aca="true" t="shared" si="5" ref="N48:N59">L48/M48</f>
        <v>8.756842548208862</v>
      </c>
      <c r="O48" s="150"/>
    </row>
    <row r="49" spans="1:15" ht="15">
      <c r="A49" s="138">
        <v>46</v>
      </c>
      <c r="B49" s="229" t="s">
        <v>67</v>
      </c>
      <c r="C49" s="69">
        <v>40067</v>
      </c>
      <c r="D49" s="60" t="s">
        <v>152</v>
      </c>
      <c r="E49" s="255">
        <v>51</v>
      </c>
      <c r="F49" s="255">
        <v>2</v>
      </c>
      <c r="G49" s="255">
        <v>21</v>
      </c>
      <c r="H49" s="145">
        <v>2382</v>
      </c>
      <c r="I49" s="146">
        <v>573</v>
      </c>
      <c r="J49" s="128">
        <f>I49/F49</f>
        <v>286.5</v>
      </c>
      <c r="K49" s="74">
        <f>+H49/I49</f>
        <v>4.157068062827225</v>
      </c>
      <c r="L49" s="101">
        <f>182949+180053+29827+20114+26140.5+10395.5+4671+3342+2340+5520+249.5+165+3602+91+952+1264+44+1663+1188+4061+2382</f>
        <v>481013.5</v>
      </c>
      <c r="M49" s="128">
        <f>18625+17802+3355+2859+3903+1800+782+594+465+1366+90+60+905+15+238+316+11+244+297+931+573</f>
        <v>55231</v>
      </c>
      <c r="N49" s="230">
        <f t="shared" si="5"/>
        <v>8.709121688906592</v>
      </c>
      <c r="O49" s="149"/>
    </row>
    <row r="50" spans="1:15" ht="15">
      <c r="A50" s="138">
        <v>47</v>
      </c>
      <c r="B50" s="229" t="s">
        <v>67</v>
      </c>
      <c r="C50" s="69">
        <v>40067</v>
      </c>
      <c r="D50" s="60" t="s">
        <v>152</v>
      </c>
      <c r="E50" s="255">
        <v>51</v>
      </c>
      <c r="F50" s="255">
        <v>1</v>
      </c>
      <c r="G50" s="255">
        <v>22</v>
      </c>
      <c r="H50" s="167">
        <v>2020</v>
      </c>
      <c r="I50" s="168">
        <v>505</v>
      </c>
      <c r="J50" s="174">
        <f aca="true" t="shared" si="6" ref="J50:J57">(I50/F50)</f>
        <v>505</v>
      </c>
      <c r="K50" s="76">
        <f aca="true" t="shared" si="7" ref="K50:K56">H50/I50</f>
        <v>4</v>
      </c>
      <c r="L50" s="75">
        <f>182949+180053+29827+20114+26140.5+10395.5+4671+3342+2340+5520+249.5+165+3602+91+952+1264+44+1663+1188+4061+2382+2020</f>
        <v>483033.5</v>
      </c>
      <c r="M50" s="174">
        <f>18625+17802+3355+2859+3903+1800+782+594+465+1366+90+60+905+15+238+316+11+244+297+931+573+505</f>
        <v>55736</v>
      </c>
      <c r="N50" s="230">
        <f t="shared" si="5"/>
        <v>8.666454356250897</v>
      </c>
      <c r="O50" s="147"/>
    </row>
    <row r="51" spans="1:15" ht="15">
      <c r="A51" s="138">
        <v>48</v>
      </c>
      <c r="B51" s="229" t="s">
        <v>67</v>
      </c>
      <c r="C51" s="69">
        <v>40067</v>
      </c>
      <c r="D51" s="70" t="s">
        <v>152</v>
      </c>
      <c r="E51" s="255">
        <v>51</v>
      </c>
      <c r="F51" s="255">
        <v>1</v>
      </c>
      <c r="G51" s="255">
        <v>18</v>
      </c>
      <c r="H51" s="54">
        <v>1663</v>
      </c>
      <c r="I51" s="63">
        <v>244</v>
      </c>
      <c r="J51" s="64">
        <f t="shared" si="6"/>
        <v>244</v>
      </c>
      <c r="K51" s="57">
        <f t="shared" si="7"/>
        <v>6.815573770491803</v>
      </c>
      <c r="L51" s="58">
        <f>182949+180053+29827+20114+26140.5+10395.5+4671+3342+2340+5520+249.5+165+3602+91+952+1264+44+1663</f>
        <v>473382.5</v>
      </c>
      <c r="M51" s="65">
        <f>18625+17802+3355+2859+3903+1800+782+594+465+1366+90+60+905+15+238+316+11+244</f>
        <v>53430</v>
      </c>
      <c r="N51" s="227">
        <f t="shared" si="5"/>
        <v>8.859863372637095</v>
      </c>
      <c r="O51" s="149"/>
    </row>
    <row r="52" spans="1:15" ht="15">
      <c r="A52" s="138">
        <v>49</v>
      </c>
      <c r="B52" s="229" t="s">
        <v>67</v>
      </c>
      <c r="C52" s="69">
        <v>40067</v>
      </c>
      <c r="D52" s="71" t="s">
        <v>152</v>
      </c>
      <c r="E52" s="255">
        <v>51</v>
      </c>
      <c r="F52" s="255">
        <v>2</v>
      </c>
      <c r="G52" s="255">
        <v>16</v>
      </c>
      <c r="H52" s="54">
        <v>1264</v>
      </c>
      <c r="I52" s="55">
        <v>316</v>
      </c>
      <c r="J52" s="56">
        <f t="shared" si="6"/>
        <v>158</v>
      </c>
      <c r="K52" s="57">
        <f t="shared" si="7"/>
        <v>4</v>
      </c>
      <c r="L52" s="58">
        <f>182949+180053+29827+20114+26140.5+10395.5+4671+3342+2340+5520+249.5+165+3602+91+952+1264</f>
        <v>471675.5</v>
      </c>
      <c r="M52" s="59">
        <f>18625+17802+3355+2859+3903+1800+782+594+465+1366+90+60+905+15+238+316</f>
        <v>53175</v>
      </c>
      <c r="N52" s="227">
        <f t="shared" si="5"/>
        <v>8.870249177244945</v>
      </c>
      <c r="O52" s="147"/>
    </row>
    <row r="53" spans="1:15" ht="15">
      <c r="A53" s="138">
        <v>50</v>
      </c>
      <c r="B53" s="229" t="s">
        <v>67</v>
      </c>
      <c r="C53" s="69">
        <v>40067</v>
      </c>
      <c r="D53" s="71" t="s">
        <v>152</v>
      </c>
      <c r="E53" s="255">
        <v>51</v>
      </c>
      <c r="F53" s="255">
        <v>1</v>
      </c>
      <c r="G53" s="255">
        <v>19</v>
      </c>
      <c r="H53" s="67">
        <v>1188</v>
      </c>
      <c r="I53" s="63">
        <v>297</v>
      </c>
      <c r="J53" s="64">
        <f t="shared" si="6"/>
        <v>297</v>
      </c>
      <c r="K53" s="57">
        <f t="shared" si="7"/>
        <v>4</v>
      </c>
      <c r="L53" s="68">
        <f>182949+180053+29827+20114+26140.5+10395.5+4671+3342+2340+5520+249.5+165+3602+91+952+1264+44+1663+1188</f>
        <v>474570.5</v>
      </c>
      <c r="M53" s="65">
        <f>18625+17802+3355+2859+3903+1800+782+594+465+1366+90+60+905+15+238+316+11+244+297</f>
        <v>53727</v>
      </c>
      <c r="N53" s="227">
        <f t="shared" si="5"/>
        <v>8.832998306251978</v>
      </c>
      <c r="O53" s="149"/>
    </row>
    <row r="54" spans="1:15" ht="15">
      <c r="A54" s="138">
        <v>51</v>
      </c>
      <c r="B54" s="229" t="s">
        <v>67</v>
      </c>
      <c r="C54" s="69">
        <v>40067</v>
      </c>
      <c r="D54" s="70" t="s">
        <v>152</v>
      </c>
      <c r="E54" s="255">
        <v>51</v>
      </c>
      <c r="F54" s="255">
        <v>1</v>
      </c>
      <c r="G54" s="255">
        <v>17</v>
      </c>
      <c r="H54" s="54">
        <v>44</v>
      </c>
      <c r="I54" s="55">
        <v>11</v>
      </c>
      <c r="J54" s="56">
        <f t="shared" si="6"/>
        <v>11</v>
      </c>
      <c r="K54" s="61">
        <f t="shared" si="7"/>
        <v>4</v>
      </c>
      <c r="L54" s="58">
        <f>182949+180053+29827+20114+26140.5+10395.5+4671+3342+2340+5520+249.5+165+3602+91+952+1264+44</f>
        <v>471719.5</v>
      </c>
      <c r="M54" s="59">
        <f>18625+17802+3355+2859+3903+1800+782+594+465+1366+90+60+905+15+238+316+11</f>
        <v>53186</v>
      </c>
      <c r="N54" s="226">
        <f t="shared" si="5"/>
        <v>8.869241905764675</v>
      </c>
      <c r="O54" s="147"/>
    </row>
    <row r="55" spans="1:15" ht="15">
      <c r="A55" s="138">
        <v>52</v>
      </c>
      <c r="B55" s="229" t="s">
        <v>87</v>
      </c>
      <c r="C55" s="69">
        <v>40172</v>
      </c>
      <c r="D55" s="71" t="s">
        <v>152</v>
      </c>
      <c r="E55" s="255">
        <v>60</v>
      </c>
      <c r="F55" s="255">
        <v>60</v>
      </c>
      <c r="G55" s="255">
        <v>2</v>
      </c>
      <c r="H55" s="54">
        <v>397159.5</v>
      </c>
      <c r="I55" s="55">
        <v>40733</v>
      </c>
      <c r="J55" s="56">
        <f t="shared" si="6"/>
        <v>678.8833333333333</v>
      </c>
      <c r="K55" s="57">
        <f t="shared" si="7"/>
        <v>9.750313014018118</v>
      </c>
      <c r="L55" s="58">
        <f>421775.5+397159.5</f>
        <v>818935</v>
      </c>
      <c r="M55" s="59">
        <f>43739+40733</f>
        <v>84472</v>
      </c>
      <c r="N55" s="227">
        <f t="shared" si="5"/>
        <v>9.694750923382896</v>
      </c>
      <c r="O55" s="147"/>
    </row>
    <row r="56" spans="1:15" ht="15">
      <c r="A56" s="138">
        <v>53</v>
      </c>
      <c r="B56" s="229" t="s">
        <v>87</v>
      </c>
      <c r="C56" s="69">
        <v>40172</v>
      </c>
      <c r="D56" s="71" t="s">
        <v>152</v>
      </c>
      <c r="E56" s="255">
        <v>60</v>
      </c>
      <c r="F56" s="255">
        <v>60</v>
      </c>
      <c r="G56" s="255">
        <v>3</v>
      </c>
      <c r="H56" s="54">
        <v>287050</v>
      </c>
      <c r="I56" s="55">
        <v>31780</v>
      </c>
      <c r="J56" s="56">
        <f t="shared" si="6"/>
        <v>529.6666666666666</v>
      </c>
      <c r="K56" s="61">
        <f t="shared" si="7"/>
        <v>9.032410320956576</v>
      </c>
      <c r="L56" s="58">
        <f>421775.5+397095.5+287050</f>
        <v>1105921</v>
      </c>
      <c r="M56" s="59">
        <f>43739+40732+31780</f>
        <v>116251</v>
      </c>
      <c r="N56" s="226">
        <f t="shared" si="5"/>
        <v>9.513217090605671</v>
      </c>
      <c r="O56" s="147"/>
    </row>
    <row r="57" spans="1:15" ht="15">
      <c r="A57" s="138">
        <v>54</v>
      </c>
      <c r="B57" s="229" t="s">
        <v>87</v>
      </c>
      <c r="C57" s="85">
        <v>40172</v>
      </c>
      <c r="D57" s="86" t="s">
        <v>152</v>
      </c>
      <c r="E57" s="256">
        <v>60</v>
      </c>
      <c r="F57" s="256">
        <v>60</v>
      </c>
      <c r="G57" s="256">
        <v>6</v>
      </c>
      <c r="H57" s="67">
        <v>180729.5</v>
      </c>
      <c r="I57" s="63">
        <v>24895</v>
      </c>
      <c r="J57" s="64">
        <f t="shared" si="6"/>
        <v>414.9166666666667</v>
      </c>
      <c r="K57" s="74">
        <f>+H57/I57</f>
        <v>7.259670616589677</v>
      </c>
      <c r="L57" s="68">
        <f>421775.5+397095.5+287050+215248.5+189819.5+180729.5</f>
        <v>1691718.5</v>
      </c>
      <c r="M57" s="65">
        <f>43739+40732+31780+27356+25902+24895</f>
        <v>194404</v>
      </c>
      <c r="N57" s="232">
        <f t="shared" si="5"/>
        <v>8.702076603362071</v>
      </c>
      <c r="O57" s="150"/>
    </row>
    <row r="58" spans="1:15" ht="15">
      <c r="A58" s="138">
        <v>55</v>
      </c>
      <c r="B58" s="229" t="s">
        <v>87</v>
      </c>
      <c r="C58" s="69">
        <v>40172</v>
      </c>
      <c r="D58" s="60" t="s">
        <v>152</v>
      </c>
      <c r="E58" s="255">
        <v>60</v>
      </c>
      <c r="F58" s="255">
        <v>60</v>
      </c>
      <c r="G58" s="255">
        <v>7</v>
      </c>
      <c r="H58" s="145">
        <v>86816.5</v>
      </c>
      <c r="I58" s="146">
        <v>12153</v>
      </c>
      <c r="J58" s="128">
        <f>I58/F58</f>
        <v>202.55</v>
      </c>
      <c r="K58" s="74">
        <f>+H58/I58</f>
        <v>7.14362708796182</v>
      </c>
      <c r="L58" s="101">
        <f>421775.5+397095.5+287050+215248.5+189819.5+180729.5+86816.5</f>
        <v>1778535</v>
      </c>
      <c r="M58" s="128">
        <f>43739+40732+31780+27356+25902+24895+12153</f>
        <v>206557</v>
      </c>
      <c r="N58" s="230">
        <f t="shared" si="5"/>
        <v>8.610383574509699</v>
      </c>
      <c r="O58" s="149"/>
    </row>
    <row r="59" spans="1:15" ht="15">
      <c r="A59" s="138">
        <v>56</v>
      </c>
      <c r="B59" s="229" t="s">
        <v>87</v>
      </c>
      <c r="C59" s="69">
        <v>40172</v>
      </c>
      <c r="D59" s="60" t="s">
        <v>152</v>
      </c>
      <c r="E59" s="255">
        <v>60</v>
      </c>
      <c r="F59" s="255">
        <v>36</v>
      </c>
      <c r="G59" s="255">
        <v>8</v>
      </c>
      <c r="H59" s="167">
        <v>23840</v>
      </c>
      <c r="I59" s="168">
        <v>4496</v>
      </c>
      <c r="J59" s="174">
        <f>(I59/F59)</f>
        <v>124.88888888888889</v>
      </c>
      <c r="K59" s="76">
        <f aca="true" t="shared" si="8" ref="K59:K66">H59/I59</f>
        <v>5.302491103202847</v>
      </c>
      <c r="L59" s="75">
        <f>421775.5+397095.5+287050+215248.5+189819.5+180729.5+86816.5+23840</f>
        <v>1802375</v>
      </c>
      <c r="M59" s="174">
        <f>43739+40732+31780+27356+25902+24895+12153+4496</f>
        <v>211053</v>
      </c>
      <c r="N59" s="230">
        <f t="shared" si="5"/>
        <v>8.539916513861447</v>
      </c>
      <c r="O59" s="147"/>
    </row>
    <row r="60" spans="1:15" ht="15">
      <c r="A60" s="138">
        <v>57</v>
      </c>
      <c r="B60" s="229" t="s">
        <v>87</v>
      </c>
      <c r="C60" s="69">
        <v>40172</v>
      </c>
      <c r="D60" s="60" t="s">
        <v>152</v>
      </c>
      <c r="E60" s="255">
        <v>60</v>
      </c>
      <c r="F60" s="255">
        <v>29</v>
      </c>
      <c r="G60" s="255">
        <v>9</v>
      </c>
      <c r="H60" s="167">
        <v>19148</v>
      </c>
      <c r="I60" s="168">
        <v>3179</v>
      </c>
      <c r="J60" s="174">
        <f>I60/F60</f>
        <v>109.62068965517241</v>
      </c>
      <c r="K60" s="76">
        <f t="shared" si="8"/>
        <v>6.023277760301982</v>
      </c>
      <c r="L60" s="75">
        <f>421775.5+397095.5+287050+215248.5+189819.5+180729.5+86816.5+23840+19148</f>
        <v>1821523</v>
      </c>
      <c r="M60" s="174">
        <f>43739+40732+31780+27356+25902+24895+12153+4496+3179</f>
        <v>214232</v>
      </c>
      <c r="N60" s="230">
        <f>+L60/M60</f>
        <v>8.502571978042496</v>
      </c>
      <c r="O60" s="177"/>
    </row>
    <row r="61" spans="1:15" ht="15">
      <c r="A61" s="138">
        <v>58</v>
      </c>
      <c r="B61" s="229" t="s">
        <v>87</v>
      </c>
      <c r="C61" s="69">
        <v>40172</v>
      </c>
      <c r="D61" s="60" t="s">
        <v>152</v>
      </c>
      <c r="E61" s="255">
        <v>60</v>
      </c>
      <c r="F61" s="255">
        <v>21</v>
      </c>
      <c r="G61" s="255">
        <v>10</v>
      </c>
      <c r="H61" s="171">
        <v>14942.5</v>
      </c>
      <c r="I61" s="172">
        <v>3069</v>
      </c>
      <c r="J61" s="174">
        <f>I61/F61</f>
        <v>146.14285714285714</v>
      </c>
      <c r="K61" s="76">
        <f t="shared" si="8"/>
        <v>4.868849788204627</v>
      </c>
      <c r="L61" s="75">
        <f>421775.5+397095.5+287050+215248.5+189819.5+180729.5+86816.5+23840+19148+14942.5</f>
        <v>1836465.5</v>
      </c>
      <c r="M61" s="174">
        <f>43739+40732+31780+27356+25902+24895+12153+4496+3179+3069</f>
        <v>217301</v>
      </c>
      <c r="N61" s="230">
        <f>+L61/M61</f>
        <v>8.451251950060055</v>
      </c>
      <c r="O61" s="177"/>
    </row>
    <row r="62" spans="1:15" ht="15">
      <c r="A62" s="138">
        <v>59</v>
      </c>
      <c r="B62" s="229" t="s">
        <v>87</v>
      </c>
      <c r="C62" s="169">
        <v>40172</v>
      </c>
      <c r="D62" s="60" t="s">
        <v>152</v>
      </c>
      <c r="E62" s="210">
        <v>60</v>
      </c>
      <c r="F62" s="210">
        <v>17</v>
      </c>
      <c r="G62" s="210">
        <v>11</v>
      </c>
      <c r="H62" s="171">
        <v>8798.5</v>
      </c>
      <c r="I62" s="172">
        <v>1650</v>
      </c>
      <c r="J62" s="174">
        <f aca="true" t="shared" si="9" ref="J62:J76">(I62/F62)</f>
        <v>97.05882352941177</v>
      </c>
      <c r="K62" s="76">
        <f t="shared" si="8"/>
        <v>5.332424242424242</v>
      </c>
      <c r="L62" s="75">
        <f>421775.5+397095.5+287050+215248.5+189819.5+180729.5+86816.5+23840+19148+14942.5+8798.5</f>
        <v>1845264</v>
      </c>
      <c r="M62" s="174">
        <f>43739+40732+31780+27356+25902+24895+12153+4496+3179+3069+1650</f>
        <v>218951</v>
      </c>
      <c r="N62" s="230">
        <f>+L62/M62</f>
        <v>8.427748674360931</v>
      </c>
      <c r="O62" s="180"/>
    </row>
    <row r="63" spans="1:15" ht="15">
      <c r="A63" s="138">
        <v>60</v>
      </c>
      <c r="B63" s="229" t="s">
        <v>97</v>
      </c>
      <c r="C63" s="69">
        <v>40123</v>
      </c>
      <c r="D63" s="70" t="s">
        <v>152</v>
      </c>
      <c r="E63" s="255">
        <v>144</v>
      </c>
      <c r="F63" s="255">
        <v>8</v>
      </c>
      <c r="G63" s="255">
        <v>10</v>
      </c>
      <c r="H63" s="54">
        <v>13616</v>
      </c>
      <c r="I63" s="55">
        <v>2381</v>
      </c>
      <c r="J63" s="56">
        <f t="shared" si="9"/>
        <v>297.625</v>
      </c>
      <c r="K63" s="61">
        <f t="shared" si="8"/>
        <v>5.718605627887443</v>
      </c>
      <c r="L63" s="58">
        <f>909778+593215.5+203934.5+91391+32233.5+29451.5+14597.5+12123.5+12906+13616</f>
        <v>1913247</v>
      </c>
      <c r="M63" s="59">
        <f>103944+67300+25860+13426+5611+5689+2739+1975+2803+2381</f>
        <v>231728</v>
      </c>
      <c r="N63" s="226">
        <f aca="true" t="shared" si="10" ref="N63:N76">L63/M63</f>
        <v>8.256434267762204</v>
      </c>
      <c r="O63" s="147">
        <v>1</v>
      </c>
    </row>
    <row r="64" spans="1:15" ht="15">
      <c r="A64" s="138">
        <v>61</v>
      </c>
      <c r="B64" s="229" t="s">
        <v>97</v>
      </c>
      <c r="C64" s="69">
        <v>40123</v>
      </c>
      <c r="D64" s="71" t="s">
        <v>152</v>
      </c>
      <c r="E64" s="255">
        <v>144</v>
      </c>
      <c r="F64" s="255">
        <v>12</v>
      </c>
      <c r="G64" s="255">
        <v>9</v>
      </c>
      <c r="H64" s="54">
        <v>12906</v>
      </c>
      <c r="I64" s="55">
        <v>2803</v>
      </c>
      <c r="J64" s="56">
        <f t="shared" si="9"/>
        <v>233.58333333333334</v>
      </c>
      <c r="K64" s="57">
        <f t="shared" si="8"/>
        <v>4.6043524794862645</v>
      </c>
      <c r="L64" s="58">
        <f>909778+593215.5+203934.5+91391+32233.5+29451.5+14597.5+12123.5+12906</f>
        <v>1899631</v>
      </c>
      <c r="M64" s="59">
        <f>103944+67300+25860+13426+5611+5689+2739+1975+2803</f>
        <v>229347</v>
      </c>
      <c r="N64" s="227">
        <f t="shared" si="10"/>
        <v>8.282781113334815</v>
      </c>
      <c r="O64" s="147">
        <v>1</v>
      </c>
    </row>
    <row r="65" spans="1:15" ht="15">
      <c r="A65" s="138">
        <v>62</v>
      </c>
      <c r="B65" s="229" t="s">
        <v>97</v>
      </c>
      <c r="C65" s="69">
        <v>40123</v>
      </c>
      <c r="D65" s="71" t="s">
        <v>152</v>
      </c>
      <c r="E65" s="255">
        <v>144</v>
      </c>
      <c r="F65" s="255">
        <v>7</v>
      </c>
      <c r="G65" s="255">
        <v>12</v>
      </c>
      <c r="H65" s="67">
        <v>7885.5</v>
      </c>
      <c r="I65" s="63">
        <v>1755</v>
      </c>
      <c r="J65" s="64">
        <f t="shared" si="9"/>
        <v>250.71428571428572</v>
      </c>
      <c r="K65" s="57">
        <f t="shared" si="8"/>
        <v>4.493162393162393</v>
      </c>
      <c r="L65" s="68">
        <f>909778+593215.5+203934.5+91391+32233.5+29451.5+14597.5+12123.5+12906+13616+5350+7885.5</f>
        <v>1926482.5</v>
      </c>
      <c r="M65" s="65">
        <f>103944+67300+25860+13426+5611+5689+2739+1975+2803+2381+1177+1755</f>
        <v>234660</v>
      </c>
      <c r="N65" s="227">
        <f t="shared" si="10"/>
        <v>8.209675701014234</v>
      </c>
      <c r="O65" s="149">
        <v>1</v>
      </c>
    </row>
    <row r="66" spans="1:15" ht="15">
      <c r="A66" s="138">
        <v>63</v>
      </c>
      <c r="B66" s="231" t="s">
        <v>97</v>
      </c>
      <c r="C66" s="85">
        <v>40123</v>
      </c>
      <c r="D66" s="86" t="s">
        <v>152</v>
      </c>
      <c r="E66" s="256">
        <v>144</v>
      </c>
      <c r="F66" s="256">
        <v>2</v>
      </c>
      <c r="G66" s="256">
        <v>11</v>
      </c>
      <c r="H66" s="54">
        <v>5350</v>
      </c>
      <c r="I66" s="63">
        <v>1177</v>
      </c>
      <c r="J66" s="64">
        <f t="shared" si="9"/>
        <v>588.5</v>
      </c>
      <c r="K66" s="57">
        <f t="shared" si="8"/>
        <v>4.545454545454546</v>
      </c>
      <c r="L66" s="58">
        <f>909778+593215.5+203934.5+91391+32233.5+29451.5+14597.5+12123.5+12906+13616+5350</f>
        <v>1918597</v>
      </c>
      <c r="M66" s="65">
        <f>103944+67300+25860+13426+5611+5689+2739+1975+2803+2381+1177</f>
        <v>232905</v>
      </c>
      <c r="N66" s="227">
        <f t="shared" si="10"/>
        <v>8.237680599386016</v>
      </c>
      <c r="O66" s="149">
        <v>1</v>
      </c>
    </row>
    <row r="67" spans="1:15" ht="15">
      <c r="A67" s="138">
        <v>64</v>
      </c>
      <c r="B67" s="229" t="s">
        <v>97</v>
      </c>
      <c r="C67" s="69">
        <v>40123</v>
      </c>
      <c r="D67" s="60" t="s">
        <v>152</v>
      </c>
      <c r="E67" s="255">
        <v>144</v>
      </c>
      <c r="F67" s="255">
        <v>3</v>
      </c>
      <c r="G67" s="255">
        <v>14</v>
      </c>
      <c r="H67" s="145">
        <v>3662</v>
      </c>
      <c r="I67" s="146">
        <v>881</v>
      </c>
      <c r="J67" s="128">
        <f t="shared" si="9"/>
        <v>293.6666666666667</v>
      </c>
      <c r="K67" s="74">
        <f>(J67/G67)</f>
        <v>20.976190476190478</v>
      </c>
      <c r="L67" s="101">
        <f>909778+593215.5+203934.5+91391+32233.5+29451.5+14597.5+12123.5+12906+13616+5350+7885.5+2130+3662</f>
        <v>1932274.5</v>
      </c>
      <c r="M67" s="128">
        <f>103944+67300+25860+13426+5611+5689+2739+1975+2803+2381+1177+1755+350+881</f>
        <v>235891</v>
      </c>
      <c r="N67" s="230">
        <f t="shared" si="10"/>
        <v>8.191387123713918</v>
      </c>
      <c r="O67" s="149">
        <v>1</v>
      </c>
    </row>
    <row r="68" spans="1:15" ht="15">
      <c r="A68" s="138">
        <v>65</v>
      </c>
      <c r="B68" s="229" t="s">
        <v>97</v>
      </c>
      <c r="C68" s="69">
        <v>40123</v>
      </c>
      <c r="D68" s="60" t="s">
        <v>152</v>
      </c>
      <c r="E68" s="255">
        <v>144</v>
      </c>
      <c r="F68" s="255">
        <v>2</v>
      </c>
      <c r="G68" s="255">
        <v>15</v>
      </c>
      <c r="H68" s="167">
        <v>3564</v>
      </c>
      <c r="I68" s="168">
        <v>891</v>
      </c>
      <c r="J68" s="174">
        <f t="shared" si="9"/>
        <v>445.5</v>
      </c>
      <c r="K68" s="76">
        <f>H68/I68</f>
        <v>4</v>
      </c>
      <c r="L68" s="75">
        <f>909778+593215.5+203934.5+91391+32233.5+29451.5+14597.5+12123.5+12906+13616+5350+7885.5+2130+3662+3564</f>
        <v>1935838.5</v>
      </c>
      <c r="M68" s="174">
        <f>103944+67300+25860+13426+5611+5689+2739+1975+2803+2381+1177+1755+350+881+891</f>
        <v>236782</v>
      </c>
      <c r="N68" s="230">
        <f t="shared" si="10"/>
        <v>8.175615122771157</v>
      </c>
      <c r="O68" s="147">
        <v>1</v>
      </c>
    </row>
    <row r="69" spans="1:15" ht="15">
      <c r="A69" s="138">
        <v>66</v>
      </c>
      <c r="B69" s="231" t="s">
        <v>2</v>
      </c>
      <c r="C69" s="85">
        <v>40123</v>
      </c>
      <c r="D69" s="86" t="s">
        <v>152</v>
      </c>
      <c r="E69" s="256">
        <v>144</v>
      </c>
      <c r="F69" s="256">
        <v>3</v>
      </c>
      <c r="G69" s="256">
        <v>13</v>
      </c>
      <c r="H69" s="67">
        <v>2130</v>
      </c>
      <c r="I69" s="63">
        <v>350</v>
      </c>
      <c r="J69" s="64">
        <f t="shared" si="9"/>
        <v>116.66666666666667</v>
      </c>
      <c r="K69" s="74">
        <f>+H69/I69</f>
        <v>6.085714285714285</v>
      </c>
      <c r="L69" s="68">
        <f>909778+593215.5+203934.5+91391+32233.5+29451.5+14597.5+12123.5+12906+13616+5350+7885.5+2130</f>
        <v>1928612.5</v>
      </c>
      <c r="M69" s="65">
        <f>103944+67300+25860+13426+5611+5689+2739+1975+2803+2381+1177+1755+350</f>
        <v>235010</v>
      </c>
      <c r="N69" s="232">
        <f t="shared" si="10"/>
        <v>8.206512488830263</v>
      </c>
      <c r="O69" s="150">
        <v>1</v>
      </c>
    </row>
    <row r="70" spans="1:15" ht="15">
      <c r="A70" s="138">
        <v>67</v>
      </c>
      <c r="B70" s="229" t="s">
        <v>84</v>
      </c>
      <c r="C70" s="69">
        <v>40165</v>
      </c>
      <c r="D70" s="71" t="s">
        <v>152</v>
      </c>
      <c r="E70" s="255">
        <v>125</v>
      </c>
      <c r="F70" s="255">
        <v>156</v>
      </c>
      <c r="G70" s="255">
        <v>3</v>
      </c>
      <c r="H70" s="54">
        <v>3469556.5</v>
      </c>
      <c r="I70" s="55">
        <v>309119</v>
      </c>
      <c r="J70" s="56">
        <f t="shared" si="9"/>
        <v>1981.5320512820513</v>
      </c>
      <c r="K70" s="57">
        <f>H70/I70</f>
        <v>11.224015670340549</v>
      </c>
      <c r="L70" s="58">
        <f>4033069.5+3582182.5+3469556.5</f>
        <v>11084808.5</v>
      </c>
      <c r="M70" s="59">
        <f>383242+338340+309119</f>
        <v>1030701</v>
      </c>
      <c r="N70" s="227">
        <f t="shared" si="10"/>
        <v>10.754630586367918</v>
      </c>
      <c r="O70" s="147"/>
    </row>
    <row r="71" spans="1:15" ht="15">
      <c r="A71" s="138">
        <v>68</v>
      </c>
      <c r="B71" s="231" t="s">
        <v>84</v>
      </c>
      <c r="C71" s="85">
        <v>40165</v>
      </c>
      <c r="D71" s="86" t="s">
        <v>152</v>
      </c>
      <c r="E71" s="256">
        <v>125</v>
      </c>
      <c r="F71" s="256">
        <v>156</v>
      </c>
      <c r="G71" s="256">
        <v>5</v>
      </c>
      <c r="H71" s="54">
        <v>3107541.5</v>
      </c>
      <c r="I71" s="63">
        <v>290779</v>
      </c>
      <c r="J71" s="64">
        <f t="shared" si="9"/>
        <v>1863.9679487179487</v>
      </c>
      <c r="K71" s="57">
        <f>H71/I71</f>
        <v>10.686952978034865</v>
      </c>
      <c r="L71" s="58">
        <f>4033069.5+3582182.5+3469556.5+3099545+3107541.5</f>
        <v>17291895</v>
      </c>
      <c r="M71" s="65">
        <f>383242+338340+309119+280170+290779</f>
        <v>1601650</v>
      </c>
      <c r="N71" s="227">
        <f t="shared" si="10"/>
        <v>10.796300689913526</v>
      </c>
      <c r="O71" s="149"/>
    </row>
    <row r="72" spans="1:15" ht="15">
      <c r="A72" s="138">
        <v>69</v>
      </c>
      <c r="B72" s="229" t="s">
        <v>84</v>
      </c>
      <c r="C72" s="69">
        <v>40165</v>
      </c>
      <c r="D72" s="70" t="s">
        <v>152</v>
      </c>
      <c r="E72" s="255">
        <v>125</v>
      </c>
      <c r="F72" s="255">
        <v>158</v>
      </c>
      <c r="G72" s="255">
        <v>4</v>
      </c>
      <c r="H72" s="54">
        <v>3099545</v>
      </c>
      <c r="I72" s="55">
        <v>280170</v>
      </c>
      <c r="J72" s="56">
        <f t="shared" si="9"/>
        <v>1773.2278481012659</v>
      </c>
      <c r="K72" s="61">
        <f>H72/I72</f>
        <v>11.063086697362316</v>
      </c>
      <c r="L72" s="58">
        <f>4033069.5+3582182.5+3469556.5+3099545</f>
        <v>14184353.5</v>
      </c>
      <c r="M72" s="59">
        <f>383242+338340+309119+280170</f>
        <v>1310871</v>
      </c>
      <c r="N72" s="226">
        <f t="shared" si="10"/>
        <v>10.820556332392737</v>
      </c>
      <c r="O72" s="147"/>
    </row>
    <row r="73" spans="1:15" ht="15">
      <c r="A73" s="138">
        <v>70</v>
      </c>
      <c r="B73" s="229" t="s">
        <v>84</v>
      </c>
      <c r="C73" s="69">
        <v>40165</v>
      </c>
      <c r="D73" s="71" t="s">
        <v>152</v>
      </c>
      <c r="E73" s="255">
        <v>125</v>
      </c>
      <c r="F73" s="255">
        <v>146</v>
      </c>
      <c r="G73" s="255">
        <v>6</v>
      </c>
      <c r="H73" s="67">
        <v>2751160</v>
      </c>
      <c r="I73" s="63">
        <v>261753</v>
      </c>
      <c r="J73" s="64">
        <f t="shared" si="9"/>
        <v>1792.8287671232877</v>
      </c>
      <c r="K73" s="57">
        <f>H73/I73</f>
        <v>10.510519459184804</v>
      </c>
      <c r="L73" s="68">
        <f>4033069.5+3582182.5+3469556.5+3099545+3107521.5+2751160</f>
        <v>20043035</v>
      </c>
      <c r="M73" s="65">
        <f>383242+338340+309119+280170+290777+261753</f>
        <v>1863401</v>
      </c>
      <c r="N73" s="227">
        <f t="shared" si="10"/>
        <v>10.756157692305628</v>
      </c>
      <c r="O73" s="149"/>
    </row>
    <row r="74" spans="1:15" ht="15">
      <c r="A74" s="138">
        <v>71</v>
      </c>
      <c r="B74" s="231" t="s">
        <v>84</v>
      </c>
      <c r="C74" s="85">
        <v>40165</v>
      </c>
      <c r="D74" s="86" t="s">
        <v>152</v>
      </c>
      <c r="E74" s="256">
        <v>125</v>
      </c>
      <c r="F74" s="256">
        <v>147</v>
      </c>
      <c r="G74" s="256">
        <v>7</v>
      </c>
      <c r="H74" s="67">
        <v>2297673.5</v>
      </c>
      <c r="I74" s="63">
        <v>222617</v>
      </c>
      <c r="J74" s="64">
        <f t="shared" si="9"/>
        <v>1514.4013605442176</v>
      </c>
      <c r="K74" s="74">
        <f>+H74/I74</f>
        <v>10.32119514682167</v>
      </c>
      <c r="L74" s="68">
        <f>4033069.5+3582182.5+3469556.5+3099545+3107521.5+2751160+2297673.5</f>
        <v>22340708.5</v>
      </c>
      <c r="M74" s="65">
        <f>383242+338340+309119+280170+290777+261753+222617</f>
        <v>2086018</v>
      </c>
      <c r="N74" s="232">
        <f t="shared" si="10"/>
        <v>10.709739081829591</v>
      </c>
      <c r="O74" s="150"/>
    </row>
    <row r="75" spans="1:15" ht="15">
      <c r="A75" s="138">
        <v>72</v>
      </c>
      <c r="B75" s="229" t="s">
        <v>84</v>
      </c>
      <c r="C75" s="69">
        <v>40165</v>
      </c>
      <c r="D75" s="60" t="s">
        <v>152</v>
      </c>
      <c r="E75" s="255">
        <v>125</v>
      </c>
      <c r="F75" s="255">
        <v>147</v>
      </c>
      <c r="G75" s="255">
        <v>8</v>
      </c>
      <c r="H75" s="145">
        <v>1520298</v>
      </c>
      <c r="I75" s="146">
        <v>140396</v>
      </c>
      <c r="J75" s="128">
        <f t="shared" si="9"/>
        <v>955.0748299319728</v>
      </c>
      <c r="K75" s="74">
        <f>(J75/G75)</f>
        <v>119.3843537414966</v>
      </c>
      <c r="L75" s="101">
        <f>4033069.5+3582182.5+3469556.5+3099545+3107521.5+2751160+2297673.5+1520298</f>
        <v>23861006.5</v>
      </c>
      <c r="M75" s="128">
        <f>383242+338340+309119+280170+290777+261753+222617+140396</f>
        <v>2226414</v>
      </c>
      <c r="N75" s="230">
        <f t="shared" si="10"/>
        <v>10.717237000845305</v>
      </c>
      <c r="O75" s="149"/>
    </row>
    <row r="76" spans="1:15" ht="15">
      <c r="A76" s="138">
        <v>73</v>
      </c>
      <c r="B76" s="229" t="s">
        <v>84</v>
      </c>
      <c r="C76" s="69">
        <v>40165</v>
      </c>
      <c r="D76" s="60" t="s">
        <v>152</v>
      </c>
      <c r="E76" s="255">
        <v>125</v>
      </c>
      <c r="F76" s="255">
        <v>122</v>
      </c>
      <c r="G76" s="255">
        <v>9</v>
      </c>
      <c r="H76" s="167">
        <v>778693.5</v>
      </c>
      <c r="I76" s="168">
        <v>74659</v>
      </c>
      <c r="J76" s="174">
        <f t="shared" si="9"/>
        <v>611.9590163934427</v>
      </c>
      <c r="K76" s="76">
        <f>(J76/G76)</f>
        <v>67.99544626593807</v>
      </c>
      <c r="L76" s="75">
        <f>4033069.5+3582182.5+3469556.5+3099545+3107521.5+2751160+2297667.5+1520298+788693.5</f>
        <v>24649694</v>
      </c>
      <c r="M76" s="174">
        <f>383242+338340+309119+280170+290777+261753+222617+140396+74659</f>
        <v>2301073</v>
      </c>
      <c r="N76" s="230">
        <f t="shared" si="10"/>
        <v>10.712260758350562</v>
      </c>
      <c r="O76" s="147"/>
    </row>
    <row r="77" spans="1:15" ht="15">
      <c r="A77" s="138">
        <v>74</v>
      </c>
      <c r="B77" s="229" t="s">
        <v>84</v>
      </c>
      <c r="C77" s="69">
        <v>40165</v>
      </c>
      <c r="D77" s="60" t="s">
        <v>152</v>
      </c>
      <c r="E77" s="255">
        <v>125</v>
      </c>
      <c r="F77" s="255">
        <v>106</v>
      </c>
      <c r="G77" s="255">
        <v>10</v>
      </c>
      <c r="H77" s="167">
        <v>562184.5</v>
      </c>
      <c r="I77" s="168">
        <v>50484</v>
      </c>
      <c r="J77" s="174">
        <f>I77/F77</f>
        <v>476.2641509433962</v>
      </c>
      <c r="K77" s="76">
        <f>H77/I77</f>
        <v>11.135894540844625</v>
      </c>
      <c r="L77" s="75">
        <f>4033069.5+3582182.5+3469556.5+3099545+3107521.5+2751160+2297667.5+1520298+788693.5+562184.5</f>
        <v>25211878.5</v>
      </c>
      <c r="M77" s="174">
        <f>383242+338340+309119+280170+290777+261753+222617+140396+74659+50484</f>
        <v>2351557</v>
      </c>
      <c r="N77" s="230">
        <f>+L77/M77</f>
        <v>10.721355467887872</v>
      </c>
      <c r="O77" s="177"/>
    </row>
    <row r="78" spans="1:15" ht="15">
      <c r="A78" s="138">
        <v>75</v>
      </c>
      <c r="B78" s="229" t="s">
        <v>84</v>
      </c>
      <c r="C78" s="169">
        <v>40165</v>
      </c>
      <c r="D78" s="60" t="s">
        <v>152</v>
      </c>
      <c r="E78" s="210">
        <v>125</v>
      </c>
      <c r="F78" s="210">
        <v>64</v>
      </c>
      <c r="G78" s="210">
        <v>11</v>
      </c>
      <c r="H78" s="171">
        <v>348660.5</v>
      </c>
      <c r="I78" s="172">
        <v>29496</v>
      </c>
      <c r="J78" s="174">
        <f>(I78/F78)</f>
        <v>460.875</v>
      </c>
      <c r="K78" s="76">
        <f>H78/I78</f>
        <v>11.820602793599132</v>
      </c>
      <c r="L78" s="75">
        <f>4033069.5+3582182.5+3469556.5+3099545+3107521.5+2751160+2297667.5+1520298+788693.5+562184.5+348660.5</f>
        <v>25560539</v>
      </c>
      <c r="M78" s="174">
        <f>383242+338340+309119+280170+290777+261753+222617+140396+74659+50484+29496</f>
        <v>2381053</v>
      </c>
      <c r="N78" s="230">
        <f>L78/M78</f>
        <v>10.73497272005285</v>
      </c>
      <c r="O78" s="181"/>
    </row>
    <row r="79" spans="1:15" ht="15">
      <c r="A79" s="138">
        <v>76</v>
      </c>
      <c r="B79" s="229" t="s">
        <v>84</v>
      </c>
      <c r="C79" s="169">
        <v>40165</v>
      </c>
      <c r="D79" s="60" t="s">
        <v>152</v>
      </c>
      <c r="E79" s="210">
        <v>125</v>
      </c>
      <c r="F79" s="210">
        <v>53</v>
      </c>
      <c r="G79" s="210">
        <v>12</v>
      </c>
      <c r="H79" s="171">
        <v>276467.5</v>
      </c>
      <c r="I79" s="172">
        <v>23353</v>
      </c>
      <c r="J79" s="174">
        <f>(I79/F79)</f>
        <v>440.62264150943395</v>
      </c>
      <c r="K79" s="76">
        <f>H79/I79</f>
        <v>11.838628869952469</v>
      </c>
      <c r="L79" s="75">
        <f>4033069.5+3582182.5+3469556.5+3099545+3107521.5+2751160+2297667.5+1520298+788693.5+562184.5+348660.5+276467.5</f>
        <v>25837006.5</v>
      </c>
      <c r="M79" s="174">
        <f>383242+338340+309119+280170+290777+261753+222617+140396+74659+50484+29496+23353</f>
        <v>2404406</v>
      </c>
      <c r="N79" s="230">
        <f>+L79/M79</f>
        <v>10.74569207529843</v>
      </c>
      <c r="O79" s="180"/>
    </row>
    <row r="80" spans="1:15" ht="15">
      <c r="A80" s="138">
        <v>77</v>
      </c>
      <c r="B80" s="353" t="s">
        <v>84</v>
      </c>
      <c r="C80" s="169">
        <v>40165</v>
      </c>
      <c r="D80" s="60" t="s">
        <v>152</v>
      </c>
      <c r="E80" s="210">
        <v>125</v>
      </c>
      <c r="F80" s="210">
        <v>40</v>
      </c>
      <c r="G80" s="210">
        <v>13</v>
      </c>
      <c r="H80" s="171">
        <v>182912.5</v>
      </c>
      <c r="I80" s="172">
        <v>15006</v>
      </c>
      <c r="J80" s="174">
        <f>I80/F80</f>
        <v>375.15</v>
      </c>
      <c r="K80" s="76">
        <f>H80/I80</f>
        <v>12.189290950286551</v>
      </c>
      <c r="L80" s="75">
        <f>4033069.5+3582182.5+3469556.5+3099545+3107521.5+2751160+2297667.5+1520298+788693.5+562184.5+348660.5+276467.5+182912.5</f>
        <v>26019919</v>
      </c>
      <c r="M80" s="174">
        <f>383242+338340+309119+280170+290777+261753+222617+140396+74659+50484+29496+23353+15006</f>
        <v>2419412</v>
      </c>
      <c r="N80" s="230">
        <f>+L80/M80</f>
        <v>10.754645756902917</v>
      </c>
      <c r="O80" s="148">
        <v>1</v>
      </c>
    </row>
    <row r="81" spans="1:15" ht="15">
      <c r="A81" s="138">
        <v>78</v>
      </c>
      <c r="B81" s="225" t="s">
        <v>91</v>
      </c>
      <c r="C81" s="52">
        <v>40165</v>
      </c>
      <c r="D81" s="60" t="s">
        <v>154</v>
      </c>
      <c r="E81" s="254">
        <v>38</v>
      </c>
      <c r="F81" s="254">
        <v>40</v>
      </c>
      <c r="G81" s="254">
        <v>4</v>
      </c>
      <c r="H81" s="77">
        <v>118129</v>
      </c>
      <c r="I81" s="82">
        <v>14601</v>
      </c>
      <c r="J81" s="83">
        <f>IF(H81&lt;&gt;0,I81/F81,"")</f>
        <v>365.025</v>
      </c>
      <c r="K81" s="84">
        <f>IF(H81&lt;&gt;0,H81/I81,"")</f>
        <v>8.090473255256489</v>
      </c>
      <c r="L81" s="81">
        <v>736893.5</v>
      </c>
      <c r="M81" s="174">
        <v>81207</v>
      </c>
      <c r="N81" s="234">
        <f>IF(L81&lt;&gt;0,L81/M81,"")</f>
        <v>9.074260839582795</v>
      </c>
      <c r="O81" s="149">
        <v>1</v>
      </c>
    </row>
    <row r="82" spans="1:15" ht="15">
      <c r="A82" s="138">
        <v>79</v>
      </c>
      <c r="B82" s="225" t="s">
        <v>20</v>
      </c>
      <c r="C82" s="52">
        <v>40165</v>
      </c>
      <c r="D82" s="60" t="s">
        <v>154</v>
      </c>
      <c r="E82" s="254">
        <v>38</v>
      </c>
      <c r="F82" s="254">
        <v>39</v>
      </c>
      <c r="G82" s="254">
        <v>5</v>
      </c>
      <c r="H82" s="77">
        <v>117691</v>
      </c>
      <c r="I82" s="78">
        <v>16123</v>
      </c>
      <c r="J82" s="79">
        <f>IF(H82&lt;&gt;0,I82/F82,"")</f>
        <v>413.4102564102564</v>
      </c>
      <c r="K82" s="80">
        <f>IF(H82&lt;&gt;0,H82/I82,"")</f>
        <v>7.299572039942938</v>
      </c>
      <c r="L82" s="81">
        <v>854584.5</v>
      </c>
      <c r="M82" s="128">
        <v>97330</v>
      </c>
      <c r="N82" s="233">
        <f>IF(L82&lt;&gt;0,L82/M82,"")</f>
        <v>8.780278434192951</v>
      </c>
      <c r="O82" s="147">
        <v>1</v>
      </c>
    </row>
    <row r="83" spans="1:15" ht="15">
      <c r="A83" s="138">
        <v>80</v>
      </c>
      <c r="B83" s="225" t="s">
        <v>20</v>
      </c>
      <c r="C83" s="52">
        <v>40165</v>
      </c>
      <c r="D83" s="66" t="s">
        <v>154</v>
      </c>
      <c r="E83" s="254">
        <v>38</v>
      </c>
      <c r="F83" s="254">
        <v>29</v>
      </c>
      <c r="G83" s="254">
        <v>3</v>
      </c>
      <c r="H83" s="77">
        <v>96495.25</v>
      </c>
      <c r="I83" s="82">
        <v>11131</v>
      </c>
      <c r="J83" s="83">
        <f>IF(H83&lt;&gt;0,I83/F83,"")</f>
        <v>383.82758620689657</v>
      </c>
      <c r="K83" s="80">
        <f>IF(H83&lt;&gt;0,H83/I83,"")</f>
        <v>8.669054891743778</v>
      </c>
      <c r="L83" s="81">
        <v>618764.5</v>
      </c>
      <c r="M83" s="174">
        <v>66606</v>
      </c>
      <c r="N83" s="233">
        <f>IF(L83&lt;&gt;0,L83/M83,"")</f>
        <v>9.289921328408852</v>
      </c>
      <c r="O83" s="150">
        <v>1</v>
      </c>
    </row>
    <row r="84" spans="1:15" ht="15">
      <c r="A84" s="138">
        <v>81</v>
      </c>
      <c r="B84" s="229" t="s">
        <v>91</v>
      </c>
      <c r="C84" s="69">
        <v>40165</v>
      </c>
      <c r="D84" s="60" t="s">
        <v>154</v>
      </c>
      <c r="E84" s="255">
        <v>38</v>
      </c>
      <c r="F84" s="255">
        <v>39</v>
      </c>
      <c r="G84" s="255">
        <v>7</v>
      </c>
      <c r="H84" s="99">
        <v>75701.5</v>
      </c>
      <c r="I84" s="100">
        <v>9938</v>
      </c>
      <c r="J84" s="128">
        <f>I84/F84</f>
        <v>254.82051282051282</v>
      </c>
      <c r="K84" s="74">
        <f>H84/I84</f>
        <v>7.617377742000403</v>
      </c>
      <c r="L84" s="101">
        <v>997325.5</v>
      </c>
      <c r="M84" s="128">
        <v>116477</v>
      </c>
      <c r="N84" s="228">
        <f>L84/M84</f>
        <v>8.562424341286263</v>
      </c>
      <c r="O84" s="149">
        <v>1</v>
      </c>
    </row>
    <row r="85" spans="1:15" ht="15">
      <c r="A85" s="138">
        <v>82</v>
      </c>
      <c r="B85" s="229" t="s">
        <v>91</v>
      </c>
      <c r="C85" s="69">
        <v>40165</v>
      </c>
      <c r="D85" s="71" t="s">
        <v>154</v>
      </c>
      <c r="E85" s="255">
        <v>38</v>
      </c>
      <c r="F85" s="255">
        <v>40</v>
      </c>
      <c r="G85" s="255">
        <v>6</v>
      </c>
      <c r="H85" s="67">
        <v>67039.5</v>
      </c>
      <c r="I85" s="63">
        <v>9209</v>
      </c>
      <c r="J85" s="64">
        <f>IF(H85&lt;&gt;0,I85/F85,"")</f>
        <v>230.225</v>
      </c>
      <c r="K85" s="57">
        <f>IF(H85&lt;&gt;0,H85/I85,"")</f>
        <v>7.279780649364752</v>
      </c>
      <c r="L85" s="68">
        <v>921624</v>
      </c>
      <c r="M85" s="65">
        <v>106539</v>
      </c>
      <c r="N85" s="227">
        <f>IF(L85&lt;&gt;0,L85/M85,"")</f>
        <v>8.650578661335286</v>
      </c>
      <c r="O85" s="149">
        <v>1</v>
      </c>
    </row>
    <row r="86" spans="1:15" ht="15">
      <c r="A86" s="138">
        <v>83</v>
      </c>
      <c r="B86" s="229" t="s">
        <v>20</v>
      </c>
      <c r="C86" s="69">
        <v>40165</v>
      </c>
      <c r="D86" s="60" t="s">
        <v>154</v>
      </c>
      <c r="E86" s="255">
        <v>38</v>
      </c>
      <c r="F86" s="255">
        <v>39</v>
      </c>
      <c r="G86" s="255">
        <v>8</v>
      </c>
      <c r="H86" s="145">
        <v>51709.5</v>
      </c>
      <c r="I86" s="146">
        <v>7331</v>
      </c>
      <c r="J86" s="128">
        <f>I86/F86</f>
        <v>187.97435897435898</v>
      </c>
      <c r="K86" s="74">
        <f>+H86/I86</f>
        <v>7.053539762651753</v>
      </c>
      <c r="L86" s="101">
        <v>1049035</v>
      </c>
      <c r="M86" s="128">
        <v>123808</v>
      </c>
      <c r="N86" s="230">
        <f>IF(L86&lt;&gt;0,L86/M86,"")</f>
        <v>8.473079284052726</v>
      </c>
      <c r="O86" s="147">
        <v>1</v>
      </c>
    </row>
    <row r="87" spans="1:15" ht="15">
      <c r="A87" s="138">
        <v>84</v>
      </c>
      <c r="B87" s="229" t="s">
        <v>20</v>
      </c>
      <c r="C87" s="69">
        <v>40165</v>
      </c>
      <c r="D87" s="60" t="s">
        <v>154</v>
      </c>
      <c r="E87" s="255">
        <v>38</v>
      </c>
      <c r="F87" s="255">
        <v>17</v>
      </c>
      <c r="G87" s="255">
        <v>9</v>
      </c>
      <c r="H87" s="167">
        <v>25015.5</v>
      </c>
      <c r="I87" s="168">
        <v>4196</v>
      </c>
      <c r="J87" s="174">
        <f>IF(H87&lt;&gt;0,I87/F87,"")</f>
        <v>246.8235294117647</v>
      </c>
      <c r="K87" s="76">
        <f>IF(H87&lt;&gt;0,H87/I87,"")</f>
        <v>5.961749285033365</v>
      </c>
      <c r="L87" s="75">
        <v>1074050.5</v>
      </c>
      <c r="M87" s="174">
        <v>128004</v>
      </c>
      <c r="N87" s="230">
        <f>IF(L87&lt;&gt;0,L87/M87,"")</f>
        <v>8.390757320083747</v>
      </c>
      <c r="O87" s="182">
        <v>1</v>
      </c>
    </row>
    <row r="88" spans="1:15" ht="15">
      <c r="A88" s="138">
        <v>85</v>
      </c>
      <c r="B88" s="229" t="s">
        <v>20</v>
      </c>
      <c r="C88" s="69">
        <v>40165</v>
      </c>
      <c r="D88" s="60" t="s">
        <v>154</v>
      </c>
      <c r="E88" s="255">
        <v>38</v>
      </c>
      <c r="F88" s="255">
        <v>14</v>
      </c>
      <c r="G88" s="255">
        <v>10</v>
      </c>
      <c r="H88" s="167">
        <v>19410.5</v>
      </c>
      <c r="I88" s="168">
        <v>2888</v>
      </c>
      <c r="J88" s="174">
        <f>I88/F88</f>
        <v>206.28571428571428</v>
      </c>
      <c r="K88" s="76">
        <f>H88/I88</f>
        <v>6.721087257617729</v>
      </c>
      <c r="L88" s="75">
        <v>1093461</v>
      </c>
      <c r="M88" s="174">
        <v>130892</v>
      </c>
      <c r="N88" s="230">
        <f aca="true" t="shared" si="11" ref="N88:N93">+L88/M88</f>
        <v>8.353917733704122</v>
      </c>
      <c r="O88" s="180">
        <v>1</v>
      </c>
    </row>
    <row r="89" spans="1:15" ht="15">
      <c r="A89" s="138">
        <v>86</v>
      </c>
      <c r="B89" s="229" t="s">
        <v>20</v>
      </c>
      <c r="C89" s="169">
        <v>40165</v>
      </c>
      <c r="D89" s="170" t="s">
        <v>154</v>
      </c>
      <c r="E89" s="210">
        <v>38</v>
      </c>
      <c r="F89" s="210">
        <v>8</v>
      </c>
      <c r="G89" s="210">
        <v>12</v>
      </c>
      <c r="H89" s="171">
        <v>12339</v>
      </c>
      <c r="I89" s="172">
        <v>2784</v>
      </c>
      <c r="J89" s="174">
        <f>IF(H89&lt;&gt;0,I89/F89,"")</f>
        <v>348</v>
      </c>
      <c r="K89" s="76">
        <f>H89/I89</f>
        <v>4.432112068965517</v>
      </c>
      <c r="L89" s="75">
        <v>1115146</v>
      </c>
      <c r="M89" s="174">
        <v>135705</v>
      </c>
      <c r="N89" s="230">
        <f t="shared" si="11"/>
        <v>8.217427508197929</v>
      </c>
      <c r="O89" s="181">
        <v>1</v>
      </c>
    </row>
    <row r="90" spans="1:15" ht="15">
      <c r="A90" s="138">
        <v>87</v>
      </c>
      <c r="B90" s="229" t="s">
        <v>20</v>
      </c>
      <c r="C90" s="169">
        <v>40165</v>
      </c>
      <c r="D90" s="60" t="s">
        <v>154</v>
      </c>
      <c r="E90" s="210">
        <v>38</v>
      </c>
      <c r="F90" s="210">
        <v>7</v>
      </c>
      <c r="G90" s="210">
        <v>11</v>
      </c>
      <c r="H90" s="171">
        <v>9346</v>
      </c>
      <c r="I90" s="172">
        <v>2029</v>
      </c>
      <c r="J90" s="174">
        <f>I90/F90</f>
        <v>289.85714285714283</v>
      </c>
      <c r="K90" s="76">
        <f>H90/I90</f>
        <v>4.606209955643174</v>
      </c>
      <c r="L90" s="75">
        <v>1102807</v>
      </c>
      <c r="M90" s="174">
        <v>132921</v>
      </c>
      <c r="N90" s="230">
        <f t="shared" si="11"/>
        <v>8.29671007590975</v>
      </c>
      <c r="O90" s="148"/>
    </row>
    <row r="91" spans="1:15" ht="15">
      <c r="A91" s="138">
        <v>88</v>
      </c>
      <c r="B91" s="353" t="s">
        <v>20</v>
      </c>
      <c r="C91" s="169">
        <v>40165</v>
      </c>
      <c r="D91" s="170" t="s">
        <v>154</v>
      </c>
      <c r="E91" s="210">
        <v>38</v>
      </c>
      <c r="F91" s="210">
        <v>1</v>
      </c>
      <c r="G91" s="210">
        <v>13</v>
      </c>
      <c r="H91" s="171">
        <v>100</v>
      </c>
      <c r="I91" s="172">
        <v>23</v>
      </c>
      <c r="J91" s="174">
        <f>I91/F91</f>
        <v>23</v>
      </c>
      <c r="K91" s="76">
        <f>H91/I91</f>
        <v>4.3478260869565215</v>
      </c>
      <c r="L91" s="75">
        <v>1115246</v>
      </c>
      <c r="M91" s="174">
        <v>135728</v>
      </c>
      <c r="N91" s="230">
        <f t="shared" si="11"/>
        <v>8.216771778851822</v>
      </c>
      <c r="O91" s="150"/>
    </row>
    <row r="92" spans="1:15" ht="15">
      <c r="A92" s="138">
        <v>89</v>
      </c>
      <c r="B92" s="229" t="s">
        <v>47</v>
      </c>
      <c r="C92" s="69">
        <v>39850</v>
      </c>
      <c r="D92" s="102" t="s">
        <v>151</v>
      </c>
      <c r="E92" s="255">
        <v>78</v>
      </c>
      <c r="F92" s="255">
        <v>1</v>
      </c>
      <c r="G92" s="255">
        <v>48</v>
      </c>
      <c r="H92" s="72">
        <v>609</v>
      </c>
      <c r="I92" s="73">
        <v>280</v>
      </c>
      <c r="J92" s="174">
        <f>I92/F92</f>
        <v>280</v>
      </c>
      <c r="K92" s="76">
        <f>+H92/I92</f>
        <v>2.175</v>
      </c>
      <c r="L92" s="75">
        <v>905076</v>
      </c>
      <c r="M92" s="174">
        <v>98834</v>
      </c>
      <c r="N92" s="230">
        <f t="shared" si="11"/>
        <v>9.157536880021045</v>
      </c>
      <c r="O92" s="147">
        <v>1</v>
      </c>
    </row>
    <row r="93" spans="1:15" ht="15">
      <c r="A93" s="138">
        <v>90</v>
      </c>
      <c r="B93" s="229" t="s">
        <v>9</v>
      </c>
      <c r="C93" s="69">
        <v>39808</v>
      </c>
      <c r="D93" s="60" t="s">
        <v>151</v>
      </c>
      <c r="E93" s="255">
        <v>112</v>
      </c>
      <c r="F93" s="255">
        <v>1</v>
      </c>
      <c r="G93" s="255">
        <v>58</v>
      </c>
      <c r="H93" s="99">
        <v>608</v>
      </c>
      <c r="I93" s="100">
        <v>280</v>
      </c>
      <c r="J93" s="128">
        <f>I93/F93</f>
        <v>280</v>
      </c>
      <c r="K93" s="74">
        <f>+H93/I93</f>
        <v>2.1714285714285713</v>
      </c>
      <c r="L93" s="101">
        <v>2069368</v>
      </c>
      <c r="M93" s="128">
        <v>218919</v>
      </c>
      <c r="N93" s="228">
        <f t="shared" si="11"/>
        <v>9.45266514098822</v>
      </c>
      <c r="O93" s="149">
        <v>1</v>
      </c>
    </row>
    <row r="94" spans="1:15" ht="15">
      <c r="A94" s="138">
        <v>91</v>
      </c>
      <c r="B94" s="229" t="s">
        <v>110</v>
      </c>
      <c r="C94" s="69">
        <v>40130</v>
      </c>
      <c r="D94" s="70" t="s">
        <v>152</v>
      </c>
      <c r="E94" s="255">
        <v>13</v>
      </c>
      <c r="F94" s="255">
        <v>4</v>
      </c>
      <c r="G94" s="255">
        <v>9</v>
      </c>
      <c r="H94" s="54">
        <v>1678.5</v>
      </c>
      <c r="I94" s="55">
        <v>334</v>
      </c>
      <c r="J94" s="56">
        <f>(I94/F94)</f>
        <v>83.5</v>
      </c>
      <c r="K94" s="61">
        <f>H94/I94</f>
        <v>5.025449101796407</v>
      </c>
      <c r="L94" s="58">
        <f>61012+24426+6122+10040+4081+228+2698+1216+1678.5</f>
        <v>111501.5</v>
      </c>
      <c r="M94" s="59">
        <f>5982+2401+678+1620+879+42+433+305+334</f>
        <v>12674</v>
      </c>
      <c r="N94" s="226">
        <f>L94/M94</f>
        <v>8.797656619851665</v>
      </c>
      <c r="O94" s="147">
        <v>1</v>
      </c>
    </row>
    <row r="95" spans="1:15" ht="15">
      <c r="A95" s="138">
        <v>92</v>
      </c>
      <c r="B95" s="231" t="s">
        <v>110</v>
      </c>
      <c r="C95" s="85">
        <v>40130</v>
      </c>
      <c r="D95" s="86" t="s">
        <v>152</v>
      </c>
      <c r="E95" s="256">
        <v>13</v>
      </c>
      <c r="F95" s="256">
        <v>2</v>
      </c>
      <c r="G95" s="256">
        <v>10</v>
      </c>
      <c r="H95" s="54">
        <v>1457</v>
      </c>
      <c r="I95" s="63">
        <v>339</v>
      </c>
      <c r="J95" s="64">
        <f>(I95/F95)</f>
        <v>169.5</v>
      </c>
      <c r="K95" s="57">
        <f>H95/I95</f>
        <v>4.297935103244837</v>
      </c>
      <c r="L95" s="58">
        <f>61012+24426+6122+10040+4081+228+2698+1216+1678.5+1457</f>
        <v>112958.5</v>
      </c>
      <c r="M95" s="65">
        <f>5982+2401+678+1620+879+42+433+305+334+339</f>
        <v>13013</v>
      </c>
      <c r="N95" s="227">
        <f>L95/M95</f>
        <v>8.680434949665718</v>
      </c>
      <c r="O95" s="181">
        <v>1</v>
      </c>
    </row>
    <row r="96" spans="1:15" ht="15">
      <c r="A96" s="138">
        <v>93</v>
      </c>
      <c r="B96" s="229" t="s">
        <v>110</v>
      </c>
      <c r="C96" s="69">
        <v>40130</v>
      </c>
      <c r="D96" s="71" t="s">
        <v>152</v>
      </c>
      <c r="E96" s="255">
        <v>13</v>
      </c>
      <c r="F96" s="255">
        <v>2</v>
      </c>
      <c r="G96" s="255">
        <v>8</v>
      </c>
      <c r="H96" s="54">
        <v>1216</v>
      </c>
      <c r="I96" s="55">
        <v>305</v>
      </c>
      <c r="J96" s="56">
        <f>(I96/F96)</f>
        <v>152.5</v>
      </c>
      <c r="K96" s="57">
        <f>H96/I96</f>
        <v>3.9868852459016395</v>
      </c>
      <c r="L96" s="58">
        <f>61012+24426+6122+10040+4081+228+2698+1216</f>
        <v>109823</v>
      </c>
      <c r="M96" s="59">
        <f>5982+2401+678+1620+879+42+433+305</f>
        <v>12340</v>
      </c>
      <c r="N96" s="227">
        <f>L96/M96</f>
        <v>8.899756888168557</v>
      </c>
      <c r="O96" s="149">
        <v>1</v>
      </c>
    </row>
    <row r="97" spans="1:15" ht="15">
      <c r="A97" s="138">
        <v>94</v>
      </c>
      <c r="B97" s="229" t="s">
        <v>110</v>
      </c>
      <c r="C97" s="169">
        <v>40130</v>
      </c>
      <c r="D97" s="60" t="s">
        <v>152</v>
      </c>
      <c r="E97" s="210">
        <v>13</v>
      </c>
      <c r="F97" s="210">
        <v>1</v>
      </c>
      <c r="G97" s="210">
        <v>12</v>
      </c>
      <c r="H97" s="171">
        <v>472</v>
      </c>
      <c r="I97" s="172">
        <v>86</v>
      </c>
      <c r="J97" s="174">
        <f>(I97/F97)</f>
        <v>86</v>
      </c>
      <c r="K97" s="76">
        <f>H97/I97</f>
        <v>5.488372093023256</v>
      </c>
      <c r="L97" s="75">
        <f>61012+24426+6122+10040+4081+228+2698+1216+1678.5+1457+452+472</f>
        <v>113882.5</v>
      </c>
      <c r="M97" s="174">
        <f>5982+2401+678+1620+879+42+433+305+334+339+195+86</f>
        <v>13294</v>
      </c>
      <c r="N97" s="230">
        <f>L97/M97</f>
        <v>8.566458552730555</v>
      </c>
      <c r="O97" s="148"/>
    </row>
    <row r="98" spans="1:15" ht="15">
      <c r="A98" s="138">
        <v>95</v>
      </c>
      <c r="B98" s="229" t="s">
        <v>110</v>
      </c>
      <c r="C98" s="69">
        <v>40130</v>
      </c>
      <c r="D98" s="71" t="s">
        <v>152</v>
      </c>
      <c r="E98" s="255">
        <v>13</v>
      </c>
      <c r="F98" s="255">
        <v>1</v>
      </c>
      <c r="G98" s="255">
        <v>11</v>
      </c>
      <c r="H98" s="67">
        <v>452</v>
      </c>
      <c r="I98" s="63">
        <v>195</v>
      </c>
      <c r="J98" s="64">
        <f>(I98/F98)</f>
        <v>195</v>
      </c>
      <c r="K98" s="57">
        <f>H98/I98</f>
        <v>2.317948717948718</v>
      </c>
      <c r="L98" s="68">
        <f>61012+24426+6122+10040+4081+228+2698+1216+1678.5+1457+452</f>
        <v>113410.5</v>
      </c>
      <c r="M98" s="65">
        <f>5982+2401+678+1620+879+42+433+305+334+339+195</f>
        <v>13208</v>
      </c>
      <c r="N98" s="227">
        <f>L98/M98</f>
        <v>8.58650060569352</v>
      </c>
      <c r="O98" s="182"/>
    </row>
    <row r="99" spans="1:15" ht="15">
      <c r="A99" s="138">
        <v>96</v>
      </c>
      <c r="B99" s="225" t="s">
        <v>116</v>
      </c>
      <c r="C99" s="52">
        <v>40158</v>
      </c>
      <c r="D99" s="60" t="s">
        <v>154</v>
      </c>
      <c r="E99" s="254">
        <v>6</v>
      </c>
      <c r="F99" s="254">
        <v>3</v>
      </c>
      <c r="G99" s="254">
        <v>4</v>
      </c>
      <c r="H99" s="77">
        <v>1098</v>
      </c>
      <c r="I99" s="82">
        <v>177</v>
      </c>
      <c r="J99" s="83">
        <f>IF(H99&lt;&gt;0,I99/F99,"")</f>
        <v>59</v>
      </c>
      <c r="K99" s="84">
        <f>IF(H99&lt;&gt;0,H99/I99,"")</f>
        <v>6.203389830508475</v>
      </c>
      <c r="L99" s="81">
        <v>48973</v>
      </c>
      <c r="M99" s="174">
        <v>4330</v>
      </c>
      <c r="N99" s="234">
        <f>IF(L99&lt;&gt;0,L99/M99,"")</f>
        <v>11.310161662817553</v>
      </c>
      <c r="O99" s="149"/>
    </row>
    <row r="100" spans="1:15" ht="15">
      <c r="A100" s="138">
        <v>97</v>
      </c>
      <c r="B100" s="229" t="s">
        <v>116</v>
      </c>
      <c r="C100" s="69">
        <v>40158</v>
      </c>
      <c r="D100" s="60" t="s">
        <v>154</v>
      </c>
      <c r="E100" s="255">
        <v>6</v>
      </c>
      <c r="F100" s="255">
        <v>1</v>
      </c>
      <c r="G100" s="255">
        <v>7</v>
      </c>
      <c r="H100" s="167">
        <v>629.5</v>
      </c>
      <c r="I100" s="168">
        <v>173</v>
      </c>
      <c r="J100" s="174">
        <f>I100/F100</f>
        <v>173</v>
      </c>
      <c r="K100" s="76">
        <f>H100/I100</f>
        <v>3.638728323699422</v>
      </c>
      <c r="L100" s="75">
        <v>50166.5</v>
      </c>
      <c r="M100" s="174">
        <v>4593</v>
      </c>
      <c r="N100" s="230">
        <f>+L100/M100</f>
        <v>10.9223818854779</v>
      </c>
      <c r="O100" s="149"/>
    </row>
    <row r="101" spans="1:15" ht="15">
      <c r="A101" s="138">
        <v>98</v>
      </c>
      <c r="B101" s="225" t="s">
        <v>116</v>
      </c>
      <c r="C101" s="52">
        <v>40158</v>
      </c>
      <c r="D101" s="60" t="s">
        <v>154</v>
      </c>
      <c r="E101" s="254">
        <v>6</v>
      </c>
      <c r="F101" s="254">
        <v>4</v>
      </c>
      <c r="G101" s="254">
        <v>5</v>
      </c>
      <c r="H101" s="77">
        <v>442</v>
      </c>
      <c r="I101" s="78">
        <v>69</v>
      </c>
      <c r="J101" s="79">
        <f>IF(H101&lt;&gt;0,I101/F101,"")</f>
        <v>17.25</v>
      </c>
      <c r="K101" s="80">
        <f>IF(H101&lt;&gt;0,H101/I101,"")</f>
        <v>6.405797101449275</v>
      </c>
      <c r="L101" s="81">
        <v>49415</v>
      </c>
      <c r="M101" s="128">
        <v>4399</v>
      </c>
      <c r="N101" s="233">
        <f>IF(L101&lt;&gt;0,L101/M101,"")</f>
        <v>11.23323482609684</v>
      </c>
      <c r="O101" s="149"/>
    </row>
    <row r="102" spans="1:15" ht="15">
      <c r="A102" s="138">
        <v>99</v>
      </c>
      <c r="B102" s="229" t="s">
        <v>116</v>
      </c>
      <c r="C102" s="69">
        <v>40158</v>
      </c>
      <c r="D102" s="60" t="s">
        <v>154</v>
      </c>
      <c r="E102" s="255">
        <v>6</v>
      </c>
      <c r="F102" s="255">
        <v>1</v>
      </c>
      <c r="G102" s="255">
        <v>6</v>
      </c>
      <c r="H102" s="145">
        <v>122</v>
      </c>
      <c r="I102" s="146">
        <v>21</v>
      </c>
      <c r="J102" s="128">
        <f>IF(H102&lt;&gt;0,I102/F102,"")</f>
        <v>21</v>
      </c>
      <c r="K102" s="74">
        <f>IF(H102&lt;&gt;0,H102/I102,"")</f>
        <v>5.809523809523809</v>
      </c>
      <c r="L102" s="101">
        <v>49537</v>
      </c>
      <c r="M102" s="128">
        <v>4420</v>
      </c>
      <c r="N102" s="230">
        <f>IF(L102&lt;&gt;0,L102/M102,"")</f>
        <v>11.207466063348416</v>
      </c>
      <c r="O102" s="147"/>
    </row>
    <row r="103" spans="1:15" ht="15">
      <c r="A103" s="138">
        <v>100</v>
      </c>
      <c r="B103" s="353" t="s">
        <v>116</v>
      </c>
      <c r="C103" s="169">
        <v>40158</v>
      </c>
      <c r="D103" s="170" t="s">
        <v>154</v>
      </c>
      <c r="E103" s="210">
        <v>6</v>
      </c>
      <c r="F103" s="210">
        <v>1</v>
      </c>
      <c r="G103" s="210">
        <v>8</v>
      </c>
      <c r="H103" s="171">
        <v>750</v>
      </c>
      <c r="I103" s="172">
        <v>125</v>
      </c>
      <c r="J103" s="174">
        <f>I103/F103</f>
        <v>125</v>
      </c>
      <c r="K103" s="76">
        <f>H103/I103</f>
        <v>6</v>
      </c>
      <c r="L103" s="75">
        <v>50916.5</v>
      </c>
      <c r="M103" s="174">
        <v>4718</v>
      </c>
      <c r="N103" s="230">
        <f>+L103/M103</f>
        <v>10.791966935142009</v>
      </c>
      <c r="O103" s="148"/>
    </row>
    <row r="104" spans="1:15" ht="15">
      <c r="A104" s="138">
        <v>101</v>
      </c>
      <c r="B104" s="225" t="s">
        <v>42</v>
      </c>
      <c r="C104" s="52">
        <v>40074</v>
      </c>
      <c r="D104" s="60" t="s">
        <v>154</v>
      </c>
      <c r="E104" s="254">
        <v>65</v>
      </c>
      <c r="F104" s="254">
        <v>2</v>
      </c>
      <c r="G104" s="254">
        <v>11</v>
      </c>
      <c r="H104" s="77">
        <v>448</v>
      </c>
      <c r="I104" s="78">
        <v>83</v>
      </c>
      <c r="J104" s="79">
        <f>IF(H104&lt;&gt;0,I104/F104,"")</f>
        <v>41.5</v>
      </c>
      <c r="K104" s="80">
        <f>IF(H104&lt;&gt;0,H104/I104,"")</f>
        <v>5.397590361445783</v>
      </c>
      <c r="L104" s="81">
        <v>558893</v>
      </c>
      <c r="M104" s="128">
        <v>62285</v>
      </c>
      <c r="N104" s="233">
        <f>IF(L104&lt;&gt;0,L104/M104,"")</f>
        <v>8.973155655454764</v>
      </c>
      <c r="O104" s="149"/>
    </row>
    <row r="105" spans="1:15" ht="15">
      <c r="A105" s="138">
        <v>102</v>
      </c>
      <c r="B105" s="229" t="s">
        <v>42</v>
      </c>
      <c r="C105" s="69">
        <v>40074</v>
      </c>
      <c r="D105" s="60" t="s">
        <v>154</v>
      </c>
      <c r="E105" s="255">
        <v>65</v>
      </c>
      <c r="F105" s="255">
        <v>1</v>
      </c>
      <c r="G105" s="255">
        <v>12</v>
      </c>
      <c r="H105" s="167">
        <v>433</v>
      </c>
      <c r="I105" s="168">
        <v>61</v>
      </c>
      <c r="J105" s="174">
        <f>IF(H105&lt;&gt;0,I105/F105,"")</f>
        <v>61</v>
      </c>
      <c r="K105" s="76">
        <f>IF(H105&lt;&gt;0,H105/I105,"")</f>
        <v>7.098360655737705</v>
      </c>
      <c r="L105" s="75">
        <v>559406</v>
      </c>
      <c r="M105" s="174">
        <v>62362</v>
      </c>
      <c r="N105" s="230">
        <f>IF(L105&lt;&gt;0,L105/M105,"")</f>
        <v>8.970302427760496</v>
      </c>
      <c r="O105" s="147"/>
    </row>
    <row r="106" spans="1:15" ht="15">
      <c r="A106" s="138">
        <v>103</v>
      </c>
      <c r="B106" s="229" t="s">
        <v>78</v>
      </c>
      <c r="C106" s="69">
        <v>40137</v>
      </c>
      <c r="D106" s="102" t="s">
        <v>151</v>
      </c>
      <c r="E106" s="255">
        <v>61</v>
      </c>
      <c r="F106" s="255">
        <v>4</v>
      </c>
      <c r="G106" s="255">
        <v>8</v>
      </c>
      <c r="H106" s="72">
        <v>2148</v>
      </c>
      <c r="I106" s="73">
        <v>594</v>
      </c>
      <c r="J106" s="174">
        <f aca="true" t="shared" si="12" ref="J106:J120">I106/F106</f>
        <v>148.5</v>
      </c>
      <c r="K106" s="76">
        <f>+H106/I106</f>
        <v>3.6161616161616164</v>
      </c>
      <c r="L106" s="75">
        <v>458401</v>
      </c>
      <c r="M106" s="174">
        <v>42433</v>
      </c>
      <c r="N106" s="230">
        <f aca="true" t="shared" si="13" ref="N106:N119">+L106/M106</f>
        <v>10.802936393844414</v>
      </c>
      <c r="O106" s="150"/>
    </row>
    <row r="107" spans="1:15" ht="15">
      <c r="A107" s="138">
        <v>104</v>
      </c>
      <c r="B107" s="229" t="s">
        <v>78</v>
      </c>
      <c r="C107" s="69">
        <v>40137</v>
      </c>
      <c r="D107" s="102" t="s">
        <v>151</v>
      </c>
      <c r="E107" s="255">
        <v>61</v>
      </c>
      <c r="F107" s="255">
        <v>1</v>
      </c>
      <c r="G107" s="255">
        <v>9</v>
      </c>
      <c r="H107" s="72">
        <v>989</v>
      </c>
      <c r="I107" s="100">
        <v>157</v>
      </c>
      <c r="J107" s="128">
        <f t="shared" si="12"/>
        <v>157</v>
      </c>
      <c r="K107" s="74">
        <f>+H107/I107</f>
        <v>6.2993630573248405</v>
      </c>
      <c r="L107" s="75">
        <v>459390</v>
      </c>
      <c r="M107" s="128">
        <v>42590</v>
      </c>
      <c r="N107" s="228">
        <f t="shared" si="13"/>
        <v>10.786334820380372</v>
      </c>
      <c r="O107" s="149"/>
    </row>
    <row r="108" spans="1:15" ht="15">
      <c r="A108" s="138">
        <v>105</v>
      </c>
      <c r="B108" s="237" t="s">
        <v>78</v>
      </c>
      <c r="C108" s="103">
        <v>40137</v>
      </c>
      <c r="D108" s="104" t="s">
        <v>151</v>
      </c>
      <c r="E108" s="258">
        <v>61</v>
      </c>
      <c r="F108" s="258">
        <v>1</v>
      </c>
      <c r="G108" s="258">
        <v>7</v>
      </c>
      <c r="H108" s="105">
        <v>768</v>
      </c>
      <c r="I108" s="121">
        <v>63</v>
      </c>
      <c r="J108" s="106">
        <f t="shared" si="12"/>
        <v>63</v>
      </c>
      <c r="K108" s="108">
        <f>+H108/I108</f>
        <v>12.19047619047619</v>
      </c>
      <c r="L108" s="107">
        <v>456253</v>
      </c>
      <c r="M108" s="106">
        <v>41839</v>
      </c>
      <c r="N108" s="238">
        <f t="shared" si="13"/>
        <v>10.9049690480174</v>
      </c>
      <c r="O108" s="149"/>
    </row>
    <row r="109" spans="1:15" ht="15">
      <c r="A109" s="138">
        <v>106</v>
      </c>
      <c r="B109" s="225" t="s">
        <v>79</v>
      </c>
      <c r="C109" s="69">
        <v>40137</v>
      </c>
      <c r="D109" s="60" t="s">
        <v>150</v>
      </c>
      <c r="E109" s="255">
        <v>20</v>
      </c>
      <c r="F109" s="255">
        <v>2</v>
      </c>
      <c r="G109" s="255">
        <v>11</v>
      </c>
      <c r="H109" s="99">
        <v>12778</v>
      </c>
      <c r="I109" s="100">
        <v>1094</v>
      </c>
      <c r="J109" s="128">
        <f t="shared" si="12"/>
        <v>547</v>
      </c>
      <c r="K109" s="74">
        <f aca="true" t="shared" si="14" ref="K109:K122">H109/I109</f>
        <v>11.680073126142595</v>
      </c>
      <c r="L109" s="101">
        <f>997860+4193+617+10063+7010+12778</f>
        <v>1032521</v>
      </c>
      <c r="M109" s="128">
        <f>81544+595+106+1265+874+1094</f>
        <v>85478</v>
      </c>
      <c r="N109" s="228">
        <f t="shared" si="13"/>
        <v>12.07937714967594</v>
      </c>
      <c r="O109" s="147"/>
    </row>
    <row r="110" spans="1:15" ht="15">
      <c r="A110" s="138">
        <v>107</v>
      </c>
      <c r="B110" s="225" t="s">
        <v>79</v>
      </c>
      <c r="C110" s="52">
        <v>40137</v>
      </c>
      <c r="D110" s="62" t="s">
        <v>150</v>
      </c>
      <c r="E110" s="254">
        <v>20</v>
      </c>
      <c r="F110" s="254">
        <v>2</v>
      </c>
      <c r="G110" s="254">
        <v>9</v>
      </c>
      <c r="H110" s="54">
        <v>10063</v>
      </c>
      <c r="I110" s="63">
        <v>1265</v>
      </c>
      <c r="J110" s="64">
        <f t="shared" si="12"/>
        <v>632.5</v>
      </c>
      <c r="K110" s="57">
        <f t="shared" si="14"/>
        <v>7.95494071146245</v>
      </c>
      <c r="L110" s="58">
        <f>997860+4193+617+10063</f>
        <v>1012733</v>
      </c>
      <c r="M110" s="65">
        <f>81544+595+106+1265</f>
        <v>83510</v>
      </c>
      <c r="N110" s="227">
        <f t="shared" si="13"/>
        <v>12.12708657645791</v>
      </c>
      <c r="O110" s="180"/>
    </row>
    <row r="111" spans="1:15" ht="15">
      <c r="A111" s="138">
        <v>108</v>
      </c>
      <c r="B111" s="225" t="s">
        <v>79</v>
      </c>
      <c r="C111" s="52">
        <v>40137</v>
      </c>
      <c r="D111" s="66" t="s">
        <v>150</v>
      </c>
      <c r="E111" s="254">
        <v>20</v>
      </c>
      <c r="F111" s="254">
        <v>2</v>
      </c>
      <c r="G111" s="254">
        <v>10</v>
      </c>
      <c r="H111" s="67">
        <v>7010</v>
      </c>
      <c r="I111" s="63">
        <v>874</v>
      </c>
      <c r="J111" s="64">
        <f t="shared" si="12"/>
        <v>437</v>
      </c>
      <c r="K111" s="57">
        <f t="shared" si="14"/>
        <v>8.020594965675057</v>
      </c>
      <c r="L111" s="68">
        <f>997860+4193+617+10063+7010</f>
        <v>1019743</v>
      </c>
      <c r="M111" s="65">
        <f>81544+595+106+1265+874</f>
        <v>84384</v>
      </c>
      <c r="N111" s="227">
        <f t="shared" si="13"/>
        <v>12.084553943875616</v>
      </c>
      <c r="O111" s="180"/>
    </row>
    <row r="112" spans="1:15" ht="15">
      <c r="A112" s="138">
        <v>109</v>
      </c>
      <c r="B112" s="225" t="s">
        <v>79</v>
      </c>
      <c r="C112" s="52">
        <v>40137</v>
      </c>
      <c r="D112" s="53" t="s">
        <v>150</v>
      </c>
      <c r="E112" s="254">
        <v>20</v>
      </c>
      <c r="F112" s="254">
        <v>1</v>
      </c>
      <c r="G112" s="254">
        <v>7</v>
      </c>
      <c r="H112" s="54">
        <v>4193</v>
      </c>
      <c r="I112" s="55">
        <v>595</v>
      </c>
      <c r="J112" s="56">
        <f t="shared" si="12"/>
        <v>595</v>
      </c>
      <c r="K112" s="57">
        <f t="shared" si="14"/>
        <v>7.047058823529412</v>
      </c>
      <c r="L112" s="58">
        <f>997860+4193</f>
        <v>1002053</v>
      </c>
      <c r="M112" s="59">
        <f>81544+595</f>
        <v>82139</v>
      </c>
      <c r="N112" s="227">
        <f t="shared" si="13"/>
        <v>12.1994789320542</v>
      </c>
      <c r="O112" s="148"/>
    </row>
    <row r="113" spans="1:15" ht="15">
      <c r="A113" s="138">
        <v>110</v>
      </c>
      <c r="B113" s="229" t="s">
        <v>79</v>
      </c>
      <c r="C113" s="169">
        <v>40137</v>
      </c>
      <c r="D113" s="60" t="s">
        <v>150</v>
      </c>
      <c r="E113" s="210">
        <v>20</v>
      </c>
      <c r="F113" s="210">
        <v>1</v>
      </c>
      <c r="G113" s="210">
        <v>16</v>
      </c>
      <c r="H113" s="171">
        <v>1595</v>
      </c>
      <c r="I113" s="172">
        <v>247</v>
      </c>
      <c r="J113" s="174">
        <f t="shared" si="12"/>
        <v>247</v>
      </c>
      <c r="K113" s="76">
        <f t="shared" si="14"/>
        <v>6.4574898785425106</v>
      </c>
      <c r="L113" s="75">
        <f>1034595+1595</f>
        <v>1036190</v>
      </c>
      <c r="M113" s="174">
        <f>85844+247</f>
        <v>86091</v>
      </c>
      <c r="N113" s="230">
        <f t="shared" si="13"/>
        <v>12.03598517847394</v>
      </c>
      <c r="O113" s="147"/>
    </row>
    <row r="114" spans="1:15" ht="15">
      <c r="A114" s="138">
        <v>111</v>
      </c>
      <c r="B114" s="229" t="s">
        <v>79</v>
      </c>
      <c r="C114" s="69">
        <v>40137</v>
      </c>
      <c r="D114" s="60" t="s">
        <v>150</v>
      </c>
      <c r="E114" s="255">
        <v>20</v>
      </c>
      <c r="F114" s="255">
        <v>1</v>
      </c>
      <c r="G114" s="255">
        <v>14</v>
      </c>
      <c r="H114" s="167">
        <v>1190</v>
      </c>
      <c r="I114" s="168">
        <v>238</v>
      </c>
      <c r="J114" s="174">
        <f t="shared" si="12"/>
        <v>238</v>
      </c>
      <c r="K114" s="76">
        <f t="shared" si="14"/>
        <v>5</v>
      </c>
      <c r="L114" s="75">
        <v>1034451</v>
      </c>
      <c r="M114" s="174">
        <v>85822</v>
      </c>
      <c r="N114" s="230">
        <f t="shared" si="13"/>
        <v>12.053447833888747</v>
      </c>
      <c r="O114" s="149"/>
    </row>
    <row r="115" spans="1:15" ht="15">
      <c r="A115" s="138">
        <v>112</v>
      </c>
      <c r="B115" s="225" t="s">
        <v>79</v>
      </c>
      <c r="C115" s="52">
        <v>40137</v>
      </c>
      <c r="D115" s="60" t="s">
        <v>150</v>
      </c>
      <c r="E115" s="254">
        <v>20</v>
      </c>
      <c r="F115" s="254">
        <v>1</v>
      </c>
      <c r="G115" s="254">
        <v>8</v>
      </c>
      <c r="H115" s="54">
        <v>617</v>
      </c>
      <c r="I115" s="55">
        <v>106</v>
      </c>
      <c r="J115" s="56">
        <f t="shared" si="12"/>
        <v>106</v>
      </c>
      <c r="K115" s="61">
        <f t="shared" si="14"/>
        <v>5.820754716981132</v>
      </c>
      <c r="L115" s="58">
        <f>997860+4193+617</f>
        <v>1002670</v>
      </c>
      <c r="M115" s="59">
        <f>81544+595+106</f>
        <v>82245</v>
      </c>
      <c r="N115" s="226">
        <f t="shared" si="13"/>
        <v>12.19125782722354</v>
      </c>
      <c r="O115" s="181"/>
    </row>
    <row r="116" spans="1:15" ht="15">
      <c r="A116" s="138">
        <v>113</v>
      </c>
      <c r="B116" s="229" t="s">
        <v>79</v>
      </c>
      <c r="C116" s="69">
        <v>40137</v>
      </c>
      <c r="D116" s="60" t="s">
        <v>150</v>
      </c>
      <c r="E116" s="255">
        <v>20</v>
      </c>
      <c r="F116" s="255">
        <v>1</v>
      </c>
      <c r="G116" s="255">
        <v>13</v>
      </c>
      <c r="H116" s="167">
        <v>441</v>
      </c>
      <c r="I116" s="168">
        <v>63</v>
      </c>
      <c r="J116" s="174">
        <f t="shared" si="12"/>
        <v>63</v>
      </c>
      <c r="K116" s="76">
        <f t="shared" si="14"/>
        <v>7</v>
      </c>
      <c r="L116" s="75">
        <v>1033263</v>
      </c>
      <c r="M116" s="174">
        <v>85584</v>
      </c>
      <c r="N116" s="230">
        <f t="shared" si="13"/>
        <v>12.073086090858105</v>
      </c>
      <c r="O116" s="147"/>
    </row>
    <row r="117" spans="1:15" ht="15">
      <c r="A117" s="138">
        <v>114</v>
      </c>
      <c r="B117" s="229" t="s">
        <v>79</v>
      </c>
      <c r="C117" s="69">
        <v>40137</v>
      </c>
      <c r="D117" s="60" t="s">
        <v>150</v>
      </c>
      <c r="E117" s="255">
        <v>20</v>
      </c>
      <c r="F117" s="255">
        <v>1</v>
      </c>
      <c r="G117" s="255">
        <v>12</v>
      </c>
      <c r="H117" s="145">
        <v>301</v>
      </c>
      <c r="I117" s="146">
        <v>43</v>
      </c>
      <c r="J117" s="128">
        <f t="shared" si="12"/>
        <v>43</v>
      </c>
      <c r="K117" s="74">
        <f t="shared" si="14"/>
        <v>7</v>
      </c>
      <c r="L117" s="101">
        <f>1032521+301</f>
        <v>1032822</v>
      </c>
      <c r="M117" s="128">
        <f>85478+43</f>
        <v>85521</v>
      </c>
      <c r="N117" s="230">
        <f t="shared" si="13"/>
        <v>12.076823236398077</v>
      </c>
      <c r="O117" s="147"/>
    </row>
    <row r="118" spans="1:15" ht="15">
      <c r="A118" s="138">
        <v>115</v>
      </c>
      <c r="B118" s="229" t="s">
        <v>79</v>
      </c>
      <c r="C118" s="169">
        <v>40137</v>
      </c>
      <c r="D118" s="60" t="s">
        <v>150</v>
      </c>
      <c r="E118" s="210">
        <v>20</v>
      </c>
      <c r="F118" s="210">
        <v>1</v>
      </c>
      <c r="G118" s="210">
        <v>15</v>
      </c>
      <c r="H118" s="171">
        <v>144</v>
      </c>
      <c r="I118" s="172">
        <v>22</v>
      </c>
      <c r="J118" s="174">
        <f t="shared" si="12"/>
        <v>22</v>
      </c>
      <c r="K118" s="76">
        <f t="shared" si="14"/>
        <v>6.545454545454546</v>
      </c>
      <c r="L118" s="75">
        <v>1034595</v>
      </c>
      <c r="M118" s="174">
        <v>85844</v>
      </c>
      <c r="N118" s="230">
        <f t="shared" si="13"/>
        <v>12.052036251805601</v>
      </c>
      <c r="O118" s="149"/>
    </row>
    <row r="119" spans="1:15" ht="15">
      <c r="A119" s="138">
        <v>116</v>
      </c>
      <c r="B119" s="353" t="s">
        <v>79</v>
      </c>
      <c r="C119" s="169">
        <v>40137</v>
      </c>
      <c r="D119" s="60" t="s">
        <v>150</v>
      </c>
      <c r="E119" s="210">
        <v>20</v>
      </c>
      <c r="F119" s="210">
        <v>1</v>
      </c>
      <c r="G119" s="210">
        <v>17</v>
      </c>
      <c r="H119" s="171">
        <v>413</v>
      </c>
      <c r="I119" s="172">
        <v>59</v>
      </c>
      <c r="J119" s="174">
        <f t="shared" si="12"/>
        <v>59</v>
      </c>
      <c r="K119" s="76">
        <f t="shared" si="14"/>
        <v>7</v>
      </c>
      <c r="L119" s="75">
        <f>1034595+1595+413</f>
        <v>1036603</v>
      </c>
      <c r="M119" s="174">
        <f>85844+247+59</f>
        <v>86150</v>
      </c>
      <c r="N119" s="230">
        <f t="shared" si="13"/>
        <v>12.032536273940801</v>
      </c>
      <c r="O119" s="147"/>
    </row>
    <row r="120" spans="1:15" ht="15">
      <c r="A120" s="138">
        <v>117</v>
      </c>
      <c r="B120" s="229" t="s">
        <v>170</v>
      </c>
      <c r="C120" s="69">
        <v>40123</v>
      </c>
      <c r="D120" s="60" t="s">
        <v>157</v>
      </c>
      <c r="E120" s="255">
        <v>25</v>
      </c>
      <c r="F120" s="255">
        <v>1</v>
      </c>
      <c r="G120" s="255">
        <v>9</v>
      </c>
      <c r="H120" s="167">
        <v>1423</v>
      </c>
      <c r="I120" s="168">
        <v>285</v>
      </c>
      <c r="J120" s="174">
        <f t="shared" si="12"/>
        <v>285</v>
      </c>
      <c r="K120" s="76">
        <f t="shared" si="14"/>
        <v>4.992982456140351</v>
      </c>
      <c r="L120" s="75">
        <v>272726</v>
      </c>
      <c r="M120" s="174">
        <v>22531</v>
      </c>
      <c r="N120" s="230">
        <f>L120/M120</f>
        <v>12.104478274377524</v>
      </c>
      <c r="O120" s="148"/>
    </row>
    <row r="121" spans="1:15" ht="15">
      <c r="A121" s="138">
        <v>118</v>
      </c>
      <c r="B121" s="229" t="s">
        <v>118</v>
      </c>
      <c r="C121" s="69">
        <v>40102</v>
      </c>
      <c r="D121" s="70" t="s">
        <v>152</v>
      </c>
      <c r="E121" s="255">
        <v>22</v>
      </c>
      <c r="F121" s="255">
        <v>1</v>
      </c>
      <c r="G121" s="255">
        <v>6</v>
      </c>
      <c r="H121" s="54">
        <v>1081.5</v>
      </c>
      <c r="I121" s="55">
        <v>369</v>
      </c>
      <c r="J121" s="56">
        <f>(I121/F121)</f>
        <v>369</v>
      </c>
      <c r="K121" s="61">
        <f t="shared" si="14"/>
        <v>2.930894308943089</v>
      </c>
      <c r="L121" s="58">
        <f>129717.5+110957+18478+6527+6853.5+1081.5</f>
        <v>273614.5</v>
      </c>
      <c r="M121" s="59">
        <f>10402+8975+1885+691+1109+369</f>
        <v>23431</v>
      </c>
      <c r="N121" s="226">
        <f>L121/M121</f>
        <v>11.677457214800905</v>
      </c>
      <c r="O121" s="149"/>
    </row>
    <row r="122" spans="1:15" ht="15">
      <c r="A122" s="138">
        <v>119</v>
      </c>
      <c r="B122" s="231" t="s">
        <v>118</v>
      </c>
      <c r="C122" s="85">
        <v>40102</v>
      </c>
      <c r="D122" s="86" t="s">
        <v>152</v>
      </c>
      <c r="E122" s="256">
        <v>22</v>
      </c>
      <c r="F122" s="256">
        <v>2</v>
      </c>
      <c r="G122" s="256">
        <v>7</v>
      </c>
      <c r="H122" s="54">
        <v>738.5</v>
      </c>
      <c r="I122" s="63">
        <v>262</v>
      </c>
      <c r="J122" s="64">
        <f>(I122/F122)</f>
        <v>131</v>
      </c>
      <c r="K122" s="57">
        <f t="shared" si="14"/>
        <v>2.818702290076336</v>
      </c>
      <c r="L122" s="58">
        <f>129717.5+110957+18478+6527+6853.5+1081.5+738.5</f>
        <v>274353</v>
      </c>
      <c r="M122" s="65">
        <f>10402+8975+1885+691+1109+369+262</f>
        <v>23693</v>
      </c>
      <c r="N122" s="227">
        <f>L122/M122</f>
        <v>11.579496053686743</v>
      </c>
      <c r="O122" s="149"/>
    </row>
    <row r="123" spans="1:15" ht="15">
      <c r="A123" s="138">
        <v>120</v>
      </c>
      <c r="B123" s="237" t="s">
        <v>85</v>
      </c>
      <c r="C123" s="103">
        <v>40172</v>
      </c>
      <c r="D123" s="104" t="s">
        <v>151</v>
      </c>
      <c r="E123" s="258">
        <v>51</v>
      </c>
      <c r="F123" s="258">
        <v>51</v>
      </c>
      <c r="G123" s="258">
        <v>2</v>
      </c>
      <c r="H123" s="105">
        <v>175309</v>
      </c>
      <c r="I123" s="121">
        <v>14721</v>
      </c>
      <c r="J123" s="106">
        <f>I123/F123</f>
        <v>288.6470588235294</v>
      </c>
      <c r="K123" s="108">
        <f>+H123/I123</f>
        <v>11.908769784661368</v>
      </c>
      <c r="L123" s="107">
        <v>448889</v>
      </c>
      <c r="M123" s="106">
        <v>39522</v>
      </c>
      <c r="N123" s="238">
        <f>+L123/M123</f>
        <v>11.35795253276656</v>
      </c>
      <c r="O123" s="147">
        <v>1</v>
      </c>
    </row>
    <row r="124" spans="1:15" ht="15">
      <c r="A124" s="138">
        <v>121</v>
      </c>
      <c r="B124" s="229" t="s">
        <v>85</v>
      </c>
      <c r="C124" s="69">
        <v>40172</v>
      </c>
      <c r="D124" s="102" t="s">
        <v>151</v>
      </c>
      <c r="E124" s="255">
        <v>51</v>
      </c>
      <c r="F124" s="255">
        <v>38</v>
      </c>
      <c r="G124" s="255">
        <v>3</v>
      </c>
      <c r="H124" s="72">
        <v>69657</v>
      </c>
      <c r="I124" s="73">
        <v>6224</v>
      </c>
      <c r="J124" s="174">
        <f>I124/F124</f>
        <v>163.78947368421052</v>
      </c>
      <c r="K124" s="76">
        <f>+H124/I124</f>
        <v>11.19167737789203</v>
      </c>
      <c r="L124" s="75">
        <v>518546</v>
      </c>
      <c r="M124" s="174">
        <v>45746</v>
      </c>
      <c r="N124" s="230">
        <f>+L124/M124</f>
        <v>11.335329864906221</v>
      </c>
      <c r="O124" s="148">
        <v>1</v>
      </c>
    </row>
    <row r="125" spans="1:15" ht="15">
      <c r="A125" s="138">
        <v>122</v>
      </c>
      <c r="B125" s="229" t="s">
        <v>85</v>
      </c>
      <c r="C125" s="69">
        <v>40172</v>
      </c>
      <c r="D125" s="102" t="s">
        <v>151</v>
      </c>
      <c r="E125" s="255">
        <v>51</v>
      </c>
      <c r="F125" s="255">
        <v>12</v>
      </c>
      <c r="G125" s="255">
        <v>4</v>
      </c>
      <c r="H125" s="72">
        <v>8478</v>
      </c>
      <c r="I125" s="100">
        <v>1260</v>
      </c>
      <c r="J125" s="128">
        <f>I125/F125</f>
        <v>105</v>
      </c>
      <c r="K125" s="74">
        <f>+H125/I125</f>
        <v>6.728571428571429</v>
      </c>
      <c r="L125" s="75">
        <v>527024</v>
      </c>
      <c r="M125" s="128">
        <v>47006</v>
      </c>
      <c r="N125" s="228">
        <f>+L125/M125</f>
        <v>11.211845296345148</v>
      </c>
      <c r="O125" s="149">
        <v>1</v>
      </c>
    </row>
    <row r="126" spans="1:15" ht="15">
      <c r="A126" s="138">
        <v>123</v>
      </c>
      <c r="B126" s="229" t="s">
        <v>85</v>
      </c>
      <c r="C126" s="69">
        <v>40172</v>
      </c>
      <c r="D126" s="109" t="s">
        <v>151</v>
      </c>
      <c r="E126" s="255">
        <v>51</v>
      </c>
      <c r="F126" s="255">
        <v>1</v>
      </c>
      <c r="G126" s="255">
        <v>5</v>
      </c>
      <c r="H126" s="99">
        <v>1239</v>
      </c>
      <c r="I126" s="100">
        <v>177</v>
      </c>
      <c r="J126" s="128">
        <f>I126/F126</f>
        <v>177</v>
      </c>
      <c r="K126" s="74">
        <f>+H126/I126</f>
        <v>7</v>
      </c>
      <c r="L126" s="101">
        <v>528263</v>
      </c>
      <c r="M126" s="128">
        <v>47183</v>
      </c>
      <c r="N126" s="228">
        <f>+L126/M126</f>
        <v>11.19604518576606</v>
      </c>
      <c r="O126" s="149">
        <v>1</v>
      </c>
    </row>
    <row r="127" spans="1:15" ht="15">
      <c r="A127" s="138">
        <v>124</v>
      </c>
      <c r="B127" s="229" t="s">
        <v>19</v>
      </c>
      <c r="C127" s="69">
        <v>40172</v>
      </c>
      <c r="D127" s="71" t="s">
        <v>73</v>
      </c>
      <c r="E127" s="255">
        <v>196</v>
      </c>
      <c r="F127" s="255">
        <v>196</v>
      </c>
      <c r="G127" s="255">
        <v>2</v>
      </c>
      <c r="H127" s="72">
        <v>546264.5</v>
      </c>
      <c r="I127" s="73">
        <v>66898</v>
      </c>
      <c r="J127" s="83">
        <f>IF(H127&lt;&gt;0,I127/F127,"")</f>
        <v>341.31632653061223</v>
      </c>
      <c r="K127" s="80">
        <f>IF(H127&lt;&gt;0,H127/I127,"")</f>
        <v>8.165632754342433</v>
      </c>
      <c r="L127" s="75">
        <f>821982.75+546264.5</f>
        <v>1368247.25</v>
      </c>
      <c r="M127" s="174">
        <f>109740+66898</f>
        <v>176638</v>
      </c>
      <c r="N127" s="233">
        <f>IF(L127&lt;&gt;0,L127/M127,"")</f>
        <v>7.746052661375242</v>
      </c>
      <c r="O127" s="150">
        <v>1</v>
      </c>
    </row>
    <row r="128" spans="1:15" ht="15">
      <c r="A128" s="138">
        <v>125</v>
      </c>
      <c r="B128" s="229" t="s">
        <v>88</v>
      </c>
      <c r="C128" s="69">
        <v>40172</v>
      </c>
      <c r="D128" s="70" t="s">
        <v>73</v>
      </c>
      <c r="E128" s="255">
        <v>196</v>
      </c>
      <c r="F128" s="255">
        <v>183</v>
      </c>
      <c r="G128" s="255">
        <v>3</v>
      </c>
      <c r="H128" s="72">
        <v>300546.5</v>
      </c>
      <c r="I128" s="73">
        <v>39464</v>
      </c>
      <c r="J128" s="174">
        <f>I128/F128</f>
        <v>215.65027322404373</v>
      </c>
      <c r="K128" s="76">
        <f>+H128/I128</f>
        <v>7.615713054936144</v>
      </c>
      <c r="L128" s="75">
        <f>821982.75+546264.5+300546.5</f>
        <v>1668793.75</v>
      </c>
      <c r="M128" s="174">
        <f>109740+66898+39464</f>
        <v>216102</v>
      </c>
      <c r="N128" s="230">
        <f>+L128/M128</f>
        <v>7.722250372509278</v>
      </c>
      <c r="O128" s="149">
        <v>1</v>
      </c>
    </row>
    <row r="129" spans="1:15" ht="15">
      <c r="A129" s="138">
        <v>126</v>
      </c>
      <c r="B129" s="229" t="s">
        <v>19</v>
      </c>
      <c r="C129" s="69">
        <v>40172</v>
      </c>
      <c r="D129" s="70" t="s">
        <v>73</v>
      </c>
      <c r="E129" s="255">
        <v>196</v>
      </c>
      <c r="F129" s="255">
        <v>148</v>
      </c>
      <c r="G129" s="255">
        <v>4</v>
      </c>
      <c r="H129" s="72">
        <v>218412</v>
      </c>
      <c r="I129" s="100">
        <v>31918</v>
      </c>
      <c r="J129" s="79">
        <f>+I129/F129</f>
        <v>215.66216216216216</v>
      </c>
      <c r="K129" s="80">
        <f>+H129/I129</f>
        <v>6.842909956764208</v>
      </c>
      <c r="L129" s="75">
        <f>821982.75+546264.5+300546.5+218412</f>
        <v>1887205.75</v>
      </c>
      <c r="M129" s="128">
        <f>109740+66898+39464+31918</f>
        <v>248020</v>
      </c>
      <c r="N129" s="228">
        <f>+L129/M129</f>
        <v>7.609086968792839</v>
      </c>
      <c r="O129" s="179">
        <v>1</v>
      </c>
    </row>
    <row r="130" spans="1:15" ht="15">
      <c r="A130" s="138">
        <v>127</v>
      </c>
      <c r="B130" s="229" t="s">
        <v>19</v>
      </c>
      <c r="C130" s="69">
        <v>40172</v>
      </c>
      <c r="D130" s="66" t="s">
        <v>73</v>
      </c>
      <c r="E130" s="255">
        <v>196</v>
      </c>
      <c r="F130" s="255">
        <v>25</v>
      </c>
      <c r="G130" s="255">
        <v>5</v>
      </c>
      <c r="H130" s="99">
        <v>49105</v>
      </c>
      <c r="I130" s="100">
        <v>7919</v>
      </c>
      <c r="J130" s="64">
        <f>I130/F130</f>
        <v>316.76</v>
      </c>
      <c r="K130" s="57">
        <f>H130/I130</f>
        <v>6.2009092057077915</v>
      </c>
      <c r="L130" s="101">
        <f>821982.75+546264.5+300546.5+218412+49105</f>
        <v>1936310.75</v>
      </c>
      <c r="M130" s="128">
        <f>109740+66898+39464+31918+7910</f>
        <v>255930</v>
      </c>
      <c r="N130" s="227">
        <f>+L130/M130</f>
        <v>7.565782635876998</v>
      </c>
      <c r="O130" s="180">
        <v>1</v>
      </c>
    </row>
    <row r="131" spans="1:15" ht="15">
      <c r="A131" s="138">
        <v>128</v>
      </c>
      <c r="B131" s="229" t="s">
        <v>19</v>
      </c>
      <c r="C131" s="69">
        <v>40172</v>
      </c>
      <c r="D131" s="60" t="s">
        <v>73</v>
      </c>
      <c r="E131" s="255">
        <v>196</v>
      </c>
      <c r="F131" s="255">
        <v>16</v>
      </c>
      <c r="G131" s="255">
        <v>6</v>
      </c>
      <c r="H131" s="99">
        <v>23614</v>
      </c>
      <c r="I131" s="100">
        <v>4204</v>
      </c>
      <c r="J131" s="128">
        <f>I131/F131</f>
        <v>262.75</v>
      </c>
      <c r="K131" s="74">
        <f>H131/I131</f>
        <v>5.617031398667935</v>
      </c>
      <c r="L131" s="101">
        <f>821982.75+546264.5+300546.5+218412+49105+23614+196</f>
        <v>1960120.75</v>
      </c>
      <c r="M131" s="128">
        <f>109740+66898+39464+31918+7910+4204-8</f>
        <v>260126</v>
      </c>
      <c r="N131" s="228">
        <f>L131/M131</f>
        <v>7.535274251708787</v>
      </c>
      <c r="O131" s="147">
        <v>1</v>
      </c>
    </row>
    <row r="132" spans="1:15" ht="15">
      <c r="A132" s="138">
        <v>129</v>
      </c>
      <c r="B132" s="229" t="s">
        <v>19</v>
      </c>
      <c r="C132" s="69">
        <v>40172</v>
      </c>
      <c r="D132" s="60" t="s">
        <v>73</v>
      </c>
      <c r="E132" s="255">
        <v>196</v>
      </c>
      <c r="F132" s="255">
        <v>14</v>
      </c>
      <c r="G132" s="255">
        <v>7</v>
      </c>
      <c r="H132" s="145">
        <v>9844</v>
      </c>
      <c r="I132" s="146">
        <v>1658</v>
      </c>
      <c r="J132" s="128">
        <f>(I132/F132)</f>
        <v>118.42857142857143</v>
      </c>
      <c r="K132" s="74">
        <f>(J132/G132)</f>
        <v>16.918367346938776</v>
      </c>
      <c r="L132" s="101">
        <f>821982.75+546264.5+300546.5+218412+49105+23614+196+9844</f>
        <v>1969964.75</v>
      </c>
      <c r="M132" s="128">
        <f>109740+66898+39464+31918+7910+4204-8+1658-1</f>
        <v>261783</v>
      </c>
      <c r="N132" s="230">
        <f>L132/M132</f>
        <v>7.525182116485792</v>
      </c>
      <c r="O132" s="149">
        <v>1</v>
      </c>
    </row>
    <row r="133" spans="1:15" ht="15">
      <c r="A133" s="138">
        <v>130</v>
      </c>
      <c r="B133" s="239" t="s">
        <v>171</v>
      </c>
      <c r="C133" s="69">
        <v>40172</v>
      </c>
      <c r="D133" s="170" t="s">
        <v>73</v>
      </c>
      <c r="E133" s="255">
        <v>196</v>
      </c>
      <c r="F133" s="255">
        <v>2</v>
      </c>
      <c r="G133" s="255">
        <v>9</v>
      </c>
      <c r="H133" s="167">
        <v>2445</v>
      </c>
      <c r="I133" s="168">
        <v>431</v>
      </c>
      <c r="J133" s="174">
        <f>I133/F133</f>
        <v>215.5</v>
      </c>
      <c r="K133" s="76">
        <f>H133/I133</f>
        <v>5.672853828306264</v>
      </c>
      <c r="L133" s="75">
        <f>821982.75+546264.5+300546.5+218412+49105+23614+196+9844+340-11+2445</f>
        <v>1972738.75</v>
      </c>
      <c r="M133" s="174">
        <f>109740+66898+39464+31918+7910+4204-8+1658-1+56+431+18</f>
        <v>262288</v>
      </c>
      <c r="N133" s="230">
        <f>+L133/M133</f>
        <v>7.521269558653084</v>
      </c>
      <c r="O133" s="147"/>
    </row>
    <row r="134" spans="1:15" ht="15">
      <c r="A134" s="138">
        <v>131</v>
      </c>
      <c r="B134" s="229" t="s">
        <v>88</v>
      </c>
      <c r="C134" s="169">
        <v>40172</v>
      </c>
      <c r="D134" s="170" t="s">
        <v>73</v>
      </c>
      <c r="E134" s="210">
        <v>196</v>
      </c>
      <c r="F134" s="210">
        <v>1</v>
      </c>
      <c r="G134" s="210">
        <v>10</v>
      </c>
      <c r="H134" s="171">
        <v>535</v>
      </c>
      <c r="I134" s="172">
        <v>107</v>
      </c>
      <c r="J134" s="174">
        <f>I134/F134</f>
        <v>107</v>
      </c>
      <c r="K134" s="76">
        <f>H134/I134</f>
        <v>5</v>
      </c>
      <c r="L134" s="75">
        <f>821982.75+546264.5+300546.5+218412+49105+23614+196+9844+340-11+2445+535</f>
        <v>1973273.75</v>
      </c>
      <c r="M134" s="174">
        <f>109740+66898+39464+31918+7910+4204-8+1658-1+56+431+18+107</f>
        <v>262395</v>
      </c>
      <c r="N134" s="230">
        <f>+L134/M134</f>
        <v>7.520241429905296</v>
      </c>
      <c r="O134" s="147"/>
    </row>
    <row r="135" spans="1:15" ht="15">
      <c r="A135" s="138">
        <v>132</v>
      </c>
      <c r="B135" s="239" t="s">
        <v>171</v>
      </c>
      <c r="C135" s="169">
        <v>40172</v>
      </c>
      <c r="D135" s="170" t="s">
        <v>73</v>
      </c>
      <c r="E135" s="210">
        <v>196</v>
      </c>
      <c r="F135" s="210">
        <v>2</v>
      </c>
      <c r="G135" s="210">
        <v>8</v>
      </c>
      <c r="H135" s="171">
        <v>340</v>
      </c>
      <c r="I135" s="172">
        <v>56</v>
      </c>
      <c r="J135" s="174">
        <f>+I135/F135</f>
        <v>28</v>
      </c>
      <c r="K135" s="76">
        <f>+H135/I135</f>
        <v>6.071428571428571</v>
      </c>
      <c r="L135" s="173">
        <f>821982.75+546264.5+300546.5+218412+49105+23614+196+9844+340-11</f>
        <v>1970293.75</v>
      </c>
      <c r="M135" s="176">
        <f>109740+66898+39464+31918+7910+4204-8+1658-1+56</f>
        <v>261839</v>
      </c>
      <c r="N135" s="230">
        <f>+L135/M135</f>
        <v>7.524829188929075</v>
      </c>
      <c r="O135" s="149"/>
    </row>
    <row r="136" spans="1:15" ht="15">
      <c r="A136" s="138">
        <v>133</v>
      </c>
      <c r="B136" s="235" t="s">
        <v>27</v>
      </c>
      <c r="C136" s="52">
        <v>39920</v>
      </c>
      <c r="D136" s="110" t="s">
        <v>127</v>
      </c>
      <c r="E136" s="257">
        <v>132</v>
      </c>
      <c r="F136" s="257">
        <v>3</v>
      </c>
      <c r="G136" s="257">
        <v>19</v>
      </c>
      <c r="H136" s="111">
        <v>2655</v>
      </c>
      <c r="I136" s="112">
        <v>531</v>
      </c>
      <c r="J136" s="79">
        <f>+I136/F136</f>
        <v>177</v>
      </c>
      <c r="K136" s="80">
        <f>+H136/I136</f>
        <v>5</v>
      </c>
      <c r="L136" s="113">
        <v>914710</v>
      </c>
      <c r="M136" s="114">
        <v>117082</v>
      </c>
      <c r="N136" s="233">
        <f>+L136/M136</f>
        <v>7.812558719529902</v>
      </c>
      <c r="O136" s="148"/>
    </row>
    <row r="137" spans="1:15" ht="15">
      <c r="A137" s="138">
        <v>134</v>
      </c>
      <c r="B137" s="229" t="s">
        <v>43</v>
      </c>
      <c r="C137" s="69">
        <v>39926</v>
      </c>
      <c r="D137" s="120" t="s">
        <v>152</v>
      </c>
      <c r="E137" s="255">
        <v>40</v>
      </c>
      <c r="F137" s="255">
        <v>2</v>
      </c>
      <c r="G137" s="255">
        <v>30</v>
      </c>
      <c r="H137" s="54">
        <v>1280</v>
      </c>
      <c r="I137" s="55">
        <v>182</v>
      </c>
      <c r="J137" s="56">
        <f>(I137/F137)</f>
        <v>91</v>
      </c>
      <c r="K137" s="57">
        <f>H137/I137</f>
        <v>7.032967032967033</v>
      </c>
      <c r="L137" s="58">
        <f>35864.5+53058.5+35303.5+15734.5+12778.5+9687.5+8045+13953.5+10307+6140.75+1296+667+231+755+1970+2246+752.5+591.5+130+445+2051+750+1477+2060+1816+47+72+84+378+2301+1280</f>
        <v>222273.25</v>
      </c>
      <c r="M137" s="59">
        <f>3971+5771+3969+2398+2257+2131+1634+2509+1783+912+230+126+48+181+472+311+114+91+20+78+493+183+365+462+452+9+24+28+94+494+182</f>
        <v>31792</v>
      </c>
      <c r="N137" s="227">
        <f>L137/M137</f>
        <v>6.991483706592853</v>
      </c>
      <c r="O137" s="150"/>
    </row>
    <row r="138" spans="1:15" ht="15">
      <c r="A138" s="138">
        <v>135</v>
      </c>
      <c r="B138" s="229" t="s">
        <v>43</v>
      </c>
      <c r="C138" s="69">
        <v>39926</v>
      </c>
      <c r="D138" s="110" t="s">
        <v>152</v>
      </c>
      <c r="E138" s="255">
        <v>40</v>
      </c>
      <c r="F138" s="255">
        <v>2</v>
      </c>
      <c r="G138" s="255">
        <v>31</v>
      </c>
      <c r="H138" s="54">
        <v>700</v>
      </c>
      <c r="I138" s="55">
        <v>115</v>
      </c>
      <c r="J138" s="56">
        <f>(I138/F138)</f>
        <v>57.5</v>
      </c>
      <c r="K138" s="61">
        <f>H138/I138</f>
        <v>6.086956521739131</v>
      </c>
      <c r="L138" s="58">
        <f>35864.5+53058.5+35303.5+15734.5+12778.5+9687.5+8045+13953.5+10307+6140.75+1296+667+231+755+1970+2246+752.5+591.5+130+445+2051+750+1477+2060+1816+47+72+84+378+2301+1280+700</f>
        <v>222973.25</v>
      </c>
      <c r="M138" s="59">
        <f>3971+5771+3969+2398+2257+2131+1634+2509+1783+912+230+126+48+181+472+311+114+91+20+78+493+183+365+462+452+9+24+28+94+494+182+115</f>
        <v>31907</v>
      </c>
      <c r="N138" s="226">
        <f>L138/M138</f>
        <v>6.988223587300593</v>
      </c>
      <c r="O138" s="149"/>
    </row>
    <row r="139" spans="1:15" ht="15">
      <c r="A139" s="138">
        <v>136</v>
      </c>
      <c r="B139" s="229" t="s">
        <v>43</v>
      </c>
      <c r="C139" s="69">
        <v>39926</v>
      </c>
      <c r="D139" s="110" t="s">
        <v>152</v>
      </c>
      <c r="E139" s="255">
        <v>40</v>
      </c>
      <c r="F139" s="255">
        <v>1</v>
      </c>
      <c r="G139" s="255">
        <v>32</v>
      </c>
      <c r="H139" s="54">
        <v>256</v>
      </c>
      <c r="I139" s="63">
        <v>64</v>
      </c>
      <c r="J139" s="64">
        <f>(I139/F139)</f>
        <v>64</v>
      </c>
      <c r="K139" s="57">
        <f>H139/I139</f>
        <v>4</v>
      </c>
      <c r="L139" s="58">
        <f>35864.5+53058.5+35303.5+15734.5+12778.5+9687.5+8045+13953.5+10307+6140.75+1296+667+231+755+1970+2246+752.5+591.5+130+445+2051+750+1477+2060+1816+47+72+84+378+2301+1280+700+256</f>
        <v>223229.25</v>
      </c>
      <c r="M139" s="65">
        <f>3971+5771+3969+2398+2257+2131+1634+2509+1783+912+230+126+48+181+472+311+114+91+20+78+493+183+365+462+452+9+24+28+94+494+182+115+64</f>
        <v>31971</v>
      </c>
      <c r="N139" s="227">
        <f>L139/M139</f>
        <v>6.982241719057896</v>
      </c>
      <c r="O139" s="149"/>
    </row>
    <row r="140" spans="1:15" ht="15">
      <c r="A140" s="138">
        <v>137</v>
      </c>
      <c r="B140" s="353" t="s">
        <v>43</v>
      </c>
      <c r="C140" s="169">
        <v>39926</v>
      </c>
      <c r="D140" s="60" t="s">
        <v>152</v>
      </c>
      <c r="E140" s="210">
        <v>40</v>
      </c>
      <c r="F140" s="210">
        <v>1</v>
      </c>
      <c r="G140" s="210">
        <v>33</v>
      </c>
      <c r="H140" s="171">
        <v>1780</v>
      </c>
      <c r="I140" s="172">
        <v>445</v>
      </c>
      <c r="J140" s="174">
        <f>I140/F140</f>
        <v>445</v>
      </c>
      <c r="K140" s="76">
        <f>H140/I140</f>
        <v>4</v>
      </c>
      <c r="L140" s="75">
        <f>35864.5+53058.5+35303.5+15734.5+12778.5+9687.5+8045+13953.5+10307+6140.75+1296+667+231+755+1970+2246+752.5+591.5+130+445+2051+750+1477+2060+1816+47+72+84+378+2301+1280+700+256+1780</f>
        <v>225009.25</v>
      </c>
      <c r="M140" s="174">
        <f>3971+5771+3969+2398+2257+2131+1634+2509+1783+912+230+126+48+181+472+311+114+91+20+78+493+183+365+462+452+9+24+28+94+494+182+115+64+445</f>
        <v>32416</v>
      </c>
      <c r="N140" s="230">
        <f>+L140/M140</f>
        <v>6.941302134748272</v>
      </c>
      <c r="O140" s="147"/>
    </row>
    <row r="141" spans="1:15" ht="15">
      <c r="A141" s="138">
        <v>138</v>
      </c>
      <c r="B141" s="225" t="s">
        <v>75</v>
      </c>
      <c r="C141" s="52">
        <v>40123</v>
      </c>
      <c r="D141" s="60" t="s">
        <v>154</v>
      </c>
      <c r="E141" s="254">
        <v>58</v>
      </c>
      <c r="F141" s="254">
        <v>7</v>
      </c>
      <c r="G141" s="254">
        <v>9</v>
      </c>
      <c r="H141" s="77">
        <v>2843</v>
      </c>
      <c r="I141" s="82">
        <v>406</v>
      </c>
      <c r="J141" s="83">
        <f>IF(H141&lt;&gt;0,I141/F141,"")</f>
        <v>58</v>
      </c>
      <c r="K141" s="84">
        <f>IF(H141&lt;&gt;0,H141/I141,"")</f>
        <v>7.002463054187192</v>
      </c>
      <c r="L141" s="81">
        <v>471356.75</v>
      </c>
      <c r="M141" s="174">
        <v>45156</v>
      </c>
      <c r="N141" s="234">
        <f>IF(L141&lt;&gt;0,L141/M141,"")</f>
        <v>10.438407963504297</v>
      </c>
      <c r="O141" s="147"/>
    </row>
    <row r="142" spans="1:15" ht="15">
      <c r="A142" s="138">
        <v>139</v>
      </c>
      <c r="B142" s="229" t="s">
        <v>75</v>
      </c>
      <c r="C142" s="69">
        <v>40123</v>
      </c>
      <c r="D142" s="60" t="s">
        <v>154</v>
      </c>
      <c r="E142" s="255">
        <v>58</v>
      </c>
      <c r="F142" s="255">
        <v>3</v>
      </c>
      <c r="G142" s="255">
        <v>12</v>
      </c>
      <c r="H142" s="99">
        <v>2007</v>
      </c>
      <c r="I142" s="100">
        <v>364</v>
      </c>
      <c r="J142" s="128">
        <f>I142/F142</f>
        <v>121.33333333333333</v>
      </c>
      <c r="K142" s="74">
        <f>H142/I142</f>
        <v>5.513736263736264</v>
      </c>
      <c r="L142" s="101">
        <v>474913.75</v>
      </c>
      <c r="M142" s="128">
        <v>45796</v>
      </c>
      <c r="N142" s="228">
        <f>L142/M142</f>
        <v>10.370201545986548</v>
      </c>
      <c r="O142" s="149"/>
    </row>
    <row r="143" spans="1:15" ht="15">
      <c r="A143" s="138">
        <v>140</v>
      </c>
      <c r="B143" s="225" t="s">
        <v>75</v>
      </c>
      <c r="C143" s="52">
        <v>40123</v>
      </c>
      <c r="D143" s="60" t="s">
        <v>154</v>
      </c>
      <c r="E143" s="254">
        <v>58</v>
      </c>
      <c r="F143" s="254">
        <v>4</v>
      </c>
      <c r="G143" s="254">
        <v>10</v>
      </c>
      <c r="H143" s="77">
        <v>1180</v>
      </c>
      <c r="I143" s="78">
        <v>202</v>
      </c>
      <c r="J143" s="79">
        <f>IF(H143&lt;&gt;0,I143/F143,"")</f>
        <v>50.5</v>
      </c>
      <c r="K143" s="80">
        <f>IF(H143&lt;&gt;0,H143/I143,"")</f>
        <v>5.841584158415841</v>
      </c>
      <c r="L143" s="81">
        <v>472536.75</v>
      </c>
      <c r="M143" s="128">
        <v>45358</v>
      </c>
      <c r="N143" s="233">
        <f>IF(L143&lt;&gt;0,L143/M143,"")</f>
        <v>10.417936196481326</v>
      </c>
      <c r="O143" s="181"/>
    </row>
    <row r="144" spans="1:15" ht="15">
      <c r="A144" s="138">
        <v>141</v>
      </c>
      <c r="B144" s="229" t="s">
        <v>75</v>
      </c>
      <c r="C144" s="69">
        <v>40123</v>
      </c>
      <c r="D144" s="60" t="s">
        <v>154</v>
      </c>
      <c r="E144" s="255">
        <v>58</v>
      </c>
      <c r="F144" s="255">
        <v>2</v>
      </c>
      <c r="G144" s="255">
        <v>13</v>
      </c>
      <c r="H144" s="145">
        <v>1001</v>
      </c>
      <c r="I144" s="146">
        <v>135</v>
      </c>
      <c r="J144" s="128">
        <f>(I144/F144)</f>
        <v>67.5</v>
      </c>
      <c r="K144" s="74">
        <f>(J144/G144)</f>
        <v>5.1923076923076925</v>
      </c>
      <c r="L144" s="101">
        <v>475914.75</v>
      </c>
      <c r="M144" s="128">
        <v>45931</v>
      </c>
      <c r="N144" s="230">
        <f>L144/M144</f>
        <v>10.36151509873506</v>
      </c>
      <c r="O144" s="147"/>
    </row>
    <row r="145" spans="1:15" ht="15">
      <c r="A145" s="138">
        <v>142</v>
      </c>
      <c r="B145" s="229" t="s">
        <v>75</v>
      </c>
      <c r="C145" s="69">
        <v>40123</v>
      </c>
      <c r="D145" s="60" t="s">
        <v>154</v>
      </c>
      <c r="E145" s="255">
        <v>58</v>
      </c>
      <c r="F145" s="255">
        <v>1</v>
      </c>
      <c r="G145" s="255">
        <v>14</v>
      </c>
      <c r="H145" s="167">
        <v>563</v>
      </c>
      <c r="I145" s="168">
        <v>98</v>
      </c>
      <c r="J145" s="174">
        <f>IF(H145&lt;&gt;0,I145/F145,"")</f>
        <v>98</v>
      </c>
      <c r="K145" s="76">
        <f>IF(H145&lt;&gt;0,H145/I145,"")</f>
        <v>5.744897959183674</v>
      </c>
      <c r="L145" s="75">
        <v>476477.75</v>
      </c>
      <c r="M145" s="174">
        <v>46029</v>
      </c>
      <c r="N145" s="230">
        <f>IF(L145&lt;&gt;0,L145/M145,"")</f>
        <v>10.351685893675727</v>
      </c>
      <c r="O145" s="149"/>
    </row>
    <row r="146" spans="1:15" ht="15">
      <c r="A146" s="138">
        <v>143</v>
      </c>
      <c r="B146" s="225" t="s">
        <v>75</v>
      </c>
      <c r="C146" s="52">
        <v>40123</v>
      </c>
      <c r="D146" s="66" t="s">
        <v>154</v>
      </c>
      <c r="E146" s="254">
        <v>58</v>
      </c>
      <c r="F146" s="254">
        <v>1</v>
      </c>
      <c r="G146" s="254">
        <v>8</v>
      </c>
      <c r="H146" s="77">
        <v>414</v>
      </c>
      <c r="I146" s="82">
        <v>83</v>
      </c>
      <c r="J146" s="83">
        <f>IF(H146&lt;&gt;0,I146/F146,"")</f>
        <v>83</v>
      </c>
      <c r="K146" s="80">
        <f>IF(H146&lt;&gt;0,H146/I146,"")</f>
        <v>4.9879518072289155</v>
      </c>
      <c r="L146" s="81">
        <v>468513.75</v>
      </c>
      <c r="M146" s="174">
        <v>44750</v>
      </c>
      <c r="N146" s="233">
        <f>IF(L146&lt;&gt;0,L146/M146,"")</f>
        <v>10.469581005586592</v>
      </c>
      <c r="O146" s="149"/>
    </row>
    <row r="147" spans="1:15" ht="15">
      <c r="A147" s="138">
        <v>144</v>
      </c>
      <c r="B147" s="229" t="s">
        <v>75</v>
      </c>
      <c r="C147" s="69">
        <v>40123</v>
      </c>
      <c r="D147" s="71" t="s">
        <v>154</v>
      </c>
      <c r="E147" s="255">
        <v>58</v>
      </c>
      <c r="F147" s="255">
        <v>4</v>
      </c>
      <c r="G147" s="255">
        <v>11</v>
      </c>
      <c r="H147" s="67">
        <v>370</v>
      </c>
      <c r="I147" s="63">
        <v>74</v>
      </c>
      <c r="J147" s="64">
        <f>IF(H147&lt;&gt;0,I147/F147,"")</f>
        <v>18.5</v>
      </c>
      <c r="K147" s="57">
        <f>IF(H147&lt;&gt;0,H147/I147,"")</f>
        <v>5</v>
      </c>
      <c r="L147" s="68">
        <v>472906.75</v>
      </c>
      <c r="M147" s="65">
        <v>45432</v>
      </c>
      <c r="N147" s="227">
        <f>IF(L147&lt;&gt;0,L147/M147,"")</f>
        <v>10.409111419263954</v>
      </c>
      <c r="O147" s="147"/>
    </row>
    <row r="148" spans="1:15" ht="15">
      <c r="A148" s="138">
        <v>145</v>
      </c>
      <c r="B148" s="229" t="s">
        <v>75</v>
      </c>
      <c r="C148" s="169">
        <v>40123</v>
      </c>
      <c r="D148" s="60" t="s">
        <v>154</v>
      </c>
      <c r="E148" s="210">
        <v>58</v>
      </c>
      <c r="F148" s="210">
        <v>2</v>
      </c>
      <c r="G148" s="210">
        <v>15</v>
      </c>
      <c r="H148" s="171">
        <v>303</v>
      </c>
      <c r="I148" s="172">
        <v>50</v>
      </c>
      <c r="J148" s="174">
        <f>I148/F148</f>
        <v>25</v>
      </c>
      <c r="K148" s="76">
        <f>H148/I148</f>
        <v>6.06</v>
      </c>
      <c r="L148" s="75">
        <v>476780.75</v>
      </c>
      <c r="M148" s="174">
        <v>46079</v>
      </c>
      <c r="N148" s="230">
        <f>+L148/M148</f>
        <v>10.34702901538662</v>
      </c>
      <c r="O148" s="150"/>
    </row>
    <row r="149" spans="1:15" ht="15">
      <c r="A149" s="138">
        <v>146</v>
      </c>
      <c r="B149" s="353" t="s">
        <v>75</v>
      </c>
      <c r="C149" s="169">
        <v>40123</v>
      </c>
      <c r="D149" s="170" t="s">
        <v>154</v>
      </c>
      <c r="E149" s="210">
        <v>58</v>
      </c>
      <c r="F149" s="210">
        <v>1</v>
      </c>
      <c r="G149" s="210">
        <v>16</v>
      </c>
      <c r="H149" s="171">
        <v>1188</v>
      </c>
      <c r="I149" s="172">
        <v>238</v>
      </c>
      <c r="J149" s="174">
        <f>I149/F149</f>
        <v>238</v>
      </c>
      <c r="K149" s="76">
        <f>H149/I149</f>
        <v>4.991596638655462</v>
      </c>
      <c r="L149" s="75">
        <v>477968.75</v>
      </c>
      <c r="M149" s="174">
        <v>46317</v>
      </c>
      <c r="N149" s="230">
        <f>+L149/M149</f>
        <v>10.319510115076538</v>
      </c>
      <c r="O149" s="149"/>
    </row>
    <row r="150" spans="1:15" ht="15">
      <c r="A150" s="138">
        <v>147</v>
      </c>
      <c r="B150" s="229" t="s">
        <v>80</v>
      </c>
      <c r="C150" s="69">
        <v>40151</v>
      </c>
      <c r="D150" s="70" t="s">
        <v>152</v>
      </c>
      <c r="E150" s="255">
        <v>8</v>
      </c>
      <c r="F150" s="255">
        <v>7</v>
      </c>
      <c r="G150" s="255">
        <v>6</v>
      </c>
      <c r="H150" s="54">
        <v>4958.5</v>
      </c>
      <c r="I150" s="55">
        <v>693</v>
      </c>
      <c r="J150" s="56">
        <f>(I150/F150)</f>
        <v>99</v>
      </c>
      <c r="K150" s="61">
        <f>H150/I150</f>
        <v>7.155122655122655</v>
      </c>
      <c r="L150" s="58">
        <f>69195.5+29540+2797+8009+1473.5+4958.5</f>
        <v>115973.5</v>
      </c>
      <c r="M150" s="59">
        <f>5170+2208+292+904+296+693</f>
        <v>9563</v>
      </c>
      <c r="N150" s="226">
        <f aca="true" t="shared" si="15" ref="N150:N155">L150/M150</f>
        <v>12.127313604517411</v>
      </c>
      <c r="O150" s="149"/>
    </row>
    <row r="151" spans="1:15" ht="15">
      <c r="A151" s="138">
        <v>148</v>
      </c>
      <c r="B151" s="231" t="s">
        <v>80</v>
      </c>
      <c r="C151" s="85">
        <v>40151</v>
      </c>
      <c r="D151" s="86" t="s">
        <v>152</v>
      </c>
      <c r="E151" s="256">
        <v>8</v>
      </c>
      <c r="F151" s="256">
        <v>6</v>
      </c>
      <c r="G151" s="256">
        <v>7</v>
      </c>
      <c r="H151" s="54">
        <v>4691.5</v>
      </c>
      <c r="I151" s="63">
        <v>949</v>
      </c>
      <c r="J151" s="64">
        <f>(I151/F151)</f>
        <v>158.16666666666666</v>
      </c>
      <c r="K151" s="57">
        <f>H151/I151</f>
        <v>4.943624868282402</v>
      </c>
      <c r="L151" s="58">
        <f>69195.5+29540+2797+8009+1473.5+4958.5+4691.5</f>
        <v>120665</v>
      </c>
      <c r="M151" s="65">
        <f>5170+2208+292+904+296+693+949</f>
        <v>10512</v>
      </c>
      <c r="N151" s="227">
        <f t="shared" si="15"/>
        <v>11.478786149162861</v>
      </c>
      <c r="O151" s="148"/>
    </row>
    <row r="152" spans="1:15" ht="15">
      <c r="A152" s="138">
        <v>149</v>
      </c>
      <c r="B152" s="229" t="s">
        <v>80</v>
      </c>
      <c r="C152" s="69">
        <v>40151</v>
      </c>
      <c r="D152" s="60" t="s">
        <v>152</v>
      </c>
      <c r="E152" s="255">
        <v>8</v>
      </c>
      <c r="F152" s="255">
        <v>4</v>
      </c>
      <c r="G152" s="255">
        <v>10</v>
      </c>
      <c r="H152" s="145">
        <v>3228</v>
      </c>
      <c r="I152" s="146">
        <v>613</v>
      </c>
      <c r="J152" s="128">
        <f>I152/F152</f>
        <v>153.25</v>
      </c>
      <c r="K152" s="74">
        <f>+H152/I152</f>
        <v>5.265905383360522</v>
      </c>
      <c r="L152" s="101">
        <f>69195.5+29540+2797+8009+1473.5+4958.5+4691.5+45+762+3228</f>
        <v>124700</v>
      </c>
      <c r="M152" s="128">
        <f>5170+2208+292+904+296+693+949+9+122+613</f>
        <v>11256</v>
      </c>
      <c r="N152" s="230">
        <f t="shared" si="15"/>
        <v>11.078535891968729</v>
      </c>
      <c r="O152" s="149"/>
    </row>
    <row r="153" spans="1:15" ht="15">
      <c r="A153" s="138">
        <v>150</v>
      </c>
      <c r="B153" s="229" t="s">
        <v>80</v>
      </c>
      <c r="C153" s="69">
        <v>40151</v>
      </c>
      <c r="D153" s="71" t="s">
        <v>152</v>
      </c>
      <c r="E153" s="255">
        <v>8</v>
      </c>
      <c r="F153" s="255">
        <v>3</v>
      </c>
      <c r="G153" s="255">
        <v>5</v>
      </c>
      <c r="H153" s="54">
        <v>1473.5</v>
      </c>
      <c r="I153" s="55">
        <v>296</v>
      </c>
      <c r="J153" s="56">
        <f>(I153/F153)</f>
        <v>98.66666666666667</v>
      </c>
      <c r="K153" s="57">
        <f>H153/I153</f>
        <v>4.97804054054054</v>
      </c>
      <c r="L153" s="58">
        <f>69195.5+29540+2797+8009+1473.5</f>
        <v>111015</v>
      </c>
      <c r="M153" s="59">
        <f>5170+2208+292+904+296</f>
        <v>8870</v>
      </c>
      <c r="N153" s="227">
        <f t="shared" si="15"/>
        <v>12.515783540022548</v>
      </c>
      <c r="O153" s="150"/>
    </row>
    <row r="154" spans="1:15" ht="15">
      <c r="A154" s="138">
        <v>151</v>
      </c>
      <c r="B154" s="231" t="s">
        <v>80</v>
      </c>
      <c r="C154" s="85">
        <v>40151</v>
      </c>
      <c r="D154" s="86" t="s">
        <v>152</v>
      </c>
      <c r="E154" s="256">
        <v>8</v>
      </c>
      <c r="F154" s="256">
        <v>2</v>
      </c>
      <c r="G154" s="256">
        <v>9</v>
      </c>
      <c r="H154" s="67">
        <v>738</v>
      </c>
      <c r="I154" s="63">
        <v>114</v>
      </c>
      <c r="J154" s="64">
        <f>(I154/F154)</f>
        <v>57</v>
      </c>
      <c r="K154" s="74">
        <f>+H154/I154</f>
        <v>6.473684210526316</v>
      </c>
      <c r="L154" s="68">
        <f>69195.5+29540+2797+8009+1473.5+4958.5+4691.5+45+738</f>
        <v>121448</v>
      </c>
      <c r="M154" s="65">
        <f>5170+2208+292+904+296+693+949+9+114</f>
        <v>10635</v>
      </c>
      <c r="N154" s="232">
        <f t="shared" si="15"/>
        <v>11.419652092148565</v>
      </c>
      <c r="O154" s="147"/>
    </row>
    <row r="155" spans="1:15" ht="15">
      <c r="A155" s="138">
        <v>152</v>
      </c>
      <c r="B155" s="229" t="s">
        <v>80</v>
      </c>
      <c r="C155" s="69">
        <v>40151</v>
      </c>
      <c r="D155" s="71" t="s">
        <v>152</v>
      </c>
      <c r="E155" s="255">
        <v>8</v>
      </c>
      <c r="F155" s="255">
        <v>1</v>
      </c>
      <c r="G155" s="255">
        <v>8</v>
      </c>
      <c r="H155" s="67">
        <v>45</v>
      </c>
      <c r="I155" s="63">
        <v>9</v>
      </c>
      <c r="J155" s="64">
        <f>(I155/F155)</f>
        <v>9</v>
      </c>
      <c r="K155" s="57">
        <f>H155/I155</f>
        <v>5</v>
      </c>
      <c r="L155" s="68">
        <f>69195.5+29540+2797+8009+1473.5+4958.5+4691.5+45</f>
        <v>120710</v>
      </c>
      <c r="M155" s="65">
        <f>5170+2208+292+904+296+693+949+9</f>
        <v>10521</v>
      </c>
      <c r="N155" s="227">
        <f t="shared" si="15"/>
        <v>11.473243988214048</v>
      </c>
      <c r="O155" s="149"/>
    </row>
    <row r="156" spans="1:15" ht="15">
      <c r="A156" s="138">
        <v>153</v>
      </c>
      <c r="B156" s="229" t="s">
        <v>115</v>
      </c>
      <c r="C156" s="69">
        <v>40102</v>
      </c>
      <c r="D156" s="102" t="s">
        <v>151</v>
      </c>
      <c r="E156" s="255">
        <v>62</v>
      </c>
      <c r="F156" s="255">
        <v>2</v>
      </c>
      <c r="G156" s="255">
        <v>13</v>
      </c>
      <c r="H156" s="72">
        <v>3422</v>
      </c>
      <c r="I156" s="100">
        <v>491</v>
      </c>
      <c r="J156" s="128">
        <f>I156/F156</f>
        <v>245.5</v>
      </c>
      <c r="K156" s="74">
        <f>+H156/I156</f>
        <v>6.969450101832994</v>
      </c>
      <c r="L156" s="75">
        <v>493437</v>
      </c>
      <c r="M156" s="128">
        <v>56198</v>
      </c>
      <c r="N156" s="228">
        <f>+L156/M156</f>
        <v>8.780330260863376</v>
      </c>
      <c r="O156" s="147"/>
    </row>
    <row r="157" spans="1:15" ht="15">
      <c r="A157" s="138">
        <v>154</v>
      </c>
      <c r="B157" s="229" t="s">
        <v>115</v>
      </c>
      <c r="C157" s="69">
        <v>40102</v>
      </c>
      <c r="D157" s="102" t="s">
        <v>151</v>
      </c>
      <c r="E157" s="255">
        <v>62</v>
      </c>
      <c r="F157" s="255">
        <v>1</v>
      </c>
      <c r="G157" s="255">
        <v>12</v>
      </c>
      <c r="H157" s="72">
        <v>1258</v>
      </c>
      <c r="I157" s="73">
        <v>177</v>
      </c>
      <c r="J157" s="174">
        <f>I157/F157</f>
        <v>177</v>
      </c>
      <c r="K157" s="76">
        <f>+H157/I157</f>
        <v>7.107344632768362</v>
      </c>
      <c r="L157" s="75">
        <v>490015</v>
      </c>
      <c r="M157" s="174">
        <v>55707</v>
      </c>
      <c r="N157" s="230">
        <f>+L157/M157</f>
        <v>8.796291309889241</v>
      </c>
      <c r="O157" s="147"/>
    </row>
    <row r="158" spans="1:15" ht="15">
      <c r="A158" s="138">
        <v>155</v>
      </c>
      <c r="B158" s="229" t="s">
        <v>115</v>
      </c>
      <c r="C158" s="69">
        <v>40102</v>
      </c>
      <c r="D158" s="109" t="s">
        <v>151</v>
      </c>
      <c r="E158" s="255">
        <v>62</v>
      </c>
      <c r="F158" s="255">
        <v>1</v>
      </c>
      <c r="G158" s="255">
        <v>14</v>
      </c>
      <c r="H158" s="99">
        <v>297</v>
      </c>
      <c r="I158" s="100">
        <v>42</v>
      </c>
      <c r="J158" s="128">
        <f>I158/F158</f>
        <v>42</v>
      </c>
      <c r="K158" s="74">
        <f>+H158/I158</f>
        <v>7.071428571428571</v>
      </c>
      <c r="L158" s="101">
        <v>493734</v>
      </c>
      <c r="M158" s="128">
        <v>56240</v>
      </c>
      <c r="N158" s="228">
        <f>+L158/M158</f>
        <v>8.779054054054054</v>
      </c>
      <c r="O158" s="147"/>
    </row>
    <row r="159" spans="1:15" ht="15">
      <c r="A159" s="138">
        <v>156</v>
      </c>
      <c r="B159" s="229" t="s">
        <v>74</v>
      </c>
      <c r="C159" s="69">
        <v>40116</v>
      </c>
      <c r="D159" s="60" t="s">
        <v>73</v>
      </c>
      <c r="E159" s="255">
        <v>24</v>
      </c>
      <c r="F159" s="255">
        <v>2</v>
      </c>
      <c r="G159" s="255">
        <v>9</v>
      </c>
      <c r="H159" s="99">
        <v>865</v>
      </c>
      <c r="I159" s="100">
        <v>152</v>
      </c>
      <c r="J159" s="128">
        <f>I159/F159</f>
        <v>76</v>
      </c>
      <c r="K159" s="74">
        <f>H159/I159</f>
        <v>5.690789473684211</v>
      </c>
      <c r="L159" s="101">
        <f>87403.25+34862.75+15508.5+2797+944+915+1620+497+865</f>
        <v>145412.5</v>
      </c>
      <c r="M159" s="128">
        <f>14575+405+81+152</f>
        <v>15213</v>
      </c>
      <c r="N159" s="228">
        <f>L159/M159</f>
        <v>9.558436863209097</v>
      </c>
      <c r="O159" s="150"/>
    </row>
    <row r="160" spans="1:15" ht="15">
      <c r="A160" s="138">
        <v>157</v>
      </c>
      <c r="B160" s="229" t="s">
        <v>74</v>
      </c>
      <c r="C160" s="69">
        <v>40116</v>
      </c>
      <c r="D160" s="71" t="s">
        <v>136</v>
      </c>
      <c r="E160" s="255">
        <v>24</v>
      </c>
      <c r="F160" s="255">
        <v>1</v>
      </c>
      <c r="G160" s="255">
        <v>8</v>
      </c>
      <c r="H160" s="72">
        <v>497</v>
      </c>
      <c r="I160" s="73">
        <v>81</v>
      </c>
      <c r="J160" s="83">
        <f>IF(H160&lt;&gt;0,I160/F160,"")</f>
        <v>81</v>
      </c>
      <c r="K160" s="80">
        <f>IF(H160&lt;&gt;0,H160/I160,"")</f>
        <v>6.135802469135802</v>
      </c>
      <c r="L160" s="75">
        <f>87403.25+34862.75+15508.5+2797+944+915+1620+497</f>
        <v>144547.5</v>
      </c>
      <c r="M160" s="174">
        <f>14575+405+81</f>
        <v>15061</v>
      </c>
      <c r="N160" s="233">
        <f>IF(L160&lt;&gt;0,L160/M160,"")</f>
        <v>9.59747028749751</v>
      </c>
      <c r="O160" s="149"/>
    </row>
    <row r="161" spans="1:15" ht="15">
      <c r="A161" s="138">
        <v>158</v>
      </c>
      <c r="B161" s="229" t="s">
        <v>74</v>
      </c>
      <c r="C161" s="69">
        <v>40116</v>
      </c>
      <c r="D161" s="60" t="s">
        <v>73</v>
      </c>
      <c r="E161" s="255">
        <v>24</v>
      </c>
      <c r="F161" s="255">
        <v>1</v>
      </c>
      <c r="G161" s="255">
        <v>10</v>
      </c>
      <c r="H161" s="145">
        <v>439</v>
      </c>
      <c r="I161" s="146">
        <v>83</v>
      </c>
      <c r="J161" s="128">
        <f>(I161/F161)</f>
        <v>83</v>
      </c>
      <c r="K161" s="74">
        <f>(J161/G161)</f>
        <v>8.3</v>
      </c>
      <c r="L161" s="101">
        <f>87403.25+34862.75+15508.5+2797+944+915+1620+497+865+439</f>
        <v>145851.5</v>
      </c>
      <c r="M161" s="128">
        <f>14575+405+81+152+83</f>
        <v>15296</v>
      </c>
      <c r="N161" s="230">
        <f>L161/M161</f>
        <v>9.535270658995817</v>
      </c>
      <c r="O161" s="148"/>
    </row>
    <row r="162" spans="1:15" ht="15">
      <c r="A162" s="138">
        <v>159</v>
      </c>
      <c r="B162" s="229" t="s">
        <v>81</v>
      </c>
      <c r="C162" s="69">
        <v>40151</v>
      </c>
      <c r="D162" s="71" t="s">
        <v>152</v>
      </c>
      <c r="E162" s="255">
        <v>2</v>
      </c>
      <c r="F162" s="255">
        <v>2</v>
      </c>
      <c r="G162" s="255">
        <v>5</v>
      </c>
      <c r="H162" s="54">
        <v>2853</v>
      </c>
      <c r="I162" s="55">
        <v>502</v>
      </c>
      <c r="J162" s="56">
        <f>(I162/F162)</f>
        <v>251</v>
      </c>
      <c r="K162" s="57">
        <f>H162/I162</f>
        <v>5.683266932270916</v>
      </c>
      <c r="L162" s="58">
        <f>14952+6112+2196+2975+2853</f>
        <v>29088</v>
      </c>
      <c r="M162" s="59">
        <f>1468+666+254+478+502</f>
        <v>3368</v>
      </c>
      <c r="N162" s="227">
        <f>L162/M162</f>
        <v>8.636579572446555</v>
      </c>
      <c r="O162" s="149"/>
    </row>
    <row r="163" spans="1:15" ht="15">
      <c r="A163" s="138">
        <v>160</v>
      </c>
      <c r="B163" s="229" t="s">
        <v>81</v>
      </c>
      <c r="C163" s="69">
        <v>40151</v>
      </c>
      <c r="D163" s="70" t="s">
        <v>152</v>
      </c>
      <c r="E163" s="255">
        <v>2</v>
      </c>
      <c r="F163" s="255">
        <v>2</v>
      </c>
      <c r="G163" s="255">
        <v>6</v>
      </c>
      <c r="H163" s="54">
        <v>674</v>
      </c>
      <c r="I163" s="55">
        <v>81</v>
      </c>
      <c r="J163" s="56">
        <f>(I163/F163)</f>
        <v>40.5</v>
      </c>
      <c r="K163" s="61">
        <f>H163/I163</f>
        <v>8.320987654320987</v>
      </c>
      <c r="L163" s="58">
        <f>14952+6112+2196+2975+2853+674</f>
        <v>29762</v>
      </c>
      <c r="M163" s="59">
        <f>1468+666+254+478+502+81</f>
        <v>3449</v>
      </c>
      <c r="N163" s="226">
        <f>L163/M163</f>
        <v>8.629167874746303</v>
      </c>
      <c r="O163" s="149"/>
    </row>
    <row r="164" spans="1:15" ht="15">
      <c r="A164" s="138">
        <v>161</v>
      </c>
      <c r="B164" s="229" t="s">
        <v>81</v>
      </c>
      <c r="C164" s="69">
        <v>40151</v>
      </c>
      <c r="D164" s="60" t="s">
        <v>152</v>
      </c>
      <c r="E164" s="255">
        <v>2</v>
      </c>
      <c r="F164" s="255">
        <v>1</v>
      </c>
      <c r="G164" s="255">
        <v>8</v>
      </c>
      <c r="H164" s="167">
        <v>530</v>
      </c>
      <c r="I164" s="168">
        <v>107</v>
      </c>
      <c r="J164" s="174">
        <f>(I164/F164)</f>
        <v>107</v>
      </c>
      <c r="K164" s="76">
        <f>H164/I164</f>
        <v>4.953271028037383</v>
      </c>
      <c r="L164" s="75">
        <f>14952+6112+2196+2975+2853+674+1006+530</f>
        <v>31298</v>
      </c>
      <c r="M164" s="174">
        <f>1468+666+254+478+502+81+130+107</f>
        <v>3686</v>
      </c>
      <c r="N164" s="230">
        <f>L164/M164</f>
        <v>8.491047205642973</v>
      </c>
      <c r="O164" s="149"/>
    </row>
    <row r="165" spans="1:15" ht="15">
      <c r="A165" s="138">
        <v>162</v>
      </c>
      <c r="B165" s="353" t="s">
        <v>81</v>
      </c>
      <c r="C165" s="169">
        <v>40151</v>
      </c>
      <c r="D165" s="60" t="s">
        <v>152</v>
      </c>
      <c r="E165" s="210">
        <v>2</v>
      </c>
      <c r="F165" s="210">
        <v>1</v>
      </c>
      <c r="G165" s="210">
        <v>9</v>
      </c>
      <c r="H165" s="171">
        <v>2139</v>
      </c>
      <c r="I165" s="172">
        <v>535</v>
      </c>
      <c r="J165" s="174">
        <f>I165/F165</f>
        <v>535</v>
      </c>
      <c r="K165" s="76">
        <f>H165/I165</f>
        <v>3.9981308411214953</v>
      </c>
      <c r="L165" s="75">
        <f>14952+6112+2196+2975+2853+674+1006+530+2139</f>
        <v>33437</v>
      </c>
      <c r="M165" s="174">
        <f>1468+666+254+478+502+81+130+107+535</f>
        <v>4221</v>
      </c>
      <c r="N165" s="230">
        <f>+L165/M165</f>
        <v>7.921582563373608</v>
      </c>
      <c r="O165" s="149"/>
    </row>
    <row r="166" spans="1:15" ht="15">
      <c r="A166" s="138">
        <v>163</v>
      </c>
      <c r="B166" s="225" t="s">
        <v>63</v>
      </c>
      <c r="C166" s="69">
        <v>40109</v>
      </c>
      <c r="D166" s="60" t="s">
        <v>127</v>
      </c>
      <c r="E166" s="255">
        <v>27</v>
      </c>
      <c r="F166" s="255">
        <v>3</v>
      </c>
      <c r="G166" s="255">
        <v>7</v>
      </c>
      <c r="H166" s="99">
        <v>1383</v>
      </c>
      <c r="I166" s="100">
        <v>193</v>
      </c>
      <c r="J166" s="128">
        <f>+I166/F166</f>
        <v>64.33333333333333</v>
      </c>
      <c r="K166" s="74">
        <f>+H166/I166</f>
        <v>7.16580310880829</v>
      </c>
      <c r="L166" s="101">
        <v>145394</v>
      </c>
      <c r="M166" s="128">
        <v>12128</v>
      </c>
      <c r="N166" s="228">
        <f>+L166/M166</f>
        <v>11.988291556728232</v>
      </c>
      <c r="O166" s="150"/>
    </row>
    <row r="167" spans="1:15" ht="15">
      <c r="A167" s="138">
        <v>164</v>
      </c>
      <c r="B167" s="225" t="s">
        <v>63</v>
      </c>
      <c r="C167" s="52">
        <v>40109</v>
      </c>
      <c r="D167" s="66" t="s">
        <v>127</v>
      </c>
      <c r="E167" s="254">
        <v>27</v>
      </c>
      <c r="F167" s="254">
        <v>1</v>
      </c>
      <c r="G167" s="254">
        <v>6</v>
      </c>
      <c r="H167" s="67">
        <v>189</v>
      </c>
      <c r="I167" s="63">
        <v>26</v>
      </c>
      <c r="J167" s="64">
        <f>I167/F167</f>
        <v>26</v>
      </c>
      <c r="K167" s="57">
        <f>H167/I167</f>
        <v>7.269230769230769</v>
      </c>
      <c r="L167" s="68">
        <v>142817</v>
      </c>
      <c r="M167" s="65">
        <v>11768</v>
      </c>
      <c r="N167" s="227">
        <f>+L167/M167</f>
        <v>12.136046906866078</v>
      </c>
      <c r="O167" s="147">
        <v>1</v>
      </c>
    </row>
    <row r="168" spans="1:15" ht="15">
      <c r="A168" s="138">
        <v>165</v>
      </c>
      <c r="B168" s="240" t="s">
        <v>34</v>
      </c>
      <c r="C168" s="52">
        <v>40074</v>
      </c>
      <c r="D168" s="110" t="s">
        <v>100</v>
      </c>
      <c r="E168" s="259" t="s">
        <v>112</v>
      </c>
      <c r="F168" s="259" t="s">
        <v>113</v>
      </c>
      <c r="G168" s="259" t="s">
        <v>114</v>
      </c>
      <c r="H168" s="111">
        <v>1385</v>
      </c>
      <c r="I168" s="115">
        <v>222</v>
      </c>
      <c r="J168" s="116">
        <f>+I168/F168</f>
        <v>222</v>
      </c>
      <c r="K168" s="84">
        <f>IF(H168&lt;&gt;0,H168/I168,"")</f>
        <v>6.238738738738738</v>
      </c>
      <c r="L168" s="113">
        <v>176398</v>
      </c>
      <c r="M168" s="117">
        <v>21849</v>
      </c>
      <c r="N168" s="234">
        <f>IF(L168&lt;&gt;0,L168/M168,"")</f>
        <v>8.073504508215478</v>
      </c>
      <c r="O168" s="148">
        <v>1</v>
      </c>
    </row>
    <row r="169" spans="1:15" ht="15">
      <c r="A169" s="138">
        <v>166</v>
      </c>
      <c r="B169" s="240" t="s">
        <v>34</v>
      </c>
      <c r="C169" s="52">
        <v>40074</v>
      </c>
      <c r="D169" s="110" t="s">
        <v>100</v>
      </c>
      <c r="E169" s="259" t="s">
        <v>112</v>
      </c>
      <c r="F169" s="259" t="s">
        <v>113</v>
      </c>
      <c r="G169" s="259" t="s">
        <v>35</v>
      </c>
      <c r="H169" s="111">
        <v>1145</v>
      </c>
      <c r="I169" s="112">
        <v>203</v>
      </c>
      <c r="J169" s="118">
        <f>+I169/F169</f>
        <v>203</v>
      </c>
      <c r="K169" s="119"/>
      <c r="L169" s="113">
        <v>177543</v>
      </c>
      <c r="M169" s="114">
        <v>22052</v>
      </c>
      <c r="N169" s="233">
        <f>IF(L169&lt;&gt;0,L169/M169,"")</f>
        <v>8.05110647560312</v>
      </c>
      <c r="O169" s="149">
        <v>1</v>
      </c>
    </row>
    <row r="170" spans="1:15" ht="15">
      <c r="A170" s="138">
        <v>167</v>
      </c>
      <c r="B170" s="229" t="s">
        <v>44</v>
      </c>
      <c r="C170" s="69">
        <v>39962</v>
      </c>
      <c r="D170" s="70" t="s">
        <v>152</v>
      </c>
      <c r="E170" s="255">
        <v>1</v>
      </c>
      <c r="F170" s="255">
        <v>1</v>
      </c>
      <c r="G170" s="255">
        <v>16</v>
      </c>
      <c r="H170" s="54">
        <v>84</v>
      </c>
      <c r="I170" s="63">
        <v>20</v>
      </c>
      <c r="J170" s="64">
        <f>(I170/F170)</f>
        <v>20</v>
      </c>
      <c r="K170" s="57">
        <f>H170/I170</f>
        <v>4.2</v>
      </c>
      <c r="L170" s="58">
        <f>2055+1340+750+709+604+925+1270+1220+776+981+343+858+383+597+2376+84</f>
        <v>15271</v>
      </c>
      <c r="M170" s="65">
        <f>411+268+150+85+70+118+161+152+99+144+47+143+48+95+594+20</f>
        <v>2605</v>
      </c>
      <c r="N170" s="227">
        <f>L170/M170</f>
        <v>5.862188099808061</v>
      </c>
      <c r="O170" s="149">
        <v>1</v>
      </c>
    </row>
    <row r="171" spans="1:15" ht="15">
      <c r="A171" s="138">
        <v>168</v>
      </c>
      <c r="B171" s="229" t="s">
        <v>44</v>
      </c>
      <c r="C171" s="69">
        <v>39962</v>
      </c>
      <c r="D171" s="71" t="s">
        <v>152</v>
      </c>
      <c r="E171" s="255">
        <v>1</v>
      </c>
      <c r="F171" s="255">
        <v>1</v>
      </c>
      <c r="G171" s="255">
        <v>17</v>
      </c>
      <c r="H171" s="67">
        <v>51</v>
      </c>
      <c r="I171" s="63">
        <v>17</v>
      </c>
      <c r="J171" s="64">
        <f>(I171/F171)</f>
        <v>17</v>
      </c>
      <c r="K171" s="57">
        <f>H171/I171</f>
        <v>3</v>
      </c>
      <c r="L171" s="68">
        <f>2055+1340+750+709+604+925+1270+1220+776+981+343+858+383+597+2376+84+51</f>
        <v>15322</v>
      </c>
      <c r="M171" s="65">
        <f>411+268+150+85+70+118+161+152+99+144+47+143+48+95+594+20+17</f>
        <v>2622</v>
      </c>
      <c r="N171" s="227">
        <f>L171/M171</f>
        <v>5.843630816170862</v>
      </c>
      <c r="O171" s="150">
        <v>1</v>
      </c>
    </row>
    <row r="172" spans="1:15" ht="15">
      <c r="A172" s="138">
        <v>169</v>
      </c>
      <c r="B172" s="225" t="s">
        <v>62</v>
      </c>
      <c r="C172" s="52">
        <v>40088</v>
      </c>
      <c r="D172" s="66" t="s">
        <v>127</v>
      </c>
      <c r="E172" s="254">
        <v>53</v>
      </c>
      <c r="F172" s="254">
        <v>2</v>
      </c>
      <c r="G172" s="254">
        <v>12</v>
      </c>
      <c r="H172" s="67">
        <v>206</v>
      </c>
      <c r="I172" s="63">
        <v>33</v>
      </c>
      <c r="J172" s="64">
        <f>I172/F172</f>
        <v>16.5</v>
      </c>
      <c r="K172" s="57">
        <f>H172/I172</f>
        <v>6.242424242424242</v>
      </c>
      <c r="L172" s="68">
        <v>520501</v>
      </c>
      <c r="M172" s="65">
        <v>51318</v>
      </c>
      <c r="N172" s="227">
        <f aca="true" t="shared" si="16" ref="N172:N178">+L172/M172</f>
        <v>10.142659495693518</v>
      </c>
      <c r="O172" s="149">
        <v>1</v>
      </c>
    </row>
    <row r="173" spans="1:15" ht="15">
      <c r="A173" s="138">
        <v>170</v>
      </c>
      <c r="B173" s="225" t="s">
        <v>62</v>
      </c>
      <c r="C173" s="69">
        <v>40088</v>
      </c>
      <c r="D173" s="60" t="s">
        <v>127</v>
      </c>
      <c r="E173" s="255">
        <v>53</v>
      </c>
      <c r="F173" s="255">
        <v>1</v>
      </c>
      <c r="G173" s="255">
        <v>13</v>
      </c>
      <c r="H173" s="99">
        <v>48</v>
      </c>
      <c r="I173" s="100">
        <v>8</v>
      </c>
      <c r="J173" s="128">
        <f>+I173/F173</f>
        <v>8</v>
      </c>
      <c r="K173" s="74">
        <f>+H173/I173</f>
        <v>6</v>
      </c>
      <c r="L173" s="101">
        <v>520549</v>
      </c>
      <c r="M173" s="128">
        <v>51326</v>
      </c>
      <c r="N173" s="228">
        <f t="shared" si="16"/>
        <v>10.14201379417839</v>
      </c>
      <c r="O173" s="180">
        <v>1</v>
      </c>
    </row>
    <row r="174" spans="1:15" ht="15">
      <c r="A174" s="138">
        <v>171</v>
      </c>
      <c r="B174" s="235" t="s">
        <v>22</v>
      </c>
      <c r="C174" s="52">
        <v>40158</v>
      </c>
      <c r="D174" s="120" t="s">
        <v>127</v>
      </c>
      <c r="E174" s="257">
        <v>148</v>
      </c>
      <c r="F174" s="257">
        <v>91</v>
      </c>
      <c r="G174" s="257">
        <v>4</v>
      </c>
      <c r="H174" s="111">
        <v>119681</v>
      </c>
      <c r="I174" s="115">
        <v>17048</v>
      </c>
      <c r="J174" s="83">
        <f>+I174/F174</f>
        <v>187.34065934065933</v>
      </c>
      <c r="K174" s="80">
        <f>+H174/I174</f>
        <v>7.020236977944627</v>
      </c>
      <c r="L174" s="113">
        <v>2757217</v>
      </c>
      <c r="M174" s="117">
        <v>323709</v>
      </c>
      <c r="N174" s="233">
        <f t="shared" si="16"/>
        <v>8.517579060205307</v>
      </c>
      <c r="O174" s="147">
        <v>1</v>
      </c>
    </row>
    <row r="175" spans="1:15" ht="15">
      <c r="A175" s="138">
        <v>172</v>
      </c>
      <c r="B175" s="235" t="s">
        <v>93</v>
      </c>
      <c r="C175" s="52">
        <v>40158</v>
      </c>
      <c r="D175" s="110" t="s">
        <v>127</v>
      </c>
      <c r="E175" s="257">
        <v>148</v>
      </c>
      <c r="F175" s="257">
        <v>77</v>
      </c>
      <c r="G175" s="257">
        <v>5</v>
      </c>
      <c r="H175" s="111">
        <v>62188</v>
      </c>
      <c r="I175" s="115">
        <v>9495</v>
      </c>
      <c r="J175" s="83">
        <f>+I175/F175</f>
        <v>123.31168831168831</v>
      </c>
      <c r="K175" s="84">
        <f>+H175/I175</f>
        <v>6.549552395997893</v>
      </c>
      <c r="L175" s="113">
        <v>2819404</v>
      </c>
      <c r="M175" s="117">
        <v>333204</v>
      </c>
      <c r="N175" s="234">
        <f t="shared" si="16"/>
        <v>8.461495060083312</v>
      </c>
      <c r="O175" s="181">
        <v>1</v>
      </c>
    </row>
    <row r="176" spans="1:15" ht="15">
      <c r="A176" s="138">
        <v>173</v>
      </c>
      <c r="B176" s="235" t="s">
        <v>22</v>
      </c>
      <c r="C176" s="52">
        <v>40158</v>
      </c>
      <c r="D176" s="110" t="s">
        <v>127</v>
      </c>
      <c r="E176" s="257">
        <v>148</v>
      </c>
      <c r="F176" s="257">
        <v>39</v>
      </c>
      <c r="G176" s="257">
        <v>6</v>
      </c>
      <c r="H176" s="111">
        <v>28359</v>
      </c>
      <c r="I176" s="112">
        <v>4830</v>
      </c>
      <c r="J176" s="79">
        <f>+I176/F176</f>
        <v>123.84615384615384</v>
      </c>
      <c r="K176" s="80">
        <f>+H176/I176</f>
        <v>5.871428571428571</v>
      </c>
      <c r="L176" s="113">
        <v>2847763</v>
      </c>
      <c r="M176" s="114">
        <v>338034</v>
      </c>
      <c r="N176" s="233">
        <f t="shared" si="16"/>
        <v>8.42448688593455</v>
      </c>
      <c r="O176" s="147"/>
    </row>
    <row r="177" spans="1:15" ht="15">
      <c r="A177" s="138">
        <v>174</v>
      </c>
      <c r="B177" s="225" t="s">
        <v>93</v>
      </c>
      <c r="C177" s="52">
        <v>40158</v>
      </c>
      <c r="D177" s="66" t="s">
        <v>127</v>
      </c>
      <c r="E177" s="254">
        <v>148</v>
      </c>
      <c r="F177" s="254">
        <v>16</v>
      </c>
      <c r="G177" s="254">
        <v>7</v>
      </c>
      <c r="H177" s="67">
        <v>12514</v>
      </c>
      <c r="I177" s="63">
        <v>2441</v>
      </c>
      <c r="J177" s="64">
        <f>I177/F177</f>
        <v>152.5625</v>
      </c>
      <c r="K177" s="57">
        <f>H177/I177</f>
        <v>5.126587464154035</v>
      </c>
      <c r="L177" s="68">
        <v>2860277</v>
      </c>
      <c r="M177" s="65">
        <v>340475</v>
      </c>
      <c r="N177" s="227">
        <f t="shared" si="16"/>
        <v>8.40084294001028</v>
      </c>
      <c r="O177" s="149"/>
    </row>
    <row r="178" spans="1:15" ht="15">
      <c r="A178" s="138">
        <v>175</v>
      </c>
      <c r="B178" s="225" t="s">
        <v>93</v>
      </c>
      <c r="C178" s="69">
        <v>40158</v>
      </c>
      <c r="D178" s="60" t="s">
        <v>127</v>
      </c>
      <c r="E178" s="255">
        <v>148</v>
      </c>
      <c r="F178" s="255">
        <v>6</v>
      </c>
      <c r="G178" s="255">
        <v>8</v>
      </c>
      <c r="H178" s="99">
        <v>2612</v>
      </c>
      <c r="I178" s="100">
        <v>424</v>
      </c>
      <c r="J178" s="128">
        <f>+I178/F178</f>
        <v>70.66666666666667</v>
      </c>
      <c r="K178" s="74">
        <f>+H178/I178</f>
        <v>6.160377358490566</v>
      </c>
      <c r="L178" s="101">
        <v>2862889</v>
      </c>
      <c r="M178" s="128">
        <v>340899</v>
      </c>
      <c r="N178" s="228">
        <f t="shared" si="16"/>
        <v>8.39805631580028</v>
      </c>
      <c r="O178" s="148"/>
    </row>
    <row r="179" spans="1:15" ht="15">
      <c r="A179" s="138">
        <v>176</v>
      </c>
      <c r="B179" s="229" t="s">
        <v>22</v>
      </c>
      <c r="C179" s="69">
        <v>40158</v>
      </c>
      <c r="D179" s="60" t="s">
        <v>127</v>
      </c>
      <c r="E179" s="255">
        <v>148</v>
      </c>
      <c r="F179" s="255">
        <v>2</v>
      </c>
      <c r="G179" s="255">
        <v>9</v>
      </c>
      <c r="H179" s="145">
        <v>836</v>
      </c>
      <c r="I179" s="146">
        <v>126</v>
      </c>
      <c r="J179" s="128">
        <f>(I179/F179)</f>
        <v>63</v>
      </c>
      <c r="K179" s="74">
        <f>(J179/G179)</f>
        <v>7</v>
      </c>
      <c r="L179" s="101">
        <v>2863725</v>
      </c>
      <c r="M179" s="128">
        <v>341025</v>
      </c>
      <c r="N179" s="230">
        <f>L179/M179</f>
        <v>8.397404882340004</v>
      </c>
      <c r="O179" s="150"/>
    </row>
    <row r="180" spans="1:15" ht="15">
      <c r="A180" s="138">
        <v>177</v>
      </c>
      <c r="B180" s="229" t="s">
        <v>93</v>
      </c>
      <c r="C180" s="169">
        <v>40158</v>
      </c>
      <c r="D180" s="170" t="s">
        <v>127</v>
      </c>
      <c r="E180" s="210">
        <v>148</v>
      </c>
      <c r="F180" s="210">
        <v>1</v>
      </c>
      <c r="G180" s="210">
        <v>12</v>
      </c>
      <c r="H180" s="171">
        <v>500</v>
      </c>
      <c r="I180" s="172">
        <v>125</v>
      </c>
      <c r="J180" s="174">
        <f>+I180/F180</f>
        <v>125</v>
      </c>
      <c r="K180" s="76">
        <f>H180/I180</f>
        <v>4</v>
      </c>
      <c r="L180" s="75">
        <v>2864874</v>
      </c>
      <c r="M180" s="174">
        <v>341261</v>
      </c>
      <c r="N180" s="230">
        <f aca="true" t="shared" si="17" ref="N180:N185">+L180/M180</f>
        <v>8.394964557919012</v>
      </c>
      <c r="O180" s="149"/>
    </row>
    <row r="181" spans="1:15" ht="15">
      <c r="A181" s="138">
        <v>178</v>
      </c>
      <c r="B181" s="229" t="s">
        <v>22</v>
      </c>
      <c r="C181" s="69">
        <v>40158</v>
      </c>
      <c r="D181" s="60" t="s">
        <v>127</v>
      </c>
      <c r="E181" s="255">
        <v>148</v>
      </c>
      <c r="F181" s="255">
        <v>1</v>
      </c>
      <c r="G181" s="255">
        <v>10</v>
      </c>
      <c r="H181" s="167">
        <v>473</v>
      </c>
      <c r="I181" s="168">
        <v>81</v>
      </c>
      <c r="J181" s="174">
        <f>+I181/F181</f>
        <v>81</v>
      </c>
      <c r="K181" s="76">
        <f>+H181/I181</f>
        <v>5.839506172839506</v>
      </c>
      <c r="L181" s="75">
        <v>2864198</v>
      </c>
      <c r="M181" s="174">
        <v>341106</v>
      </c>
      <c r="N181" s="230">
        <f t="shared" si="17"/>
        <v>8.396797476444272</v>
      </c>
      <c r="O181" s="149">
        <v>1</v>
      </c>
    </row>
    <row r="182" spans="1:15" ht="15">
      <c r="A182" s="138">
        <v>179</v>
      </c>
      <c r="B182" s="229" t="s">
        <v>22</v>
      </c>
      <c r="C182" s="169">
        <v>40158</v>
      </c>
      <c r="D182" s="170" t="s">
        <v>127</v>
      </c>
      <c r="E182" s="210">
        <v>148</v>
      </c>
      <c r="F182" s="210">
        <v>1</v>
      </c>
      <c r="G182" s="210">
        <v>11</v>
      </c>
      <c r="H182" s="171">
        <v>176</v>
      </c>
      <c r="I182" s="172">
        <v>30</v>
      </c>
      <c r="J182" s="174">
        <f>I182/F182</f>
        <v>30</v>
      </c>
      <c r="K182" s="76">
        <f>H182/I182</f>
        <v>5.866666666666666</v>
      </c>
      <c r="L182" s="75">
        <v>2864374</v>
      </c>
      <c r="M182" s="174">
        <v>341136</v>
      </c>
      <c r="N182" s="230">
        <f t="shared" si="17"/>
        <v>8.396574973031283</v>
      </c>
      <c r="O182" s="149"/>
    </row>
    <row r="183" spans="1:15" ht="15">
      <c r="A183" s="138">
        <v>180</v>
      </c>
      <c r="B183" s="237" t="s">
        <v>68</v>
      </c>
      <c r="C183" s="103">
        <v>40074</v>
      </c>
      <c r="D183" s="104" t="s">
        <v>151</v>
      </c>
      <c r="E183" s="258">
        <v>61</v>
      </c>
      <c r="F183" s="258">
        <v>1</v>
      </c>
      <c r="G183" s="258">
        <v>15</v>
      </c>
      <c r="H183" s="105">
        <v>1521</v>
      </c>
      <c r="I183" s="121">
        <v>408</v>
      </c>
      <c r="J183" s="106">
        <f>I183/F183</f>
        <v>408</v>
      </c>
      <c r="K183" s="108">
        <f>+H183/I183</f>
        <v>3.7279411764705883</v>
      </c>
      <c r="L183" s="107">
        <v>1027374</v>
      </c>
      <c r="M183" s="106">
        <v>103387</v>
      </c>
      <c r="N183" s="238">
        <f t="shared" si="17"/>
        <v>9.937168115913993</v>
      </c>
      <c r="O183" s="147"/>
    </row>
    <row r="184" spans="1:15" ht="15">
      <c r="A184" s="138">
        <v>181</v>
      </c>
      <c r="B184" s="229" t="s">
        <v>68</v>
      </c>
      <c r="C184" s="69">
        <v>40074</v>
      </c>
      <c r="D184" s="102" t="s">
        <v>151</v>
      </c>
      <c r="E184" s="255">
        <v>61</v>
      </c>
      <c r="F184" s="255">
        <v>2</v>
      </c>
      <c r="G184" s="255">
        <v>17</v>
      </c>
      <c r="H184" s="72">
        <v>1503</v>
      </c>
      <c r="I184" s="100">
        <v>241</v>
      </c>
      <c r="J184" s="128">
        <f>I184/F184</f>
        <v>120.5</v>
      </c>
      <c r="K184" s="74">
        <f>+H184/I184</f>
        <v>6.236514522821577</v>
      </c>
      <c r="L184" s="75">
        <v>1028993</v>
      </c>
      <c r="M184" s="128">
        <v>103644</v>
      </c>
      <c r="N184" s="228">
        <f t="shared" si="17"/>
        <v>9.92814827679364</v>
      </c>
      <c r="O184" s="180"/>
    </row>
    <row r="185" spans="1:15" ht="15">
      <c r="A185" s="138">
        <v>182</v>
      </c>
      <c r="B185" s="229" t="s">
        <v>68</v>
      </c>
      <c r="C185" s="69">
        <v>40074</v>
      </c>
      <c r="D185" s="102" t="s">
        <v>151</v>
      </c>
      <c r="E185" s="255">
        <v>61</v>
      </c>
      <c r="F185" s="255">
        <v>1</v>
      </c>
      <c r="G185" s="255">
        <v>16</v>
      </c>
      <c r="H185" s="72">
        <v>116</v>
      </c>
      <c r="I185" s="73">
        <v>16</v>
      </c>
      <c r="J185" s="174">
        <f>I185/F185</f>
        <v>16</v>
      </c>
      <c r="K185" s="76">
        <f>+H185/I185</f>
        <v>7.25</v>
      </c>
      <c r="L185" s="75">
        <v>1027490</v>
      </c>
      <c r="M185" s="174">
        <v>103403</v>
      </c>
      <c r="N185" s="230">
        <f t="shared" si="17"/>
        <v>9.936752318598106</v>
      </c>
      <c r="O185" s="150"/>
    </row>
    <row r="186" spans="1:15" ht="15">
      <c r="A186" s="138">
        <v>183</v>
      </c>
      <c r="B186" s="231" t="s">
        <v>4</v>
      </c>
      <c r="C186" s="85">
        <v>39878</v>
      </c>
      <c r="D186" s="86" t="s">
        <v>152</v>
      </c>
      <c r="E186" s="256">
        <v>39</v>
      </c>
      <c r="F186" s="256">
        <v>1</v>
      </c>
      <c r="G186" s="256">
        <v>29</v>
      </c>
      <c r="H186" s="67">
        <v>1780</v>
      </c>
      <c r="I186" s="63">
        <v>445</v>
      </c>
      <c r="J186" s="64">
        <f>(I186/F186)</f>
        <v>445</v>
      </c>
      <c r="K186" s="74">
        <f>+H186/I186</f>
        <v>4</v>
      </c>
      <c r="L186" s="68">
        <f>143992.5+82756.5+42509+41229+27290.5+16668+27602+17675+4710+8504.5+2403+4164+2272+3469+1997+135+299+674+178+30+240+1413+1006+209+393+680+1780+4040+1780</f>
        <v>440099</v>
      </c>
      <c r="M186" s="65">
        <f>15320+9228+5096+5970+4485+3115+5134+3946+1139+2307+509+879+411+637+472+29+62+165+32+6+48+348+139+43+54+68+445+1010+445</f>
        <v>61542</v>
      </c>
      <c r="N186" s="232">
        <f>L186/M186</f>
        <v>7.151197556140522</v>
      </c>
      <c r="O186" s="149"/>
    </row>
    <row r="187" spans="1:15" ht="15">
      <c r="A187" s="138">
        <v>184</v>
      </c>
      <c r="B187" s="229" t="s">
        <v>4</v>
      </c>
      <c r="C187" s="69">
        <v>39878</v>
      </c>
      <c r="D187" s="60" t="s">
        <v>152</v>
      </c>
      <c r="E187" s="255">
        <v>39</v>
      </c>
      <c r="F187" s="255">
        <v>1</v>
      </c>
      <c r="G187" s="255">
        <v>30</v>
      </c>
      <c r="H187" s="145">
        <v>1780</v>
      </c>
      <c r="I187" s="146">
        <v>445</v>
      </c>
      <c r="J187" s="128">
        <f>I187/F187</f>
        <v>445</v>
      </c>
      <c r="K187" s="74">
        <f>+H187/I187</f>
        <v>4</v>
      </c>
      <c r="L187" s="101">
        <f>143992.5+82756.5+42509+41229+27290.5+16668+27602+17675+4710+8504.5+2403+4164+2272+3469+1997+135+299+674+178+30+240+1413+1006+209+393+680+1780+4040+1780+1780</f>
        <v>441879</v>
      </c>
      <c r="M187" s="128">
        <f>15320+9228+5096+5970+4485+3115+5134+3946+1139+2307+509+879+411+637+472+29+62+165+32+6+48+348+139+43+54+68+445+1010+445+445</f>
        <v>61987</v>
      </c>
      <c r="N187" s="230">
        <f>L187/M187</f>
        <v>7.1285753464436095</v>
      </c>
      <c r="O187" s="149"/>
    </row>
    <row r="188" spans="1:15" ht="15">
      <c r="A188" s="138">
        <v>185</v>
      </c>
      <c r="B188" s="229" t="s">
        <v>166</v>
      </c>
      <c r="C188" s="69">
        <v>39884</v>
      </c>
      <c r="D188" s="60" t="s">
        <v>127</v>
      </c>
      <c r="E188" s="255">
        <v>355</v>
      </c>
      <c r="F188" s="255">
        <v>1</v>
      </c>
      <c r="G188" s="255">
        <v>14</v>
      </c>
      <c r="H188" s="145">
        <v>1500</v>
      </c>
      <c r="I188" s="146">
        <v>300</v>
      </c>
      <c r="J188" s="128">
        <f>(I188/F188)</f>
        <v>300</v>
      </c>
      <c r="K188" s="74">
        <f>(J188/G188)</f>
        <v>21.428571428571427</v>
      </c>
      <c r="L188" s="101">
        <v>19045225</v>
      </c>
      <c r="M188" s="128">
        <v>2491754</v>
      </c>
      <c r="N188" s="230">
        <f>L188/M188</f>
        <v>7.6433006629065305</v>
      </c>
      <c r="O188" s="149"/>
    </row>
    <row r="189" spans="1:15" ht="15">
      <c r="A189" s="138">
        <v>186</v>
      </c>
      <c r="B189" s="229" t="s">
        <v>161</v>
      </c>
      <c r="C189" s="69">
        <v>39892</v>
      </c>
      <c r="D189" s="60" t="s">
        <v>152</v>
      </c>
      <c r="E189" s="255">
        <v>5</v>
      </c>
      <c r="F189" s="255">
        <v>1</v>
      </c>
      <c r="G189" s="255">
        <v>20</v>
      </c>
      <c r="H189" s="145">
        <v>114</v>
      </c>
      <c r="I189" s="146">
        <v>23</v>
      </c>
      <c r="J189" s="128">
        <f>(I189/F189)</f>
        <v>23</v>
      </c>
      <c r="K189" s="74">
        <f>H189/I189</f>
        <v>4.956521739130435</v>
      </c>
      <c r="L189" s="101">
        <f>18881.5+13473+6553+4173.5+2378+3269+2172+792+240+60+1236+552+1321+1757+465+884+565+65+261+952+114</f>
        <v>60164</v>
      </c>
      <c r="M189" s="128">
        <f>2268+1745+795+568+579+610+541+209+80+20+215+68+169+337+93+144+93+15+56+238+23</f>
        <v>8866</v>
      </c>
      <c r="N189" s="230">
        <f>L189/M189</f>
        <v>6.785923753665689</v>
      </c>
      <c r="O189" s="150"/>
    </row>
    <row r="190" spans="1:15" ht="15">
      <c r="A190" s="138">
        <v>187</v>
      </c>
      <c r="B190" s="229" t="s">
        <v>161</v>
      </c>
      <c r="C190" s="69">
        <v>39892</v>
      </c>
      <c r="D190" s="60" t="s">
        <v>152</v>
      </c>
      <c r="E190" s="255">
        <v>5</v>
      </c>
      <c r="F190" s="255">
        <v>1</v>
      </c>
      <c r="G190" s="255">
        <v>22</v>
      </c>
      <c r="H190" s="167">
        <v>51</v>
      </c>
      <c r="I190" s="168">
        <v>20</v>
      </c>
      <c r="J190" s="174">
        <f>(I190/F190)</f>
        <v>20</v>
      </c>
      <c r="K190" s="76">
        <f>H190/I190</f>
        <v>2.55</v>
      </c>
      <c r="L190" s="75">
        <f>18881.5+13473+6553+4173.5+2378+3269+2172+792+240+60+1236+552+1321+1757+465+884+565+65+261+952+114+51</f>
        <v>60215</v>
      </c>
      <c r="M190" s="174">
        <f>2268+1745+795+568+579+610+541+209+80+20+215+68+169+337+93+144+93+15+56+238+23+20</f>
        <v>8886</v>
      </c>
      <c r="N190" s="230">
        <f>L190/M190</f>
        <v>6.776389826693675</v>
      </c>
      <c r="O190" s="149"/>
    </row>
    <row r="191" spans="1:15" ht="15">
      <c r="A191" s="138">
        <v>188</v>
      </c>
      <c r="B191" s="353" t="s">
        <v>161</v>
      </c>
      <c r="C191" s="169">
        <v>39892</v>
      </c>
      <c r="D191" s="60" t="s">
        <v>152</v>
      </c>
      <c r="E191" s="210">
        <v>5</v>
      </c>
      <c r="F191" s="210">
        <v>1</v>
      </c>
      <c r="G191" s="210">
        <v>23</v>
      </c>
      <c r="H191" s="171">
        <v>2376</v>
      </c>
      <c r="I191" s="172">
        <v>594</v>
      </c>
      <c r="J191" s="174">
        <f>I191/F191</f>
        <v>594</v>
      </c>
      <c r="K191" s="76">
        <f>H191/I191</f>
        <v>4</v>
      </c>
      <c r="L191" s="75">
        <f>18881.5+13473+6553+4173.5+2378+3269+2172+792+240+60+1236+552+1321+1757+465+884+565+65+261+952+114+51+2376</f>
        <v>62591</v>
      </c>
      <c r="M191" s="174">
        <f>2268+1745+795+568+579+610+541+209+80+20+215+68+169+337+93+144+93+15+56+238+23+20+594</f>
        <v>9480</v>
      </c>
      <c r="N191" s="230">
        <f>+L191/M191</f>
        <v>6.6024261603375525</v>
      </c>
      <c r="O191" s="147"/>
    </row>
    <row r="192" spans="1:15" ht="15">
      <c r="A192" s="138">
        <v>189</v>
      </c>
      <c r="B192" s="229" t="s">
        <v>7</v>
      </c>
      <c r="C192" s="169">
        <v>40088</v>
      </c>
      <c r="D192" s="60" t="s">
        <v>152</v>
      </c>
      <c r="E192" s="210">
        <v>22</v>
      </c>
      <c r="F192" s="210">
        <v>2</v>
      </c>
      <c r="G192" s="210">
        <v>11</v>
      </c>
      <c r="H192" s="171">
        <v>5416.5</v>
      </c>
      <c r="I192" s="172">
        <v>446</v>
      </c>
      <c r="J192" s="174">
        <f>(I192/F192)</f>
        <v>223</v>
      </c>
      <c r="K192" s="76">
        <f>H192/I192</f>
        <v>12.144618834080717</v>
      </c>
      <c r="L192" s="75">
        <f>25195+10013.5+1152+270+83.5+141+48+709.5+1424+1356+5416.5</f>
        <v>45809</v>
      </c>
      <c r="M192" s="174">
        <f>2139+1282+178+44+14+26+8+240+356+299+446</f>
        <v>5032</v>
      </c>
      <c r="N192" s="230">
        <f>+L192/M192</f>
        <v>9.103537360890302</v>
      </c>
      <c r="O192" s="180"/>
    </row>
    <row r="193" spans="1:15" ht="15">
      <c r="A193" s="138">
        <v>190</v>
      </c>
      <c r="B193" s="231" t="s">
        <v>7</v>
      </c>
      <c r="C193" s="85">
        <v>40088</v>
      </c>
      <c r="D193" s="86" t="s">
        <v>152</v>
      </c>
      <c r="E193" s="256">
        <v>22</v>
      </c>
      <c r="F193" s="256">
        <v>1</v>
      </c>
      <c r="G193" s="256">
        <v>9</v>
      </c>
      <c r="H193" s="67">
        <v>1424</v>
      </c>
      <c r="I193" s="63">
        <v>356</v>
      </c>
      <c r="J193" s="64">
        <f>(I193/F193)</f>
        <v>356</v>
      </c>
      <c r="K193" s="74">
        <f>+H193/I193</f>
        <v>4</v>
      </c>
      <c r="L193" s="68">
        <f>25195+10013.5+1152+270+83.5+141+48+709.5+1424</f>
        <v>39036.5</v>
      </c>
      <c r="M193" s="65">
        <f>2139+1282+178+44+14+26+8+240+356</f>
        <v>4287</v>
      </c>
      <c r="N193" s="232">
        <f>L193/M193</f>
        <v>9.10578493118731</v>
      </c>
      <c r="O193" s="149"/>
    </row>
    <row r="194" spans="1:15" ht="15">
      <c r="A194" s="138">
        <v>191</v>
      </c>
      <c r="B194" s="229" t="s">
        <v>7</v>
      </c>
      <c r="C194" s="69">
        <v>40088</v>
      </c>
      <c r="D194" s="60" t="s">
        <v>152</v>
      </c>
      <c r="E194" s="255">
        <v>22</v>
      </c>
      <c r="F194" s="255">
        <v>3</v>
      </c>
      <c r="G194" s="255">
        <v>10</v>
      </c>
      <c r="H194" s="145">
        <v>1356</v>
      </c>
      <c r="I194" s="146">
        <v>299</v>
      </c>
      <c r="J194" s="128">
        <f>(I194/F194)</f>
        <v>99.66666666666667</v>
      </c>
      <c r="K194" s="74">
        <f>(J194/G194)</f>
        <v>9.966666666666667</v>
      </c>
      <c r="L194" s="101">
        <f>25195+10013.5+1152+270+83.5+141+48+709.5+1424+1356</f>
        <v>40392.5</v>
      </c>
      <c r="M194" s="128">
        <f>2139+1282+178+44+14+26+8+240+356+299</f>
        <v>4586</v>
      </c>
      <c r="N194" s="230">
        <f>L194/M194</f>
        <v>8.807784561709552</v>
      </c>
      <c r="O194" s="181"/>
    </row>
    <row r="195" spans="1:15" ht="15">
      <c r="A195" s="138">
        <v>192</v>
      </c>
      <c r="B195" s="353" t="s">
        <v>7</v>
      </c>
      <c r="C195" s="169">
        <v>40088</v>
      </c>
      <c r="D195" s="60" t="s">
        <v>152</v>
      </c>
      <c r="E195" s="210">
        <v>22</v>
      </c>
      <c r="F195" s="210">
        <v>22</v>
      </c>
      <c r="G195" s="210">
        <v>12</v>
      </c>
      <c r="H195" s="171">
        <v>126229.75</v>
      </c>
      <c r="I195" s="172">
        <v>10017</v>
      </c>
      <c r="J195" s="174">
        <f>I195/F195</f>
        <v>455.3181818181818</v>
      </c>
      <c r="K195" s="76">
        <f>H195/I195</f>
        <v>12.601552360986323</v>
      </c>
      <c r="L195" s="75">
        <f>25195+10013.5+1152+270+83.5+141+48+709.5+1424+1356+5416.5+126229.75</f>
        <v>172038.75</v>
      </c>
      <c r="M195" s="174">
        <f>2139+1282+178+44+14+26+8+240+356+299+446+10017</f>
        <v>15049</v>
      </c>
      <c r="N195" s="230">
        <f>+L195/M195</f>
        <v>11.431905774470064</v>
      </c>
      <c r="O195" s="147"/>
    </row>
    <row r="196" spans="1:15" ht="15">
      <c r="A196" s="138">
        <v>193</v>
      </c>
      <c r="B196" s="231" t="s">
        <v>36</v>
      </c>
      <c r="C196" s="85">
        <v>40151</v>
      </c>
      <c r="D196" s="86" t="s">
        <v>152</v>
      </c>
      <c r="E196" s="256">
        <v>2</v>
      </c>
      <c r="F196" s="256">
        <v>2</v>
      </c>
      <c r="G196" s="256">
        <v>7</v>
      </c>
      <c r="H196" s="54">
        <v>1006</v>
      </c>
      <c r="I196" s="63">
        <v>130</v>
      </c>
      <c r="J196" s="64">
        <f aca="true" t="shared" si="18" ref="J196:J204">(I196/F196)</f>
        <v>65</v>
      </c>
      <c r="K196" s="57">
        <f>H196/I196</f>
        <v>7.7384615384615385</v>
      </c>
      <c r="L196" s="58">
        <f>14952+6112+2196+2975+2853+674+1006</f>
        <v>30768</v>
      </c>
      <c r="M196" s="65">
        <f>1468+666+254+478+502+81+130</f>
        <v>3579</v>
      </c>
      <c r="N196" s="227">
        <f>L196/M196</f>
        <v>8.596814752724224</v>
      </c>
      <c r="O196" s="177"/>
    </row>
    <row r="197" spans="1:15" ht="15">
      <c r="A197" s="138">
        <v>194</v>
      </c>
      <c r="B197" s="231" t="s">
        <v>65</v>
      </c>
      <c r="C197" s="85">
        <v>39995</v>
      </c>
      <c r="D197" s="86" t="s">
        <v>152</v>
      </c>
      <c r="E197" s="256">
        <v>209</v>
      </c>
      <c r="F197" s="256">
        <v>4</v>
      </c>
      <c r="G197" s="256">
        <v>29</v>
      </c>
      <c r="H197" s="54">
        <v>5898</v>
      </c>
      <c r="I197" s="63">
        <v>1381</v>
      </c>
      <c r="J197" s="64">
        <f t="shared" si="18"/>
        <v>345.25</v>
      </c>
      <c r="K197" s="57">
        <f>H197/I197</f>
        <v>4.270818247646633</v>
      </c>
      <c r="L197" s="58">
        <f>872160.5+3062686.25+2016658.5+1330226.25+943221.5+742732+516667.5+450351.5+331944.75+238834+191406+133484.5+252388.75+88483.5+54821.5+50455.5+10393.5+13219.5+4551+15537+5404+869+4082+1834+3805+1635+750+1385+2821+5898</f>
        <v>11348706.5</v>
      </c>
      <c r="M197" s="65">
        <f>115039+364710+241056+162109+115810+90639+66180+59650+44695+33272+25508+18324+32600+11489+6695+7353+1723+3013+920+3530+1123+138+968+454+919+396+210+249+551+1381</f>
        <v>1410704</v>
      </c>
      <c r="N197" s="227">
        <f>L197/M197</f>
        <v>8.044711363971464</v>
      </c>
      <c r="O197" s="149"/>
    </row>
    <row r="198" spans="1:15" ht="15">
      <c r="A198" s="138">
        <v>195</v>
      </c>
      <c r="B198" s="231" t="s">
        <v>65</v>
      </c>
      <c r="C198" s="85">
        <v>39995</v>
      </c>
      <c r="D198" s="86" t="s">
        <v>152</v>
      </c>
      <c r="E198" s="256">
        <v>209</v>
      </c>
      <c r="F198" s="256">
        <v>5</v>
      </c>
      <c r="G198" s="256">
        <v>31</v>
      </c>
      <c r="H198" s="67">
        <v>5853</v>
      </c>
      <c r="I198" s="63">
        <v>1328</v>
      </c>
      <c r="J198" s="64">
        <f t="shared" si="18"/>
        <v>265.6</v>
      </c>
      <c r="K198" s="74">
        <f>+H198/I198</f>
        <v>4.407379518072289</v>
      </c>
      <c r="L198" s="68">
        <f>872160.5+3062686.25+2016658.5+1330226.25+943221.5+742732+516667.5+450351.5+331944.75+238834+191406+133484.5+252388.75+88483.5+54821.5+50455.5+10393.5+13219.5+4551+15537+5404+869+4082+1834+3805+1635+750+1385+2821+5898+4584.5+5853</f>
        <v>11359144</v>
      </c>
      <c r="M198" s="65">
        <f>115039+364710+241056+162109+115810+90639+66180+59650+44695+33272+25508+18324+32600+11489+6695+7353+1723+3013+920+3530+1123+138+968+454+919+396+210+249+551+1381+976+1328</f>
        <v>1413008</v>
      </c>
      <c r="N198" s="232">
        <f>L198/M198</f>
        <v>8.038980671022387</v>
      </c>
      <c r="O198" s="147"/>
    </row>
    <row r="199" spans="1:15" ht="15">
      <c r="A199" s="138">
        <v>196</v>
      </c>
      <c r="B199" s="229" t="s">
        <v>65</v>
      </c>
      <c r="C199" s="69">
        <v>39995</v>
      </c>
      <c r="D199" s="71" t="s">
        <v>152</v>
      </c>
      <c r="E199" s="255">
        <v>209</v>
      </c>
      <c r="F199" s="255">
        <v>6</v>
      </c>
      <c r="G199" s="255">
        <v>30</v>
      </c>
      <c r="H199" s="67">
        <v>4584.5</v>
      </c>
      <c r="I199" s="63">
        <v>976</v>
      </c>
      <c r="J199" s="64">
        <f t="shared" si="18"/>
        <v>162.66666666666666</v>
      </c>
      <c r="K199" s="57">
        <f>H199/I199</f>
        <v>4.697233606557377</v>
      </c>
      <c r="L199" s="68">
        <f>872160.5+3062686.25+2016658.5+1330226.25+943221.5+742732+516667.5+450351.5+331944.75+238834+191406+133484.5+252388.75+88483.5+54821.5+50455.5+10393.5+13219.5+4551+15537+5404+869+4082+1834+3805+1635+750+1385+2821+5898+4584.5</f>
        <v>11353291</v>
      </c>
      <c r="M199" s="65">
        <f>115039+364710+241056+162109+115810+90639+66180+59650+44695+33272+25508+18324+32600+11489+6695+7353+1723+3013+920+3530+1123+138+968+454+919+396+210+249+551+1381+976</f>
        <v>1411680</v>
      </c>
      <c r="N199" s="227">
        <f>L199/M199</f>
        <v>8.042397002153463</v>
      </c>
      <c r="O199" s="149"/>
    </row>
    <row r="200" spans="1:15" ht="15">
      <c r="A200" s="138">
        <v>197</v>
      </c>
      <c r="B200" s="229" t="s">
        <v>65</v>
      </c>
      <c r="C200" s="69">
        <v>39995</v>
      </c>
      <c r="D200" s="70" t="s">
        <v>152</v>
      </c>
      <c r="E200" s="255">
        <v>209</v>
      </c>
      <c r="F200" s="255">
        <v>3</v>
      </c>
      <c r="G200" s="255">
        <v>28</v>
      </c>
      <c r="H200" s="54">
        <v>2821</v>
      </c>
      <c r="I200" s="55">
        <v>551</v>
      </c>
      <c r="J200" s="56">
        <f t="shared" si="18"/>
        <v>183.66666666666666</v>
      </c>
      <c r="K200" s="61">
        <f>H200/I200</f>
        <v>5.11978221415608</v>
      </c>
      <c r="L200" s="58">
        <f>872160.5+3062686.25+2016658.5+1330226.25+943221.5+742732+516667.5+450351.5+331944.75+238834+191406+133484.5+252388.75+88483.5+54821.5+50455.5+10393.5+13219.5+4551+15537+5404+869+4082+1834+3805+1635+750+1385+2821</f>
        <v>11342808.5</v>
      </c>
      <c r="M200" s="59">
        <f>115039+364710+241056+162109+115810+90639+66180+59650+44695+33272+25508+18324+32600+11489+6695+7353+1723+3013+920+3530+1123+138+968+454+919+396+210+249+551</f>
        <v>1409323</v>
      </c>
      <c r="N200" s="226">
        <f>L200/M200</f>
        <v>8.048409413597877</v>
      </c>
      <c r="O200" s="149"/>
    </row>
    <row r="201" spans="1:15" ht="15">
      <c r="A201" s="138">
        <v>198</v>
      </c>
      <c r="B201" s="229" t="s">
        <v>65</v>
      </c>
      <c r="C201" s="169">
        <v>39995</v>
      </c>
      <c r="D201" s="60" t="s">
        <v>152</v>
      </c>
      <c r="E201" s="210">
        <v>209</v>
      </c>
      <c r="F201" s="210">
        <v>2</v>
      </c>
      <c r="G201" s="210">
        <v>35</v>
      </c>
      <c r="H201" s="171">
        <v>2260</v>
      </c>
      <c r="I201" s="172">
        <v>565</v>
      </c>
      <c r="J201" s="174">
        <f t="shared" si="18"/>
        <v>282.5</v>
      </c>
      <c r="K201" s="76">
        <f>H201/I201</f>
        <v>4</v>
      </c>
      <c r="L201" s="75">
        <f>872160.5+3062686.25+2016658.5+1330226.25+943221.5+742732+516667.5+450351.5+331944.75+238834+191406+133484.5+252388.75+88483.5+54821.5+50455.5+10393.5+13219.5+4551+15537+5404+869+4082+1834+3805+1635+750+1385+2821+5898+4584.5+5853+2137+508+960+2260</f>
        <v>11365009</v>
      </c>
      <c r="M201" s="174">
        <f>115039+364710+241056+162109+115810+90639+66180+59650+44695+33272+25508+18324+32600+11489+6695+7353+1723+3013+920+3530+1123+138+968+454+919+396+210+249+551+1381+976+1328+506+127+240+565</f>
        <v>1414446</v>
      </c>
      <c r="N201" s="230">
        <f>+L201/M201</f>
        <v>8.034954321338532</v>
      </c>
      <c r="O201" s="147">
        <v>1</v>
      </c>
    </row>
    <row r="202" spans="1:15" ht="15">
      <c r="A202" s="138">
        <v>199</v>
      </c>
      <c r="B202" s="229" t="s">
        <v>65</v>
      </c>
      <c r="C202" s="69">
        <v>39995</v>
      </c>
      <c r="D202" s="60" t="s">
        <v>152</v>
      </c>
      <c r="E202" s="255">
        <v>209</v>
      </c>
      <c r="F202" s="255">
        <v>3</v>
      </c>
      <c r="G202" s="255">
        <v>32</v>
      </c>
      <c r="H202" s="145">
        <v>2137</v>
      </c>
      <c r="I202" s="146">
        <v>506</v>
      </c>
      <c r="J202" s="128">
        <f t="shared" si="18"/>
        <v>168.66666666666666</v>
      </c>
      <c r="K202" s="74">
        <f>(J202/G202)</f>
        <v>5.270833333333333</v>
      </c>
      <c r="L202" s="101">
        <f>872160.5+3062686.25+2016658.5+1330226.25+943221.5+742732+516667.5+450351.5+331944.75+238834+191406+133484.5+252388.75+88483.5+54821.5+50455.5+10393.5+13219.5+4551+15537+5404+869+4082+1834+3805+1635+750+1385+2821+5898+4584.5+5853+2137</f>
        <v>11361281</v>
      </c>
      <c r="M202" s="128">
        <f>115039+364710+241056+162109+115810+90639+66180+59650+44695+33272+25508+18324+32600+11489+6695+7353+1723+3013+920+3530+1123+138+968+454+919+396+210+249+551+1381+976+1328+506</f>
        <v>1413514</v>
      </c>
      <c r="N202" s="230">
        <f>L202/M202</f>
        <v>8.037614767168915</v>
      </c>
      <c r="O202" s="149">
        <v>1</v>
      </c>
    </row>
    <row r="203" spans="1:15" ht="15">
      <c r="A203" s="138">
        <v>200</v>
      </c>
      <c r="B203" s="229" t="s">
        <v>65</v>
      </c>
      <c r="C203" s="169">
        <v>39995</v>
      </c>
      <c r="D203" s="60" t="s">
        <v>152</v>
      </c>
      <c r="E203" s="210">
        <v>209</v>
      </c>
      <c r="F203" s="210">
        <v>1</v>
      </c>
      <c r="G203" s="210">
        <v>34</v>
      </c>
      <c r="H203" s="171">
        <v>1440</v>
      </c>
      <c r="I203" s="172">
        <v>240</v>
      </c>
      <c r="J203" s="174">
        <f t="shared" si="18"/>
        <v>240</v>
      </c>
      <c r="K203" s="76">
        <f>H203/I203</f>
        <v>6</v>
      </c>
      <c r="L203" s="75">
        <f>872160.5+3062686.25+2016658.5+1330226.25+943221.5+742732+516667.5+450351.5+331944.75+238834+191406+133484.5+252388.75+88483.5+54821.5+50455.5+10393.5+13219.5+4551+15537+5404+869+4082+1834+3805+1635+750+1385+2821+5898+4584.5+5853+2137+508+1440</f>
        <v>11363229</v>
      </c>
      <c r="M203" s="174">
        <f>115039+364710+241056+162109+115810+90639+66180+59650+44695+33272+25508+18324+32600+11489+6695+7353+1723+3013+920+3530+1123+138+968+454+919+396+210+249+551+1381+976+1328+506+127+240</f>
        <v>1413881</v>
      </c>
      <c r="N203" s="230">
        <f>L203/M203</f>
        <v>8.036906217708562</v>
      </c>
      <c r="O203" s="147">
        <v>1</v>
      </c>
    </row>
    <row r="204" spans="1:15" ht="15">
      <c r="A204" s="138">
        <v>201</v>
      </c>
      <c r="B204" s="229" t="s">
        <v>65</v>
      </c>
      <c r="C204" s="69">
        <v>39995</v>
      </c>
      <c r="D204" s="71" t="s">
        <v>152</v>
      </c>
      <c r="E204" s="255">
        <v>209</v>
      </c>
      <c r="F204" s="255">
        <v>2</v>
      </c>
      <c r="G204" s="255">
        <v>27</v>
      </c>
      <c r="H204" s="54">
        <v>1385</v>
      </c>
      <c r="I204" s="55">
        <v>249</v>
      </c>
      <c r="J204" s="56">
        <f t="shared" si="18"/>
        <v>124.5</v>
      </c>
      <c r="K204" s="57">
        <f>H204/I204</f>
        <v>5.562248995983936</v>
      </c>
      <c r="L204" s="58">
        <f>872160.5+3062686.25+2016658.5+1330226.25+943221.5+742732+516667.5+450351.5+331944.75+238834+191406+133484.5+252388.75+88483.5+54821.5+50455.5+10393.5+13219.5+4551+15537+5404+869+4082+1834+3805+1635+750+1385</f>
        <v>11339987.5</v>
      </c>
      <c r="M204" s="59">
        <f>115039+364710+241056+162109+115810+90639+66180+59650+44695+33272+25508+18324+32600+11489+6695+7353+1723+3013+920+3530+1123+138+968+454+919+396+210+249</f>
        <v>1408772</v>
      </c>
      <c r="N204" s="227">
        <f>L204/M204</f>
        <v>8.049554860545213</v>
      </c>
      <c r="O204" s="149">
        <v>1</v>
      </c>
    </row>
    <row r="205" spans="1:15" ht="15">
      <c r="A205" s="138">
        <v>202</v>
      </c>
      <c r="B205" s="229" t="s">
        <v>65</v>
      </c>
      <c r="C205" s="69">
        <v>39995</v>
      </c>
      <c r="D205" s="60" t="s">
        <v>152</v>
      </c>
      <c r="E205" s="255">
        <v>209</v>
      </c>
      <c r="F205" s="255">
        <v>1</v>
      </c>
      <c r="G205" s="255">
        <v>33</v>
      </c>
      <c r="H205" s="167">
        <v>508</v>
      </c>
      <c r="I205" s="168">
        <v>127</v>
      </c>
      <c r="J205" s="174">
        <f>I205/F205</f>
        <v>127</v>
      </c>
      <c r="K205" s="76">
        <f>H205/I205</f>
        <v>4</v>
      </c>
      <c r="L205" s="75">
        <f>872160.5+3062686.25+2016658.5+1330226.25+943221.5+742732+516667.5+450351.5+331944.75+238834+191406+133484.5+252388.75+88483.5+54821.5+50455.5+10393.5+13219.5+4551+15537+5404+869+4082+1834+3805+1635+750+1385+2821+5898+4584.5+5853+2137+508</f>
        <v>11361789</v>
      </c>
      <c r="M205" s="174">
        <f>115039+364710+241056+162109+115810+90639+66180+59650+44695+33272+25508+18324+32600+11489+6695+7353+1723+3013+920+3530+1123+138+968+454+919+396+210+249+551+1381+976+1328+506+127</f>
        <v>1413641</v>
      </c>
      <c r="N205" s="230">
        <f>+L205/M205</f>
        <v>8.037252032163753</v>
      </c>
      <c r="O205" s="149">
        <v>1</v>
      </c>
    </row>
    <row r="206" spans="1:15" ht="15">
      <c r="A206" s="138">
        <v>203</v>
      </c>
      <c r="B206" s="353" t="s">
        <v>65</v>
      </c>
      <c r="C206" s="169">
        <v>39995</v>
      </c>
      <c r="D206" s="60" t="s">
        <v>152</v>
      </c>
      <c r="E206" s="210">
        <v>209</v>
      </c>
      <c r="F206" s="210">
        <v>5</v>
      </c>
      <c r="G206" s="210">
        <v>36</v>
      </c>
      <c r="H206" s="171">
        <v>10448</v>
      </c>
      <c r="I206" s="172">
        <v>2612</v>
      </c>
      <c r="J206" s="174">
        <f>I206/F206</f>
        <v>522.4</v>
      </c>
      <c r="K206" s="76">
        <f>H206/I206</f>
        <v>4</v>
      </c>
      <c r="L206" s="75">
        <f>872160.5+3062686.25+2016658.5+1330226.25+943221.5+742732+516667.5+450351.5+331944.75+238834+191406+133484.5+252388.75+88483.5+54821.5+50455.5+10393.5+13219.5+4551+15537+5404+869+4082+1834+3805+1635+750+1385+2821+5898+4584.5+5853+2137+508+960+2260+10448</f>
        <v>11375457</v>
      </c>
      <c r="M206" s="174">
        <f>115039+364710+241056+162109+115810+90639+66180+59650+44695+33272+25508+18324+32600+11489+6695+7353+1723+3013+920+3530+1123+138+968+454+919+396+210+249+551+1381+976+1328+506+127+240+565+2612</f>
        <v>1417058</v>
      </c>
      <c r="N206" s="230">
        <f>+L206/M206</f>
        <v>8.027516869457708</v>
      </c>
      <c r="O206" s="150">
        <v>1</v>
      </c>
    </row>
    <row r="207" spans="1:15" ht="15">
      <c r="A207" s="138">
        <v>204</v>
      </c>
      <c r="B207" s="229" t="s">
        <v>159</v>
      </c>
      <c r="C207" s="69">
        <v>39738</v>
      </c>
      <c r="D207" s="60" t="s">
        <v>152</v>
      </c>
      <c r="E207" s="255">
        <v>67</v>
      </c>
      <c r="F207" s="255">
        <v>1</v>
      </c>
      <c r="G207" s="255">
        <v>31</v>
      </c>
      <c r="H207" s="145">
        <v>1780</v>
      </c>
      <c r="I207" s="146">
        <v>445</v>
      </c>
      <c r="J207" s="128">
        <f>I207/F207</f>
        <v>445</v>
      </c>
      <c r="K207" s="74">
        <f>+H207/I207</f>
        <v>4</v>
      </c>
      <c r="L207" s="101">
        <f>167196+176809+54428+37340+38330.5+23467+11581+5867+4382+2577+3552+2137+545+4006+9422+7992+4936+1547+1147+288+371+2842+1282+168+610+1948+150+3292+132+65+1780</f>
        <v>570189.5</v>
      </c>
      <c r="M207" s="128">
        <f>19168+21164+7719+6215+6404+4964+2339+1306+907+580+859+440+127+905+2170+1822+1050+392+333+56+73+734+411+21+61+466+30+807+26+13+445</f>
        <v>82007</v>
      </c>
      <c r="N207" s="230">
        <f>L207/M207</f>
        <v>6.952936944407185</v>
      </c>
      <c r="O207" s="148">
        <v>1</v>
      </c>
    </row>
    <row r="208" spans="1:15" ht="15">
      <c r="A208" s="138">
        <v>205</v>
      </c>
      <c r="B208" s="229" t="s">
        <v>159</v>
      </c>
      <c r="C208" s="69">
        <v>39738</v>
      </c>
      <c r="D208" s="60" t="s">
        <v>152</v>
      </c>
      <c r="E208" s="255">
        <v>67</v>
      </c>
      <c r="F208" s="255">
        <v>1</v>
      </c>
      <c r="G208" s="255">
        <v>32</v>
      </c>
      <c r="H208" s="167">
        <v>1780</v>
      </c>
      <c r="I208" s="168">
        <v>445</v>
      </c>
      <c r="J208" s="174">
        <f>(I208/F208)</f>
        <v>445</v>
      </c>
      <c r="K208" s="76">
        <f>H208/I208</f>
        <v>4</v>
      </c>
      <c r="L208" s="75">
        <f>167196+176809+54428+37340+38330.5+23467+11581+5867+4382+2577+3552+2137+545+4006+9422+7992+4936+1547+1147+288+371+2842+1282+168+610+1948+150+3292+132+65+1780+1780</f>
        <v>571969.5</v>
      </c>
      <c r="M208" s="174">
        <f>19168+21164+7719+6215+6404+4964+2339+1306+907+580+859+440+127+905+2170+1822+1050+392+333+56+73+734+411+21+61+466+30+807+26+13+445+445</f>
        <v>82452</v>
      </c>
      <c r="N208" s="230">
        <f>L208/M208</f>
        <v>6.9369997089215545</v>
      </c>
      <c r="O208" s="149">
        <v>1</v>
      </c>
    </row>
    <row r="209" spans="1:15" ht="15">
      <c r="A209" s="138">
        <v>206</v>
      </c>
      <c r="B209" s="229" t="s">
        <v>59</v>
      </c>
      <c r="C209" s="69">
        <v>40046</v>
      </c>
      <c r="D209" s="109" t="s">
        <v>151</v>
      </c>
      <c r="E209" s="255">
        <v>55</v>
      </c>
      <c r="F209" s="255">
        <v>1</v>
      </c>
      <c r="G209" s="255">
        <v>20</v>
      </c>
      <c r="H209" s="99">
        <v>609</v>
      </c>
      <c r="I209" s="100">
        <v>280</v>
      </c>
      <c r="J209" s="128">
        <f>I209/F209</f>
        <v>280</v>
      </c>
      <c r="K209" s="74">
        <f>+H209/I209</f>
        <v>2.175</v>
      </c>
      <c r="L209" s="101">
        <v>2895934</v>
      </c>
      <c r="M209" s="128">
        <v>289454</v>
      </c>
      <c r="N209" s="228">
        <f>+L209/M209</f>
        <v>10.004815963849179</v>
      </c>
      <c r="O209" s="147"/>
    </row>
    <row r="210" spans="1:15" ht="15">
      <c r="A210" s="138">
        <v>207</v>
      </c>
      <c r="B210" s="229" t="s">
        <v>57</v>
      </c>
      <c r="C210" s="69">
        <v>39836</v>
      </c>
      <c r="D210" s="71" t="s">
        <v>154</v>
      </c>
      <c r="E210" s="255">
        <v>86</v>
      </c>
      <c r="F210" s="255">
        <v>1</v>
      </c>
      <c r="G210" s="255">
        <v>20</v>
      </c>
      <c r="H210" s="67">
        <v>2941</v>
      </c>
      <c r="I210" s="63">
        <v>588</v>
      </c>
      <c r="J210" s="64">
        <f>IF(H210&lt;&gt;0,I210/F210,"")</f>
        <v>588</v>
      </c>
      <c r="K210" s="57">
        <f>IF(H210&lt;&gt;0,H210/I210,"")</f>
        <v>5.0017006802721085</v>
      </c>
      <c r="L210" s="68">
        <v>1450591.5</v>
      </c>
      <c r="M210" s="65">
        <v>167594</v>
      </c>
      <c r="N210" s="227">
        <f>IF(L210&lt;&gt;0,L210/M210,"")</f>
        <v>8.655390407771161</v>
      </c>
      <c r="O210" s="149"/>
    </row>
    <row r="211" spans="1:15" ht="15">
      <c r="A211" s="138">
        <v>208</v>
      </c>
      <c r="B211" s="229" t="s">
        <v>96</v>
      </c>
      <c r="C211" s="69">
        <v>40109</v>
      </c>
      <c r="D211" s="70" t="s">
        <v>152</v>
      </c>
      <c r="E211" s="255">
        <v>25</v>
      </c>
      <c r="F211" s="255">
        <v>8</v>
      </c>
      <c r="G211" s="255">
        <v>12</v>
      </c>
      <c r="H211" s="54">
        <v>13931</v>
      </c>
      <c r="I211" s="55">
        <v>2457</v>
      </c>
      <c r="J211" s="56">
        <f>(I211/F211)</f>
        <v>307.125</v>
      </c>
      <c r="K211" s="61">
        <f>H211/I211</f>
        <v>5.66992266992267</v>
      </c>
      <c r="L211" s="58">
        <f>198009+121514.5+95148.5+66495+23091+12092+17648.5+7279+6352.5+7838.5+3895+13931</f>
        <v>573294.5</v>
      </c>
      <c r="M211" s="59">
        <f>27092+16078+14204+10980+3903+1664+3329+1236+1212+1399+730+2457</f>
        <v>84284</v>
      </c>
      <c r="N211" s="226">
        <f aca="true" t="shared" si="19" ref="N211:N216">L211/M211</f>
        <v>6.801937497033838</v>
      </c>
      <c r="O211" s="147"/>
    </row>
    <row r="212" spans="1:15" ht="15">
      <c r="A212" s="138">
        <v>209</v>
      </c>
      <c r="B212" s="231" t="s">
        <v>96</v>
      </c>
      <c r="C212" s="85">
        <v>40109</v>
      </c>
      <c r="D212" s="86" t="s">
        <v>152</v>
      </c>
      <c r="E212" s="256">
        <v>25</v>
      </c>
      <c r="F212" s="256">
        <v>7</v>
      </c>
      <c r="G212" s="256">
        <v>13</v>
      </c>
      <c r="H212" s="54">
        <v>9467.5</v>
      </c>
      <c r="I212" s="63">
        <v>1694</v>
      </c>
      <c r="J212" s="64">
        <f>(I212/F212)</f>
        <v>242</v>
      </c>
      <c r="K212" s="57">
        <f>H212/I212</f>
        <v>5.588842975206612</v>
      </c>
      <c r="L212" s="58">
        <f>198009+121514.5+95148.5+66495+23091+12092+17648.5+7279+6352.5+7838.5+3895+13931+9467.5</f>
        <v>582762</v>
      </c>
      <c r="M212" s="65">
        <f>27092+16078+14204+10980+3903+1664+3329+1236+1212+1399+730+2457+1694</f>
        <v>85978</v>
      </c>
      <c r="N212" s="227">
        <f t="shared" si="19"/>
        <v>6.778036241829305</v>
      </c>
      <c r="O212" s="149"/>
    </row>
    <row r="213" spans="1:15" ht="15">
      <c r="A213" s="138">
        <v>210</v>
      </c>
      <c r="B213" s="229" t="s">
        <v>96</v>
      </c>
      <c r="C213" s="69">
        <v>40109</v>
      </c>
      <c r="D213" s="71" t="s">
        <v>152</v>
      </c>
      <c r="E213" s="255">
        <v>25</v>
      </c>
      <c r="F213" s="255">
        <v>5</v>
      </c>
      <c r="G213" s="255">
        <v>11</v>
      </c>
      <c r="H213" s="54">
        <v>3895</v>
      </c>
      <c r="I213" s="55">
        <v>730</v>
      </c>
      <c r="J213" s="56">
        <f>(I213/F213)</f>
        <v>146</v>
      </c>
      <c r="K213" s="57">
        <f>H213/I213</f>
        <v>5.335616438356165</v>
      </c>
      <c r="L213" s="58">
        <f>198009+121514.5+95148.5+66495+23091+12092+17648.5+7279+6352.5+7838.5+3895</f>
        <v>559363.5</v>
      </c>
      <c r="M213" s="59">
        <f>27092+16078+14204+10980+3903+1664+3329+1236+1212+1399+730</f>
        <v>81827</v>
      </c>
      <c r="N213" s="227">
        <f t="shared" si="19"/>
        <v>6.835928238845369</v>
      </c>
      <c r="O213" s="149"/>
    </row>
    <row r="214" spans="1:15" ht="15">
      <c r="A214" s="138">
        <v>211</v>
      </c>
      <c r="B214" s="229" t="s">
        <v>55</v>
      </c>
      <c r="C214" s="69">
        <v>40109</v>
      </c>
      <c r="D214" s="71" t="s">
        <v>152</v>
      </c>
      <c r="E214" s="255">
        <v>25</v>
      </c>
      <c r="F214" s="255">
        <v>3</v>
      </c>
      <c r="G214" s="255">
        <v>14</v>
      </c>
      <c r="H214" s="67">
        <v>3364</v>
      </c>
      <c r="I214" s="63">
        <v>753</v>
      </c>
      <c r="J214" s="64">
        <f>(I214/F214)</f>
        <v>251</v>
      </c>
      <c r="K214" s="57">
        <f>H214/I214</f>
        <v>4.46746347941567</v>
      </c>
      <c r="L214" s="68">
        <f>198009+121514.5+95148.5+66495+23091+12092+17648.5+7279+6352.5+7838.5+3895+13931+9479.5+3364</f>
        <v>586138</v>
      </c>
      <c r="M214" s="65">
        <f>27092+16078+14204+10980+3903+1664+3329+1236+1212+1399+730+2457+1696+753</f>
        <v>86733</v>
      </c>
      <c r="N214" s="227">
        <f t="shared" si="19"/>
        <v>6.757958331892128</v>
      </c>
      <c r="O214" s="149">
        <v>1</v>
      </c>
    </row>
    <row r="215" spans="1:15" ht="15">
      <c r="A215" s="138">
        <v>212</v>
      </c>
      <c r="B215" s="229" t="s">
        <v>96</v>
      </c>
      <c r="C215" s="69">
        <v>40109</v>
      </c>
      <c r="D215" s="60" t="s">
        <v>152</v>
      </c>
      <c r="E215" s="255">
        <v>25</v>
      </c>
      <c r="F215" s="255">
        <v>1</v>
      </c>
      <c r="G215" s="255">
        <v>16</v>
      </c>
      <c r="H215" s="145">
        <v>1019</v>
      </c>
      <c r="I215" s="146">
        <v>178</v>
      </c>
      <c r="J215" s="128">
        <f>I215/F215</f>
        <v>178</v>
      </c>
      <c r="K215" s="74">
        <f>+H215/I215</f>
        <v>5.724719101123595</v>
      </c>
      <c r="L215" s="101">
        <f>198009+121514.5+95148.5+66495+23091+12092+17648.5+7279+6352.5+7838.5+3895+13931+9479.5+3364+826.5+1019</f>
        <v>587983.5</v>
      </c>
      <c r="M215" s="128">
        <f>27092+16078+14204+10980+3903+1664+3329+1236+1212+1399+730+2457+1696+753+144+178</f>
        <v>87055</v>
      </c>
      <c r="N215" s="230">
        <f t="shared" si="19"/>
        <v>6.754161162483488</v>
      </c>
      <c r="O215" s="182"/>
    </row>
    <row r="216" spans="1:15" ht="15">
      <c r="A216" s="138">
        <v>213</v>
      </c>
      <c r="B216" s="229" t="s">
        <v>55</v>
      </c>
      <c r="C216" s="85">
        <v>40109</v>
      </c>
      <c r="D216" s="86" t="s">
        <v>152</v>
      </c>
      <c r="E216" s="256">
        <v>25</v>
      </c>
      <c r="F216" s="256">
        <v>1</v>
      </c>
      <c r="G216" s="256">
        <v>15</v>
      </c>
      <c r="H216" s="67">
        <v>826.5</v>
      </c>
      <c r="I216" s="63">
        <v>144</v>
      </c>
      <c r="J216" s="64">
        <f>(I216/F216)</f>
        <v>144</v>
      </c>
      <c r="K216" s="74">
        <f>+H216/I216</f>
        <v>5.739583333333333</v>
      </c>
      <c r="L216" s="68">
        <f>198009+121514.5+95148.5+66495+23091+12092+17648.5+7279+6352.5+7838.5+3895+13931+9479.5+3364+826.5</f>
        <v>586964.5</v>
      </c>
      <c r="M216" s="65">
        <f>27092+16078+14204+10980+3903+1664+3329+1236+1212+1399+730+2457+1696+753+144</f>
        <v>86877</v>
      </c>
      <c r="N216" s="232">
        <f t="shared" si="19"/>
        <v>6.756270359243528</v>
      </c>
      <c r="O216" s="149">
        <v>1</v>
      </c>
    </row>
    <row r="217" spans="1:15" ht="15">
      <c r="A217" s="138">
        <v>214</v>
      </c>
      <c r="B217" s="229" t="s">
        <v>121</v>
      </c>
      <c r="C217" s="69">
        <v>40074</v>
      </c>
      <c r="D217" s="70" t="s">
        <v>73</v>
      </c>
      <c r="E217" s="255">
        <v>20</v>
      </c>
      <c r="F217" s="255">
        <v>1</v>
      </c>
      <c r="G217" s="255">
        <v>8</v>
      </c>
      <c r="H217" s="72">
        <v>622</v>
      </c>
      <c r="I217" s="73">
        <v>104</v>
      </c>
      <c r="J217" s="174">
        <f>I217/F217</f>
        <v>104</v>
      </c>
      <c r="K217" s="76">
        <f>+H217/I217</f>
        <v>5.980769230769231</v>
      </c>
      <c r="L217" s="75">
        <f>29605.75+13687.5+1715.5+10167+0.5+1482+874+865+622</f>
        <v>59019.25</v>
      </c>
      <c r="M217" s="174">
        <f>2984+1583+274+1724+229+164+167+104</f>
        <v>7229</v>
      </c>
      <c r="N217" s="230">
        <f>+L217/M217</f>
        <v>8.164234333932772</v>
      </c>
      <c r="O217" s="148">
        <v>1</v>
      </c>
    </row>
    <row r="218" spans="1:15" ht="15">
      <c r="A218" s="138">
        <v>215</v>
      </c>
      <c r="B218" s="229" t="s">
        <v>45</v>
      </c>
      <c r="C218" s="69">
        <v>40074</v>
      </c>
      <c r="D218" s="70" t="s">
        <v>73</v>
      </c>
      <c r="E218" s="255">
        <v>20</v>
      </c>
      <c r="F218" s="255">
        <v>1</v>
      </c>
      <c r="G218" s="255">
        <v>9</v>
      </c>
      <c r="H218" s="72">
        <v>52</v>
      </c>
      <c r="I218" s="100">
        <v>12</v>
      </c>
      <c r="J218" s="79">
        <f>+I218/F218</f>
        <v>12</v>
      </c>
      <c r="K218" s="80">
        <f>+H218/I218</f>
        <v>4.333333333333333</v>
      </c>
      <c r="L218" s="75">
        <f>29605.75+13687.5+1715.5+10167+0.5+1482+874+865+622+52</f>
        <v>59071.25</v>
      </c>
      <c r="M218" s="128">
        <f>2984+1583+274+1724+229+164+167+104+12</f>
        <v>7241</v>
      </c>
      <c r="N218" s="233">
        <f>+L218/M218</f>
        <v>8.157885651153155</v>
      </c>
      <c r="O218" s="149">
        <v>1</v>
      </c>
    </row>
    <row r="219" spans="1:15" ht="15">
      <c r="A219" s="138">
        <v>216</v>
      </c>
      <c r="B219" s="229" t="s">
        <v>71</v>
      </c>
      <c r="C219" s="69">
        <v>40109</v>
      </c>
      <c r="D219" s="70" t="s">
        <v>152</v>
      </c>
      <c r="E219" s="255">
        <v>35</v>
      </c>
      <c r="F219" s="255">
        <v>4</v>
      </c>
      <c r="G219" s="255">
        <v>10</v>
      </c>
      <c r="H219" s="54">
        <v>2698</v>
      </c>
      <c r="I219" s="55">
        <v>403</v>
      </c>
      <c r="J219" s="56">
        <f>(I219/F219)</f>
        <v>100.75</v>
      </c>
      <c r="K219" s="61">
        <f>H219/I219</f>
        <v>6.694789081885856</v>
      </c>
      <c r="L219" s="58">
        <f>138311.75+79345.25+13093+10041+3739+971+1340+254+1082+2698</f>
        <v>250875</v>
      </c>
      <c r="M219" s="59">
        <f>12918+7558+2061+1540+644+195+252+48+177+403</f>
        <v>25796</v>
      </c>
      <c r="N219" s="226">
        <f>L219/M219</f>
        <v>9.725345014730966</v>
      </c>
      <c r="O219" s="147">
        <v>1</v>
      </c>
    </row>
    <row r="220" spans="1:15" ht="15">
      <c r="A220" s="138">
        <v>217</v>
      </c>
      <c r="B220" s="231" t="s">
        <v>71</v>
      </c>
      <c r="C220" s="85">
        <v>40109</v>
      </c>
      <c r="D220" s="86" t="s">
        <v>152</v>
      </c>
      <c r="E220" s="256">
        <v>35</v>
      </c>
      <c r="F220" s="256">
        <v>2</v>
      </c>
      <c r="G220" s="256">
        <v>11</v>
      </c>
      <c r="H220" s="54">
        <v>1314</v>
      </c>
      <c r="I220" s="63">
        <v>212</v>
      </c>
      <c r="J220" s="64">
        <f>(I220/F220)</f>
        <v>106</v>
      </c>
      <c r="K220" s="57">
        <f>H220/I220</f>
        <v>6.19811320754717</v>
      </c>
      <c r="L220" s="58">
        <f>138311.75+79345.25+13093+10041+3739+971+1340+254+1082+2698+1314</f>
        <v>252189</v>
      </c>
      <c r="M220" s="65">
        <f>12918+7558+2061+1540+644+195+252+48+177+403+212</f>
        <v>26008</v>
      </c>
      <c r="N220" s="227">
        <f>L220/M220</f>
        <v>9.696593355890496</v>
      </c>
      <c r="O220" s="148">
        <v>1</v>
      </c>
    </row>
    <row r="221" spans="1:15" ht="15">
      <c r="A221" s="138">
        <v>218</v>
      </c>
      <c r="B221" s="229" t="s">
        <v>71</v>
      </c>
      <c r="C221" s="69">
        <v>40109</v>
      </c>
      <c r="D221" s="71" t="s">
        <v>152</v>
      </c>
      <c r="E221" s="255">
        <v>35</v>
      </c>
      <c r="F221" s="255">
        <v>1</v>
      </c>
      <c r="G221" s="255">
        <v>9</v>
      </c>
      <c r="H221" s="54">
        <v>1082</v>
      </c>
      <c r="I221" s="55">
        <v>177</v>
      </c>
      <c r="J221" s="56">
        <f>(I221/F221)</f>
        <v>177</v>
      </c>
      <c r="K221" s="57">
        <f>H221/I221</f>
        <v>6.112994350282486</v>
      </c>
      <c r="L221" s="58">
        <f>138311.75+79345.25+13093+10041+3739+971+1340+254+1082</f>
        <v>248177</v>
      </c>
      <c r="M221" s="59">
        <f>12918+7558+2061+1540+644+195+252+48+177</f>
        <v>25393</v>
      </c>
      <c r="N221" s="227">
        <f>L221/M221</f>
        <v>9.77344149962588</v>
      </c>
      <c r="O221" s="149">
        <v>1</v>
      </c>
    </row>
    <row r="222" spans="1:15" ht="15">
      <c r="A222" s="138">
        <v>219</v>
      </c>
      <c r="B222" s="229" t="s">
        <v>71</v>
      </c>
      <c r="C222" s="69">
        <v>40109</v>
      </c>
      <c r="D222" s="60" t="s">
        <v>152</v>
      </c>
      <c r="E222" s="255">
        <v>35</v>
      </c>
      <c r="F222" s="255">
        <v>1</v>
      </c>
      <c r="G222" s="255">
        <v>13</v>
      </c>
      <c r="H222" s="145">
        <v>952</v>
      </c>
      <c r="I222" s="146">
        <v>238</v>
      </c>
      <c r="J222" s="128">
        <f>(I222/F222)</f>
        <v>238</v>
      </c>
      <c r="K222" s="74">
        <f>(J222/G222)</f>
        <v>18.307692307692307</v>
      </c>
      <c r="L222" s="101">
        <f>138311.75+79345.25+13093+10041+3739+971+1340+254+1082+2698+1314+676+952</f>
        <v>253817</v>
      </c>
      <c r="M222" s="128">
        <f>12918+7558+2061+1540+644+195+252+48+177+403+212+110+238</f>
        <v>26356</v>
      </c>
      <c r="N222" s="230">
        <f>L222/M222</f>
        <v>9.630330854454394</v>
      </c>
      <c r="O222" s="147">
        <v>1</v>
      </c>
    </row>
    <row r="223" spans="1:15" ht="15">
      <c r="A223" s="138">
        <v>220</v>
      </c>
      <c r="B223" s="229" t="s">
        <v>71</v>
      </c>
      <c r="C223" s="69">
        <v>40109</v>
      </c>
      <c r="D223" s="71" t="s">
        <v>152</v>
      </c>
      <c r="E223" s="255">
        <v>35</v>
      </c>
      <c r="F223" s="255">
        <v>2</v>
      </c>
      <c r="G223" s="255">
        <v>12</v>
      </c>
      <c r="H223" s="67">
        <v>676</v>
      </c>
      <c r="I223" s="63">
        <v>110</v>
      </c>
      <c r="J223" s="64">
        <f>(I223/F223)</f>
        <v>55</v>
      </c>
      <c r="K223" s="57">
        <f>H223/I223</f>
        <v>6.1454545454545455</v>
      </c>
      <c r="L223" s="68">
        <f>138311.75+79345.25+13093+10041+3739+971+1340+254+1082+2698+1314+676</f>
        <v>252865</v>
      </c>
      <c r="M223" s="65">
        <f>12918+7558+2061+1540+644+195+252+48+177+403+212+110</f>
        <v>26118</v>
      </c>
      <c r="N223" s="227">
        <f>L223/M223</f>
        <v>9.681637185083085</v>
      </c>
      <c r="O223" s="147">
        <v>1</v>
      </c>
    </row>
    <row r="224" spans="1:15" ht="15">
      <c r="A224" s="138">
        <v>221</v>
      </c>
      <c r="B224" s="225" t="s">
        <v>40</v>
      </c>
      <c r="C224" s="52">
        <v>40088</v>
      </c>
      <c r="D224" s="60" t="s">
        <v>154</v>
      </c>
      <c r="E224" s="254">
        <v>55</v>
      </c>
      <c r="F224" s="254">
        <v>1</v>
      </c>
      <c r="G224" s="254">
        <v>11</v>
      </c>
      <c r="H224" s="77">
        <v>653</v>
      </c>
      <c r="I224" s="78">
        <v>131</v>
      </c>
      <c r="J224" s="79">
        <f>IF(H224&lt;&gt;0,I224/F224,"")</f>
        <v>131</v>
      </c>
      <c r="K224" s="80">
        <f>IF(H224&lt;&gt;0,H224/I224,"")</f>
        <v>4.984732824427481</v>
      </c>
      <c r="L224" s="81">
        <v>148114</v>
      </c>
      <c r="M224" s="128">
        <v>18332</v>
      </c>
      <c r="N224" s="233">
        <f>IF(L224&lt;&gt;0,L224/M224,"")</f>
        <v>8.079533056949597</v>
      </c>
      <c r="O224" s="149">
        <v>1</v>
      </c>
    </row>
    <row r="225" spans="1:15" ht="15">
      <c r="A225" s="138">
        <v>222</v>
      </c>
      <c r="B225" s="229" t="s">
        <v>122</v>
      </c>
      <c r="C225" s="69">
        <v>40088</v>
      </c>
      <c r="D225" s="60" t="s">
        <v>154</v>
      </c>
      <c r="E225" s="255">
        <v>55</v>
      </c>
      <c r="F225" s="255">
        <v>1</v>
      </c>
      <c r="G225" s="255">
        <v>13</v>
      </c>
      <c r="H225" s="167">
        <v>518</v>
      </c>
      <c r="I225" s="168">
        <v>90</v>
      </c>
      <c r="J225" s="174">
        <f>I225/F225</f>
        <v>90</v>
      </c>
      <c r="K225" s="76">
        <f>H225/I225</f>
        <v>5.7555555555555555</v>
      </c>
      <c r="L225" s="75">
        <v>148902</v>
      </c>
      <c r="M225" s="174">
        <v>18460</v>
      </c>
      <c r="N225" s="230">
        <f>+L225/M225</f>
        <v>8.066197183098591</v>
      </c>
      <c r="O225" s="148">
        <v>1</v>
      </c>
    </row>
    <row r="226" spans="1:15" ht="15">
      <c r="A226" s="138">
        <v>223</v>
      </c>
      <c r="B226" s="229" t="s">
        <v>40</v>
      </c>
      <c r="C226" s="69">
        <v>40088</v>
      </c>
      <c r="D226" s="71" t="s">
        <v>154</v>
      </c>
      <c r="E226" s="255">
        <v>55</v>
      </c>
      <c r="F226" s="255">
        <v>1</v>
      </c>
      <c r="G226" s="255">
        <v>12</v>
      </c>
      <c r="H226" s="67">
        <v>270</v>
      </c>
      <c r="I226" s="63">
        <v>38</v>
      </c>
      <c r="J226" s="64">
        <f>IF(H226&lt;&gt;0,I226/F226,"")</f>
        <v>38</v>
      </c>
      <c r="K226" s="57">
        <f>IF(H226&lt;&gt;0,H226/I226,"")</f>
        <v>7.105263157894737</v>
      </c>
      <c r="L226" s="68">
        <v>148384</v>
      </c>
      <c r="M226" s="65">
        <v>18370</v>
      </c>
      <c r="N226" s="227">
        <f>IF(L226&lt;&gt;0,L226/M226,"")</f>
        <v>8.07751769188895</v>
      </c>
      <c r="O226" s="149">
        <v>1</v>
      </c>
    </row>
    <row r="227" spans="1:15" ht="15">
      <c r="A227" s="138">
        <v>224</v>
      </c>
      <c r="B227" s="225" t="s">
        <v>122</v>
      </c>
      <c r="C227" s="52">
        <v>40088</v>
      </c>
      <c r="D227" s="60" t="s">
        <v>123</v>
      </c>
      <c r="E227" s="254">
        <v>55</v>
      </c>
      <c r="F227" s="254">
        <v>1</v>
      </c>
      <c r="G227" s="254">
        <v>10</v>
      </c>
      <c r="H227" s="77">
        <v>210</v>
      </c>
      <c r="I227" s="82">
        <v>42</v>
      </c>
      <c r="J227" s="83">
        <f>IF(H227&lt;&gt;0,I227/F227,"")</f>
        <v>42</v>
      </c>
      <c r="K227" s="84">
        <f>IF(H227&lt;&gt;0,H227/I227,"")</f>
        <v>5</v>
      </c>
      <c r="L227" s="81">
        <v>147461</v>
      </c>
      <c r="M227" s="174">
        <v>18201</v>
      </c>
      <c r="N227" s="234">
        <f>IF(L227&lt;&gt;0,L227/M227,"")</f>
        <v>8.101807592989395</v>
      </c>
      <c r="O227" s="182"/>
    </row>
    <row r="228" spans="1:15" ht="15">
      <c r="A228" s="138">
        <v>225</v>
      </c>
      <c r="B228" s="231" t="s">
        <v>30</v>
      </c>
      <c r="C228" s="85">
        <v>40109</v>
      </c>
      <c r="D228" s="86" t="s">
        <v>152</v>
      </c>
      <c r="E228" s="256">
        <v>179</v>
      </c>
      <c r="F228" s="256">
        <v>1</v>
      </c>
      <c r="G228" s="256">
        <v>12</v>
      </c>
      <c r="H228" s="54">
        <v>1563</v>
      </c>
      <c r="I228" s="63">
        <v>274</v>
      </c>
      <c r="J228" s="64">
        <f>(I228/F228)</f>
        <v>274</v>
      </c>
      <c r="K228" s="57">
        <f>H228/I228</f>
        <v>5.704379562043796</v>
      </c>
      <c r="L228" s="58">
        <f>1128559+561773+266735+93447+7005+1818+273+24520+599+3199+564+1563</f>
        <v>2090055</v>
      </c>
      <c r="M228" s="65">
        <f>129422+68620+41591+19064+1291+300+35+6130+81+717+91+274</f>
        <v>267616</v>
      </c>
      <c r="N228" s="227">
        <f>L228/M228</f>
        <v>7.809902995336602</v>
      </c>
      <c r="O228" s="149">
        <v>1</v>
      </c>
    </row>
    <row r="229" spans="1:15" ht="15">
      <c r="A229" s="138">
        <v>226</v>
      </c>
      <c r="B229" s="229" t="s">
        <v>30</v>
      </c>
      <c r="C229" s="69">
        <v>40109</v>
      </c>
      <c r="D229" s="71" t="s">
        <v>152</v>
      </c>
      <c r="E229" s="255">
        <v>179</v>
      </c>
      <c r="F229" s="255">
        <v>2</v>
      </c>
      <c r="G229" s="255">
        <v>11</v>
      </c>
      <c r="H229" s="54">
        <v>564</v>
      </c>
      <c r="I229" s="55">
        <v>91</v>
      </c>
      <c r="J229" s="56">
        <f>(I229/F229)</f>
        <v>45.5</v>
      </c>
      <c r="K229" s="57">
        <f>H229/I229</f>
        <v>6.197802197802198</v>
      </c>
      <c r="L229" s="58">
        <f>1128559+561773+266735+93447+7005+1818+273+24520+599+3199+564</f>
        <v>2088492</v>
      </c>
      <c r="M229" s="59">
        <f>129422+68620+41591+19064+1291+300+35+6130+81+717+91</f>
        <v>267342</v>
      </c>
      <c r="N229" s="227">
        <f>L229/M229</f>
        <v>7.8120609556298675</v>
      </c>
      <c r="O229" s="180">
        <v>1</v>
      </c>
    </row>
    <row r="230" spans="1:15" ht="15">
      <c r="A230" s="138">
        <v>227</v>
      </c>
      <c r="B230" s="229" t="s">
        <v>117</v>
      </c>
      <c r="C230" s="69">
        <v>39934</v>
      </c>
      <c r="D230" s="70" t="s">
        <v>73</v>
      </c>
      <c r="E230" s="255">
        <v>125</v>
      </c>
      <c r="F230" s="255">
        <v>1</v>
      </c>
      <c r="G230" s="255">
        <v>11</v>
      </c>
      <c r="H230" s="72">
        <v>1085</v>
      </c>
      <c r="I230" s="73">
        <v>217</v>
      </c>
      <c r="J230" s="174">
        <f>I230/F230</f>
        <v>217</v>
      </c>
      <c r="K230" s="76">
        <f>+H230/I230</f>
        <v>5</v>
      </c>
      <c r="L230" s="75">
        <f>114460.75+42138+22420+8194+3259+329+823+25444.5+546+3853+1085</f>
        <v>222552.25</v>
      </c>
      <c r="M230" s="174">
        <f>15343+6534+4108+1491+680+62+130+4241+100+770+217</f>
        <v>33676</v>
      </c>
      <c r="N230" s="230">
        <f>+L230/M230</f>
        <v>6.608630775626559</v>
      </c>
      <c r="O230" s="181">
        <v>1</v>
      </c>
    </row>
    <row r="231" spans="1:15" ht="15">
      <c r="A231" s="138">
        <v>228</v>
      </c>
      <c r="B231" s="229" t="s">
        <v>38</v>
      </c>
      <c r="C231" s="69">
        <v>39934</v>
      </c>
      <c r="D231" s="70" t="s">
        <v>73</v>
      </c>
      <c r="E231" s="255">
        <v>125</v>
      </c>
      <c r="F231" s="255">
        <v>1</v>
      </c>
      <c r="G231" s="255">
        <v>12</v>
      </c>
      <c r="H231" s="72">
        <v>700</v>
      </c>
      <c r="I231" s="100">
        <v>140</v>
      </c>
      <c r="J231" s="79">
        <f>+I231/F231</f>
        <v>140</v>
      </c>
      <c r="K231" s="80">
        <f>+H231/I231</f>
        <v>5</v>
      </c>
      <c r="L231" s="75">
        <f>114460.75+42138+22420+8194+3259+329+823+25444.5+546+3853+1085+700</f>
        <v>223252.25</v>
      </c>
      <c r="M231" s="128">
        <f>15343+6534+4108+1491+680+62+130+4241+100+770+217+140</f>
        <v>33816</v>
      </c>
      <c r="N231" s="228">
        <f>+L231/M231</f>
        <v>6.601970960492075</v>
      </c>
      <c r="O231" s="150">
        <v>1</v>
      </c>
    </row>
    <row r="232" spans="1:15" ht="15">
      <c r="A232" s="138">
        <v>229</v>
      </c>
      <c r="B232" s="225" t="s">
        <v>111</v>
      </c>
      <c r="C232" s="52">
        <v>40123</v>
      </c>
      <c r="D232" s="66" t="s">
        <v>154</v>
      </c>
      <c r="E232" s="254">
        <v>40</v>
      </c>
      <c r="F232" s="254">
        <v>3</v>
      </c>
      <c r="G232" s="254">
        <v>8</v>
      </c>
      <c r="H232" s="77">
        <v>2876</v>
      </c>
      <c r="I232" s="82">
        <v>477</v>
      </c>
      <c r="J232" s="83">
        <f>IF(H232&lt;&gt;0,I232/F232,"")</f>
        <v>159</v>
      </c>
      <c r="K232" s="80">
        <f>IF(H232&lt;&gt;0,H232/I232,"")</f>
        <v>6.029350104821803</v>
      </c>
      <c r="L232" s="81">
        <v>260364.25</v>
      </c>
      <c r="M232" s="174">
        <v>26330</v>
      </c>
      <c r="N232" s="233">
        <f>IF(L232&lt;&gt;0,L232/M232,"")</f>
        <v>9.888501709077099</v>
      </c>
      <c r="O232" s="147">
        <v>1</v>
      </c>
    </row>
    <row r="233" spans="1:15" ht="15">
      <c r="A233" s="138">
        <v>230</v>
      </c>
      <c r="B233" s="229" t="s">
        <v>29</v>
      </c>
      <c r="C233" s="69">
        <v>40123</v>
      </c>
      <c r="D233" s="60" t="s">
        <v>154</v>
      </c>
      <c r="E233" s="255">
        <v>40</v>
      </c>
      <c r="F233" s="255">
        <v>2</v>
      </c>
      <c r="G233" s="255">
        <v>14</v>
      </c>
      <c r="H233" s="167">
        <v>2069</v>
      </c>
      <c r="I233" s="168">
        <v>334</v>
      </c>
      <c r="J233" s="174">
        <f>IF(H233&lt;&gt;0,I233/F233,"")</f>
        <v>167</v>
      </c>
      <c r="K233" s="76">
        <f>IF(H233&lt;&gt;0,H233/I233,"")</f>
        <v>6.1946107784431135</v>
      </c>
      <c r="L233" s="75">
        <v>268817.25</v>
      </c>
      <c r="M233" s="174">
        <v>27789</v>
      </c>
      <c r="N233" s="230">
        <f>IF(L233&lt;&gt;0,L233/M233,"")</f>
        <v>9.673512900788081</v>
      </c>
      <c r="O233" s="149">
        <v>1</v>
      </c>
    </row>
    <row r="234" spans="1:15" ht="15">
      <c r="A234" s="138">
        <v>231</v>
      </c>
      <c r="B234" s="225" t="s">
        <v>29</v>
      </c>
      <c r="C234" s="52">
        <v>40123</v>
      </c>
      <c r="D234" s="60" t="s">
        <v>154</v>
      </c>
      <c r="E234" s="254">
        <v>40</v>
      </c>
      <c r="F234" s="254">
        <v>5</v>
      </c>
      <c r="G234" s="254">
        <v>10</v>
      </c>
      <c r="H234" s="77">
        <v>1905</v>
      </c>
      <c r="I234" s="78">
        <v>315</v>
      </c>
      <c r="J234" s="79">
        <f>IF(H234&lt;&gt;0,I234/F234,"")</f>
        <v>63</v>
      </c>
      <c r="K234" s="80">
        <f>IF(H234&lt;&gt;0,H234/I234,"")</f>
        <v>6.0476190476190474</v>
      </c>
      <c r="L234" s="81">
        <v>263941.25</v>
      </c>
      <c r="M234" s="128">
        <v>26959</v>
      </c>
      <c r="N234" s="233">
        <f>IF(L234&lt;&gt;0,L234/M234,"")</f>
        <v>9.790468860120924</v>
      </c>
      <c r="O234" s="148">
        <v>1</v>
      </c>
    </row>
    <row r="235" spans="1:15" ht="15">
      <c r="A235" s="138">
        <v>232</v>
      </c>
      <c r="B235" s="225" t="s">
        <v>111</v>
      </c>
      <c r="C235" s="52">
        <v>40123</v>
      </c>
      <c r="D235" s="60" t="s">
        <v>154</v>
      </c>
      <c r="E235" s="254">
        <v>40</v>
      </c>
      <c r="F235" s="254">
        <v>4</v>
      </c>
      <c r="G235" s="254">
        <v>9</v>
      </c>
      <c r="H235" s="77">
        <v>1672</v>
      </c>
      <c r="I235" s="82">
        <v>314</v>
      </c>
      <c r="J235" s="83">
        <f>IF(H235&lt;&gt;0,I235/F235,"")</f>
        <v>78.5</v>
      </c>
      <c r="K235" s="84">
        <f>IF(H235&lt;&gt;0,H235/I235,"")</f>
        <v>5.32484076433121</v>
      </c>
      <c r="L235" s="81">
        <v>262036.25</v>
      </c>
      <c r="M235" s="174">
        <v>26644</v>
      </c>
      <c r="N235" s="234">
        <f>IF(L235&lt;&gt;0,L235/M235,"")</f>
        <v>9.834718886053146</v>
      </c>
      <c r="O235" s="149">
        <v>1</v>
      </c>
    </row>
    <row r="236" spans="1:15" ht="15">
      <c r="A236" s="138">
        <v>233</v>
      </c>
      <c r="B236" s="229" t="s">
        <v>29</v>
      </c>
      <c r="C236" s="69">
        <v>40123</v>
      </c>
      <c r="D236" s="60" t="s">
        <v>154</v>
      </c>
      <c r="E236" s="255">
        <v>40</v>
      </c>
      <c r="F236" s="255">
        <v>2</v>
      </c>
      <c r="G236" s="255">
        <v>13</v>
      </c>
      <c r="H236" s="145">
        <v>1270.5</v>
      </c>
      <c r="I236" s="146">
        <v>209</v>
      </c>
      <c r="J236" s="128">
        <f>I236/F236</f>
        <v>104.5</v>
      </c>
      <c r="K236" s="74">
        <f>+H236/I236</f>
        <v>6.078947368421052</v>
      </c>
      <c r="L236" s="101">
        <v>266748.25</v>
      </c>
      <c r="M236" s="128">
        <v>27455</v>
      </c>
      <c r="N236" s="230">
        <f>L236/M236</f>
        <v>9.715835002731742</v>
      </c>
      <c r="O236" s="148">
        <v>1</v>
      </c>
    </row>
    <row r="237" spans="1:15" ht="15">
      <c r="A237" s="138">
        <v>234</v>
      </c>
      <c r="B237" s="229" t="s">
        <v>29</v>
      </c>
      <c r="C237" s="69">
        <v>40123</v>
      </c>
      <c r="D237" s="60" t="s">
        <v>154</v>
      </c>
      <c r="E237" s="255">
        <v>40</v>
      </c>
      <c r="F237" s="255">
        <v>1</v>
      </c>
      <c r="G237" s="255">
        <v>15</v>
      </c>
      <c r="H237" s="167">
        <v>1075</v>
      </c>
      <c r="I237" s="168">
        <v>120</v>
      </c>
      <c r="J237" s="174">
        <f>I237/F237</f>
        <v>120</v>
      </c>
      <c r="K237" s="76">
        <f>H237/I237</f>
        <v>8.958333333333334</v>
      </c>
      <c r="L237" s="75">
        <v>269892.25</v>
      </c>
      <c r="M237" s="174">
        <v>27909</v>
      </c>
      <c r="N237" s="230">
        <f>+L237/M237</f>
        <v>9.670437851589092</v>
      </c>
      <c r="O237" s="149">
        <v>1</v>
      </c>
    </row>
    <row r="238" spans="1:15" ht="15">
      <c r="A238" s="138">
        <v>235</v>
      </c>
      <c r="B238" s="229" t="s">
        <v>111</v>
      </c>
      <c r="C238" s="69">
        <v>40123</v>
      </c>
      <c r="D238" s="71" t="s">
        <v>154</v>
      </c>
      <c r="E238" s="255">
        <v>40</v>
      </c>
      <c r="F238" s="255">
        <v>4</v>
      </c>
      <c r="G238" s="255">
        <v>11</v>
      </c>
      <c r="H238" s="67">
        <v>1018</v>
      </c>
      <c r="I238" s="63">
        <v>176</v>
      </c>
      <c r="J238" s="64">
        <f>IF(H238&lt;&gt;0,I238/F238,"")</f>
        <v>44</v>
      </c>
      <c r="K238" s="57">
        <f>IF(H238&lt;&gt;0,H238/I238,"")</f>
        <v>5.784090909090909</v>
      </c>
      <c r="L238" s="68">
        <v>264959.25</v>
      </c>
      <c r="M238" s="65">
        <v>27135</v>
      </c>
      <c r="N238" s="227">
        <f>IF(L238&lt;&gt;0,L238/M238,"")</f>
        <v>9.764483139856274</v>
      </c>
      <c r="O238" s="150">
        <v>1</v>
      </c>
    </row>
    <row r="239" spans="1:15" ht="15">
      <c r="A239" s="138">
        <v>236</v>
      </c>
      <c r="B239" s="229" t="s">
        <v>29</v>
      </c>
      <c r="C239" s="169">
        <v>40123</v>
      </c>
      <c r="D239" s="170" t="s">
        <v>154</v>
      </c>
      <c r="E239" s="210">
        <v>40</v>
      </c>
      <c r="F239" s="210">
        <v>1</v>
      </c>
      <c r="G239" s="210">
        <v>17</v>
      </c>
      <c r="H239" s="171">
        <v>680</v>
      </c>
      <c r="I239" s="172">
        <v>170</v>
      </c>
      <c r="J239" s="174">
        <f>IF(H239&lt;&gt;0,I239/F239,"")</f>
        <v>170</v>
      </c>
      <c r="K239" s="76">
        <f>H239/I239</f>
        <v>4</v>
      </c>
      <c r="L239" s="75">
        <v>271092.25</v>
      </c>
      <c r="M239" s="174">
        <v>28298</v>
      </c>
      <c r="N239" s="230">
        <f>+L239/M239</f>
        <v>9.57990847409711</v>
      </c>
      <c r="O239" s="185"/>
    </row>
    <row r="240" spans="1:15" ht="15">
      <c r="A240" s="138">
        <v>237</v>
      </c>
      <c r="B240" s="229" t="s">
        <v>29</v>
      </c>
      <c r="C240" s="169">
        <v>40123</v>
      </c>
      <c r="D240" s="60" t="s">
        <v>154</v>
      </c>
      <c r="E240" s="210">
        <v>40</v>
      </c>
      <c r="F240" s="210">
        <v>1</v>
      </c>
      <c r="G240" s="210">
        <v>16</v>
      </c>
      <c r="H240" s="171">
        <v>520</v>
      </c>
      <c r="I240" s="172">
        <v>219</v>
      </c>
      <c r="J240" s="174">
        <f>I240/F240</f>
        <v>219</v>
      </c>
      <c r="K240" s="76">
        <f>H240/I240</f>
        <v>2.374429223744292</v>
      </c>
      <c r="L240" s="75">
        <v>270412.25</v>
      </c>
      <c r="M240" s="174">
        <v>28128</v>
      </c>
      <c r="N240" s="230">
        <f>+L240/M240</f>
        <v>9.613632323663253</v>
      </c>
      <c r="O240" s="147">
        <v>1</v>
      </c>
    </row>
    <row r="241" spans="1:15" ht="15">
      <c r="A241" s="138">
        <v>238</v>
      </c>
      <c r="B241" s="229" t="s">
        <v>111</v>
      </c>
      <c r="C241" s="69">
        <v>40123</v>
      </c>
      <c r="D241" s="60" t="s">
        <v>154</v>
      </c>
      <c r="E241" s="255">
        <v>40</v>
      </c>
      <c r="F241" s="255">
        <v>3</v>
      </c>
      <c r="G241" s="255">
        <v>12</v>
      </c>
      <c r="H241" s="99">
        <v>518.5</v>
      </c>
      <c r="I241" s="100">
        <v>111</v>
      </c>
      <c r="J241" s="128">
        <f>I241/F241</f>
        <v>37</v>
      </c>
      <c r="K241" s="74">
        <f>H241/I241</f>
        <v>4.671171171171171</v>
      </c>
      <c r="L241" s="101">
        <v>265477.75</v>
      </c>
      <c r="M241" s="128">
        <v>27246</v>
      </c>
      <c r="N241" s="228">
        <f>L241/M241</f>
        <v>9.743733025031197</v>
      </c>
      <c r="O241" s="149">
        <v>1</v>
      </c>
    </row>
    <row r="242" spans="1:15" ht="15">
      <c r="A242" s="138">
        <v>239</v>
      </c>
      <c r="B242" s="229" t="s">
        <v>13</v>
      </c>
      <c r="C242" s="69">
        <v>40116</v>
      </c>
      <c r="D242" s="71" t="s">
        <v>73</v>
      </c>
      <c r="E242" s="255">
        <v>252</v>
      </c>
      <c r="F242" s="255">
        <v>3</v>
      </c>
      <c r="G242" s="255">
        <v>10</v>
      </c>
      <c r="H242" s="72">
        <v>3546</v>
      </c>
      <c r="I242" s="73">
        <v>675</v>
      </c>
      <c r="J242" s="83">
        <f>IF(H242&lt;&gt;0,I242/F242,"")</f>
        <v>225</v>
      </c>
      <c r="K242" s="80">
        <f>IF(H242&lt;&gt;0,H242/I242,"")</f>
        <v>5.253333333333333</v>
      </c>
      <c r="L242" s="75">
        <f>1669127.75+948082.25+584112.75-1430.5+253635+167357+9936+0.5+7987+1963+4065+3546</f>
        <v>3648381.75</v>
      </c>
      <c r="M242" s="174">
        <f>200044+117374+72700-112+36636+25117+1706+1163+472+1036+675</f>
        <v>456811</v>
      </c>
      <c r="N242" s="233">
        <f>IF(L242&lt;&gt;0,L242/M242,"")</f>
        <v>7.986632874427279</v>
      </c>
      <c r="O242" s="148">
        <v>1</v>
      </c>
    </row>
    <row r="243" spans="1:15" ht="15">
      <c r="A243" s="138">
        <v>240</v>
      </c>
      <c r="B243" s="229" t="s">
        <v>31</v>
      </c>
      <c r="C243" s="69">
        <v>40116</v>
      </c>
      <c r="D243" s="70" t="s">
        <v>73</v>
      </c>
      <c r="E243" s="255">
        <v>252</v>
      </c>
      <c r="F243" s="255">
        <v>3</v>
      </c>
      <c r="G243" s="255">
        <v>12</v>
      </c>
      <c r="H243" s="72">
        <v>1470</v>
      </c>
      <c r="I243" s="100">
        <v>234</v>
      </c>
      <c r="J243" s="79">
        <f>+I243/F243</f>
        <v>78</v>
      </c>
      <c r="K243" s="80">
        <f>+H243/I243</f>
        <v>6.282051282051282</v>
      </c>
      <c r="L243" s="75">
        <f>1669127.75+948082.25+584112.75-1430.5+253635+167357+9936+0.5+7987+1963+4065+3546+1275+1470</f>
        <v>3651126.75</v>
      </c>
      <c r="M243" s="128">
        <f>200044+117374+72700-112+36636+25117+1706+1163+472+1036+675+224+234</f>
        <v>457269</v>
      </c>
      <c r="N243" s="228">
        <f>+L243/M243</f>
        <v>7.984636504989404</v>
      </c>
      <c r="O243" s="149"/>
    </row>
    <row r="244" spans="1:15" ht="15">
      <c r="A244" s="138">
        <v>241</v>
      </c>
      <c r="B244" s="229" t="s">
        <v>31</v>
      </c>
      <c r="C244" s="69">
        <v>40116</v>
      </c>
      <c r="D244" s="70" t="s">
        <v>73</v>
      </c>
      <c r="E244" s="255">
        <v>252</v>
      </c>
      <c r="F244" s="255">
        <v>2</v>
      </c>
      <c r="G244" s="255">
        <v>11</v>
      </c>
      <c r="H244" s="72">
        <v>1275</v>
      </c>
      <c r="I244" s="73">
        <v>224</v>
      </c>
      <c r="J244" s="174">
        <f>I244/F244</f>
        <v>112</v>
      </c>
      <c r="K244" s="76">
        <f>+H244/I244</f>
        <v>5.691964285714286</v>
      </c>
      <c r="L244" s="75">
        <f>1669127.75+948082.25+584112.75-1430.5+253635+167357+9936+0.5+7987+1963+4065+3546+1275</f>
        <v>3649656.75</v>
      </c>
      <c r="M244" s="174">
        <f>200044+117374+72700-112+36636+25117+1706+1163+472+1036+675+224</f>
        <v>457035</v>
      </c>
      <c r="N244" s="230">
        <f>+L244/M244</f>
        <v>7.985508221471004</v>
      </c>
      <c r="O244" s="148"/>
    </row>
    <row r="245" spans="1:15" ht="15">
      <c r="A245" s="138">
        <v>242</v>
      </c>
      <c r="B245" s="229" t="s">
        <v>39</v>
      </c>
      <c r="C245" s="69">
        <v>40116</v>
      </c>
      <c r="D245" s="71" t="s">
        <v>154</v>
      </c>
      <c r="E245" s="255">
        <v>88</v>
      </c>
      <c r="F245" s="255">
        <v>2</v>
      </c>
      <c r="G245" s="255">
        <v>12</v>
      </c>
      <c r="H245" s="67">
        <v>1492</v>
      </c>
      <c r="I245" s="63">
        <v>303</v>
      </c>
      <c r="J245" s="64">
        <f>IF(H245&lt;&gt;0,I245/F245,"")</f>
        <v>151.5</v>
      </c>
      <c r="K245" s="57">
        <f>IF(H245&lt;&gt;0,H245/I245,"")</f>
        <v>4.924092409240924</v>
      </c>
      <c r="L245" s="68">
        <v>279977</v>
      </c>
      <c r="M245" s="65">
        <v>37673</v>
      </c>
      <c r="N245" s="227">
        <f>IF(L245&lt;&gt;0,L245/M245,"")</f>
        <v>7.43176810978685</v>
      </c>
      <c r="O245" s="150"/>
    </row>
    <row r="246" spans="1:15" ht="15">
      <c r="A246" s="138">
        <v>243</v>
      </c>
      <c r="B246" s="225" t="s">
        <v>120</v>
      </c>
      <c r="C246" s="52">
        <v>40116</v>
      </c>
      <c r="D246" s="60" t="s">
        <v>154</v>
      </c>
      <c r="E246" s="254">
        <v>88</v>
      </c>
      <c r="F246" s="254">
        <v>3</v>
      </c>
      <c r="G246" s="254">
        <v>10</v>
      </c>
      <c r="H246" s="77">
        <v>720</v>
      </c>
      <c r="I246" s="82">
        <v>126</v>
      </c>
      <c r="J246" s="83">
        <f>IF(H246&lt;&gt;0,I246/F246,"")</f>
        <v>42</v>
      </c>
      <c r="K246" s="84">
        <f>IF(H246&lt;&gt;0,H246/I246,"")</f>
        <v>5.714285714285714</v>
      </c>
      <c r="L246" s="81">
        <v>277792</v>
      </c>
      <c r="M246" s="174">
        <v>37243</v>
      </c>
      <c r="N246" s="234">
        <f>IF(L246&lt;&gt;0,L246/M246,"")</f>
        <v>7.458905029132992</v>
      </c>
      <c r="O246" s="149"/>
    </row>
    <row r="247" spans="1:15" ht="15">
      <c r="A247" s="138">
        <v>244</v>
      </c>
      <c r="B247" s="225" t="s">
        <v>39</v>
      </c>
      <c r="C247" s="52">
        <v>40116</v>
      </c>
      <c r="D247" s="60" t="s">
        <v>154</v>
      </c>
      <c r="E247" s="254">
        <v>88</v>
      </c>
      <c r="F247" s="254">
        <v>1</v>
      </c>
      <c r="G247" s="254">
        <v>11</v>
      </c>
      <c r="H247" s="77">
        <v>693</v>
      </c>
      <c r="I247" s="78">
        <v>127</v>
      </c>
      <c r="J247" s="79">
        <f>IF(H247&lt;&gt;0,I247/F247,"")</f>
        <v>127</v>
      </c>
      <c r="K247" s="80">
        <f>IF(H247&lt;&gt;0,H247/I247,"")</f>
        <v>5.456692913385827</v>
      </c>
      <c r="L247" s="81">
        <v>278485</v>
      </c>
      <c r="M247" s="128">
        <v>37370</v>
      </c>
      <c r="N247" s="233">
        <f>IF(L247&lt;&gt;0,L247/M247,"")</f>
        <v>7.452100615466952</v>
      </c>
      <c r="O247" s="149"/>
    </row>
    <row r="248" spans="1:15" ht="15">
      <c r="A248" s="138">
        <v>245</v>
      </c>
      <c r="B248" s="229" t="s">
        <v>39</v>
      </c>
      <c r="C248" s="69">
        <v>40116</v>
      </c>
      <c r="D248" s="60" t="s">
        <v>154</v>
      </c>
      <c r="E248" s="255">
        <v>88</v>
      </c>
      <c r="F248" s="255">
        <v>1</v>
      </c>
      <c r="G248" s="255">
        <v>13</v>
      </c>
      <c r="H248" s="99">
        <v>370</v>
      </c>
      <c r="I248" s="100">
        <v>56</v>
      </c>
      <c r="J248" s="128">
        <f>I248/F248</f>
        <v>56</v>
      </c>
      <c r="K248" s="74">
        <f>H248/I248</f>
        <v>6.607142857142857</v>
      </c>
      <c r="L248" s="101">
        <v>280347</v>
      </c>
      <c r="M248" s="128">
        <v>37729</v>
      </c>
      <c r="N248" s="228">
        <f>L248/M248</f>
        <v>7.430544143762093</v>
      </c>
      <c r="O248" s="180"/>
    </row>
    <row r="249" spans="1:15" ht="15">
      <c r="A249" s="138">
        <v>246</v>
      </c>
      <c r="B249" s="229" t="s">
        <v>175</v>
      </c>
      <c r="C249" s="69">
        <v>39633</v>
      </c>
      <c r="D249" s="60" t="s">
        <v>151</v>
      </c>
      <c r="E249" s="255">
        <v>123</v>
      </c>
      <c r="F249" s="255">
        <v>1</v>
      </c>
      <c r="G249" s="255">
        <v>86</v>
      </c>
      <c r="H249" s="167">
        <v>609</v>
      </c>
      <c r="I249" s="168">
        <v>280</v>
      </c>
      <c r="J249" s="174">
        <f>I249/F249</f>
        <v>280</v>
      </c>
      <c r="K249" s="76">
        <f>H249/I249</f>
        <v>2.175</v>
      </c>
      <c r="L249" s="75">
        <v>1546352</v>
      </c>
      <c r="M249" s="174">
        <v>214872</v>
      </c>
      <c r="N249" s="230">
        <f>+L249/M249</f>
        <v>7.19661938270226</v>
      </c>
      <c r="O249" s="147"/>
    </row>
    <row r="250" spans="1:15" ht="15">
      <c r="A250" s="138">
        <v>247</v>
      </c>
      <c r="B250" s="229" t="s">
        <v>17</v>
      </c>
      <c r="C250" s="69">
        <v>40137</v>
      </c>
      <c r="D250" s="71" t="s">
        <v>73</v>
      </c>
      <c r="E250" s="255">
        <v>311</v>
      </c>
      <c r="F250" s="255">
        <v>3</v>
      </c>
      <c r="G250" s="255">
        <v>7</v>
      </c>
      <c r="H250" s="72">
        <v>39718</v>
      </c>
      <c r="I250" s="73">
        <v>6551</v>
      </c>
      <c r="J250" s="83">
        <f>IF(H250&lt;&gt;0,I250/F250,"")</f>
        <v>2183.6666666666665</v>
      </c>
      <c r="K250" s="80">
        <f>IF(H250&lt;&gt;0,H250/I250,"")</f>
        <v>6.06289116165471</v>
      </c>
      <c r="L250" s="75">
        <f>3304754.25+2499078+631694+23+231806.5+262+75092+83827.5+39718+180</f>
        <v>6866435.25</v>
      </c>
      <c r="M250" s="174">
        <f>413699+312050+80320+31253+42+12537-15+13061+6551+45</f>
        <v>869543</v>
      </c>
      <c r="N250" s="233">
        <f>IF(L250&lt;&gt;0,L250/M250,"")</f>
        <v>7.896602295688655</v>
      </c>
      <c r="O250" s="147"/>
    </row>
    <row r="251" spans="1:15" ht="15">
      <c r="A251" s="138">
        <v>248</v>
      </c>
      <c r="B251" s="229" t="s">
        <v>17</v>
      </c>
      <c r="C251" s="69">
        <v>40137</v>
      </c>
      <c r="D251" s="70" t="s">
        <v>73</v>
      </c>
      <c r="E251" s="255">
        <v>311</v>
      </c>
      <c r="F251" s="255">
        <v>2</v>
      </c>
      <c r="G251" s="255">
        <v>9</v>
      </c>
      <c r="H251" s="72">
        <v>8500.5</v>
      </c>
      <c r="I251" s="100">
        <v>1409</v>
      </c>
      <c r="J251" s="79">
        <f>+I251/F251</f>
        <v>704.5</v>
      </c>
      <c r="K251" s="80">
        <f>+H251/I251</f>
        <v>6.033002129169624</v>
      </c>
      <c r="L251" s="75">
        <f>3304754.25+2499078+631694+23+231806.5+262+75092+83827.5+39718+180+150+8500+0.5</f>
        <v>6875085.75</v>
      </c>
      <c r="M251" s="128">
        <f>413699+312050+80320+31253+42+12537-15+13061+6551+45+15+1409</f>
        <v>870967</v>
      </c>
      <c r="N251" s="228">
        <f>+L251/M251</f>
        <v>7.893623696420186</v>
      </c>
      <c r="O251" s="147"/>
    </row>
    <row r="252" spans="1:15" ht="15">
      <c r="A252" s="138">
        <v>249</v>
      </c>
      <c r="B252" s="229" t="s">
        <v>17</v>
      </c>
      <c r="C252" s="69">
        <v>40137</v>
      </c>
      <c r="D252" s="70" t="s">
        <v>73</v>
      </c>
      <c r="E252" s="255">
        <v>311</v>
      </c>
      <c r="F252" s="255">
        <v>1</v>
      </c>
      <c r="G252" s="255">
        <v>8</v>
      </c>
      <c r="H252" s="72">
        <v>150</v>
      </c>
      <c r="I252" s="73">
        <v>15</v>
      </c>
      <c r="J252" s="174">
        <f>I252/F252</f>
        <v>15</v>
      </c>
      <c r="K252" s="76">
        <f>+H252/I252</f>
        <v>10</v>
      </c>
      <c r="L252" s="75">
        <f>3304754.25+2499078+631694+23+231806.5+262+75092+83827.5+39718+180+150</f>
        <v>6866585.25</v>
      </c>
      <c r="M252" s="174">
        <f>413699+312050+80320+31253+42+12537-15+13061+6551+45+15</f>
        <v>869558</v>
      </c>
      <c r="N252" s="230">
        <f>+L252/M252</f>
        <v>7.896638579600211</v>
      </c>
      <c r="O252" s="147"/>
    </row>
    <row r="253" spans="1:15" ht="15">
      <c r="A253" s="138">
        <v>250</v>
      </c>
      <c r="B253" s="353" t="s">
        <v>17</v>
      </c>
      <c r="C253" s="169">
        <v>40137</v>
      </c>
      <c r="D253" s="170" t="s">
        <v>73</v>
      </c>
      <c r="E253" s="210">
        <v>311</v>
      </c>
      <c r="F253" s="210">
        <v>1</v>
      </c>
      <c r="G253" s="210">
        <v>10</v>
      </c>
      <c r="H253" s="171">
        <v>18992</v>
      </c>
      <c r="I253" s="172">
        <v>2713</v>
      </c>
      <c r="J253" s="174">
        <f>I253/F253</f>
        <v>2713</v>
      </c>
      <c r="K253" s="76">
        <f>H253/I253</f>
        <v>7.0003685956505715</v>
      </c>
      <c r="L253" s="75">
        <f>3304754.25+2499078+631694+23+231806.5+262+75092+83827.5+39718+180+150+8500+0.5+18992</f>
        <v>6894077.75</v>
      </c>
      <c r="M253" s="174">
        <f>413699+312050+80320+31253+42+12537-15+13061+6551+45+15+1409+2713</f>
        <v>873680</v>
      </c>
      <c r="N253" s="230">
        <f>+L253/M253</f>
        <v>7.890849910722461</v>
      </c>
      <c r="O253" s="148"/>
    </row>
    <row r="254" spans="1:15" ht="15">
      <c r="A254" s="138">
        <v>251</v>
      </c>
      <c r="B254" s="225" t="s">
        <v>66</v>
      </c>
      <c r="C254" s="52">
        <v>40067</v>
      </c>
      <c r="D254" s="60" t="s">
        <v>154</v>
      </c>
      <c r="E254" s="254">
        <v>105</v>
      </c>
      <c r="F254" s="254">
        <v>10</v>
      </c>
      <c r="G254" s="254">
        <v>19</v>
      </c>
      <c r="H254" s="77">
        <v>7181.5</v>
      </c>
      <c r="I254" s="78">
        <v>1825</v>
      </c>
      <c r="J254" s="79">
        <f>IF(H254&lt;&gt;0,I254/F254,"")</f>
        <v>182.5</v>
      </c>
      <c r="K254" s="80">
        <f>IF(H254&lt;&gt;0,H254/I254,"")</f>
        <v>3.935068493150685</v>
      </c>
      <c r="L254" s="81">
        <v>621501</v>
      </c>
      <c r="M254" s="128">
        <v>73921</v>
      </c>
      <c r="N254" s="233">
        <f>IF(L254&lt;&gt;0,L254/M254,"")</f>
        <v>8.407637883686638</v>
      </c>
      <c r="O254" s="149"/>
    </row>
    <row r="255" spans="1:15" ht="15">
      <c r="A255" s="138">
        <v>252</v>
      </c>
      <c r="B255" s="225" t="s">
        <v>66</v>
      </c>
      <c r="C255" s="52">
        <v>40067</v>
      </c>
      <c r="D255" s="60" t="s">
        <v>154</v>
      </c>
      <c r="E255" s="254">
        <v>105</v>
      </c>
      <c r="F255" s="254">
        <v>9</v>
      </c>
      <c r="G255" s="254">
        <v>18</v>
      </c>
      <c r="H255" s="77">
        <v>4342.75</v>
      </c>
      <c r="I255" s="82">
        <v>845</v>
      </c>
      <c r="J255" s="83">
        <f>IF(H255&lt;&gt;0,I255/F255,"")</f>
        <v>93.88888888888889</v>
      </c>
      <c r="K255" s="84">
        <f>IF(H255&lt;&gt;0,H255/I255,"")</f>
        <v>5.139349112426036</v>
      </c>
      <c r="L255" s="81">
        <v>614319.5</v>
      </c>
      <c r="M255" s="174">
        <v>72096</v>
      </c>
      <c r="N255" s="234">
        <f>IF(L255&lt;&gt;0,L255/M255,"")</f>
        <v>8.520854138925877</v>
      </c>
      <c r="O255" s="149"/>
    </row>
    <row r="256" spans="1:15" ht="15">
      <c r="A256" s="138">
        <v>253</v>
      </c>
      <c r="B256" s="229" t="s">
        <v>66</v>
      </c>
      <c r="C256" s="69">
        <v>40067</v>
      </c>
      <c r="D256" s="60" t="s">
        <v>154</v>
      </c>
      <c r="E256" s="255">
        <v>105</v>
      </c>
      <c r="F256" s="255">
        <v>8</v>
      </c>
      <c r="G256" s="255">
        <v>21</v>
      </c>
      <c r="H256" s="99">
        <v>2959.5</v>
      </c>
      <c r="I256" s="100">
        <v>645</v>
      </c>
      <c r="J256" s="128">
        <f>I256/F256</f>
        <v>80.625</v>
      </c>
      <c r="K256" s="74">
        <f>H256/I256</f>
        <v>4.588372093023255</v>
      </c>
      <c r="L256" s="101">
        <v>626489.5</v>
      </c>
      <c r="M256" s="128">
        <v>74984</v>
      </c>
      <c r="N256" s="228">
        <f>L256/M256</f>
        <v>8.35497572815534</v>
      </c>
      <c r="O256" s="150"/>
    </row>
    <row r="257" spans="1:15" ht="15">
      <c r="A257" s="138">
        <v>254</v>
      </c>
      <c r="B257" s="229" t="s">
        <v>66</v>
      </c>
      <c r="C257" s="69">
        <v>40067</v>
      </c>
      <c r="D257" s="71" t="s">
        <v>154</v>
      </c>
      <c r="E257" s="255">
        <v>105</v>
      </c>
      <c r="F257" s="255">
        <v>8</v>
      </c>
      <c r="G257" s="255">
        <v>20</v>
      </c>
      <c r="H257" s="67">
        <v>2029</v>
      </c>
      <c r="I257" s="63">
        <v>418</v>
      </c>
      <c r="J257" s="64">
        <f>IF(H257&lt;&gt;0,I257/F257,"")</f>
        <v>52.25</v>
      </c>
      <c r="K257" s="57">
        <f>IF(H257&lt;&gt;0,H257/I257,"")</f>
        <v>4.854066985645933</v>
      </c>
      <c r="L257" s="68">
        <v>623530</v>
      </c>
      <c r="M257" s="65">
        <v>74339</v>
      </c>
      <c r="N257" s="227">
        <f>IF(L257&lt;&gt;0,L257/M257,"")</f>
        <v>8.387656546361937</v>
      </c>
      <c r="O257" s="181">
        <v>1</v>
      </c>
    </row>
    <row r="258" spans="1:15" ht="15">
      <c r="A258" s="138">
        <v>255</v>
      </c>
      <c r="B258" s="229" t="s">
        <v>66</v>
      </c>
      <c r="C258" s="69">
        <v>40067</v>
      </c>
      <c r="D258" s="60" t="s">
        <v>154</v>
      </c>
      <c r="E258" s="255">
        <v>105</v>
      </c>
      <c r="F258" s="255">
        <v>8</v>
      </c>
      <c r="G258" s="255">
        <v>22</v>
      </c>
      <c r="H258" s="145">
        <v>1703</v>
      </c>
      <c r="I258" s="146">
        <v>277</v>
      </c>
      <c r="J258" s="128">
        <f>I258/F258</f>
        <v>34.625</v>
      </c>
      <c r="K258" s="74">
        <f>+H258/I258</f>
        <v>6.148014440433213</v>
      </c>
      <c r="L258" s="101">
        <v>628192.5</v>
      </c>
      <c r="M258" s="128">
        <v>75261</v>
      </c>
      <c r="N258" s="230">
        <f>L258/M258</f>
        <v>8.346852951727987</v>
      </c>
      <c r="O258" s="180">
        <v>1</v>
      </c>
    </row>
    <row r="259" spans="1:15" ht="15">
      <c r="A259" s="138">
        <v>256</v>
      </c>
      <c r="B259" s="229" t="s">
        <v>66</v>
      </c>
      <c r="C259" s="169">
        <v>40067</v>
      </c>
      <c r="D259" s="170" t="s">
        <v>154</v>
      </c>
      <c r="E259" s="210">
        <v>105</v>
      </c>
      <c r="F259" s="210">
        <v>1</v>
      </c>
      <c r="G259" s="210">
        <v>24</v>
      </c>
      <c r="H259" s="171">
        <v>1164</v>
      </c>
      <c r="I259" s="172">
        <v>332</v>
      </c>
      <c r="J259" s="174">
        <f>IF(H259&lt;&gt;0,I259/F259,"")</f>
        <v>332</v>
      </c>
      <c r="K259" s="76">
        <f>H259/I259</f>
        <v>3.5060240963855422</v>
      </c>
      <c r="L259" s="75">
        <v>629919.5</v>
      </c>
      <c r="M259" s="174">
        <v>75672</v>
      </c>
      <c r="N259" s="230">
        <f>+L259/M259</f>
        <v>8.324340575113649</v>
      </c>
      <c r="O259" s="149">
        <v>1</v>
      </c>
    </row>
    <row r="260" spans="1:15" ht="15">
      <c r="A260" s="138">
        <v>257</v>
      </c>
      <c r="B260" s="225" t="s">
        <v>66</v>
      </c>
      <c r="C260" s="52">
        <v>40067</v>
      </c>
      <c r="D260" s="66" t="s">
        <v>154</v>
      </c>
      <c r="E260" s="254">
        <v>105</v>
      </c>
      <c r="F260" s="254">
        <v>7</v>
      </c>
      <c r="G260" s="254">
        <v>17</v>
      </c>
      <c r="H260" s="77">
        <v>810</v>
      </c>
      <c r="I260" s="82">
        <v>154</v>
      </c>
      <c r="J260" s="83">
        <f>IF(H260&lt;&gt;0,I260/F260,"")</f>
        <v>22</v>
      </c>
      <c r="K260" s="80">
        <f>IF(H260&lt;&gt;0,H260/I260,"")</f>
        <v>5.259740259740259</v>
      </c>
      <c r="L260" s="81">
        <v>609976.75</v>
      </c>
      <c r="M260" s="174">
        <v>71251</v>
      </c>
      <c r="N260" s="233">
        <f>IF(L260&lt;&gt;0,L260/M260,"")</f>
        <v>8.56095703919945</v>
      </c>
      <c r="O260" s="149">
        <v>1</v>
      </c>
    </row>
    <row r="261" spans="1:15" ht="15">
      <c r="A261" s="138">
        <v>258</v>
      </c>
      <c r="B261" s="229" t="s">
        <v>66</v>
      </c>
      <c r="C261" s="69">
        <v>40067</v>
      </c>
      <c r="D261" s="60" t="s">
        <v>154</v>
      </c>
      <c r="E261" s="255">
        <v>105</v>
      </c>
      <c r="F261" s="255">
        <v>3</v>
      </c>
      <c r="G261" s="255">
        <v>23</v>
      </c>
      <c r="H261" s="167">
        <v>563</v>
      </c>
      <c r="I261" s="168">
        <v>79</v>
      </c>
      <c r="J261" s="174">
        <f>IF(H261&lt;&gt;0,I261/F261,"")</f>
        <v>26.333333333333332</v>
      </c>
      <c r="K261" s="76">
        <f>IF(H261&lt;&gt;0,H261/I261,"")</f>
        <v>7.1265822784810124</v>
      </c>
      <c r="L261" s="75">
        <v>628755.5</v>
      </c>
      <c r="M261" s="174">
        <v>75340</v>
      </c>
      <c r="N261" s="230">
        <f>IF(L261&lt;&gt;0,L261/M261,"")</f>
        <v>8.34557340058402</v>
      </c>
      <c r="O261" s="147">
        <v>1</v>
      </c>
    </row>
    <row r="262" spans="1:15" ht="18">
      <c r="A262" s="138">
        <v>259</v>
      </c>
      <c r="B262" s="353" t="s">
        <v>66</v>
      </c>
      <c r="C262" s="169">
        <v>40067</v>
      </c>
      <c r="D262" s="170" t="s">
        <v>154</v>
      </c>
      <c r="E262" s="210">
        <v>105</v>
      </c>
      <c r="F262" s="210">
        <v>1</v>
      </c>
      <c r="G262" s="210">
        <v>25</v>
      </c>
      <c r="H262" s="171">
        <v>3920</v>
      </c>
      <c r="I262" s="172">
        <v>784</v>
      </c>
      <c r="J262" s="174">
        <f>I262/F262</f>
        <v>784</v>
      </c>
      <c r="K262" s="76">
        <f>H262/I262</f>
        <v>5</v>
      </c>
      <c r="L262" s="75">
        <v>633839.5</v>
      </c>
      <c r="M262" s="174">
        <v>76456</v>
      </c>
      <c r="N262" s="230">
        <f>+L262/M262</f>
        <v>8.290251909595062</v>
      </c>
      <c r="O262" s="183">
        <v>1</v>
      </c>
    </row>
    <row r="263" spans="1:15" ht="15">
      <c r="A263" s="138">
        <v>260</v>
      </c>
      <c r="B263" s="229" t="s">
        <v>156</v>
      </c>
      <c r="C263" s="69">
        <v>39871</v>
      </c>
      <c r="D263" s="120" t="s">
        <v>152</v>
      </c>
      <c r="E263" s="255">
        <v>1</v>
      </c>
      <c r="F263" s="255">
        <v>1</v>
      </c>
      <c r="G263" s="255">
        <v>21</v>
      </c>
      <c r="H263" s="54">
        <v>1780</v>
      </c>
      <c r="I263" s="55">
        <v>445</v>
      </c>
      <c r="J263" s="56">
        <f>(I263/F263)</f>
        <v>445</v>
      </c>
      <c r="K263" s="57">
        <f>H263/I263</f>
        <v>4</v>
      </c>
      <c r="L263" s="58">
        <f>1088+1510+1304+856+387+214+424+106+162+130+476+60.5+118+96+1664+1780+454+259.5+1188+119.5+1188+1780</f>
        <v>15364.5</v>
      </c>
      <c r="M263" s="59">
        <f>267+175+155+102+46+26+51+12+18+16+57+8+22+16+416+445+57+31+297+19+297+445</f>
        <v>2978</v>
      </c>
      <c r="N263" s="227">
        <f>L263/M263</f>
        <v>5.15933512424446</v>
      </c>
      <c r="O263" s="147"/>
    </row>
    <row r="264" spans="1:15" ht="18">
      <c r="A264" s="138">
        <v>261</v>
      </c>
      <c r="B264" s="229" t="s">
        <v>156</v>
      </c>
      <c r="C264" s="69">
        <v>39871</v>
      </c>
      <c r="D264" s="110" t="s">
        <v>152</v>
      </c>
      <c r="E264" s="255">
        <v>1</v>
      </c>
      <c r="F264" s="255">
        <v>1</v>
      </c>
      <c r="G264" s="255">
        <v>22</v>
      </c>
      <c r="H264" s="54">
        <v>1780</v>
      </c>
      <c r="I264" s="55">
        <v>445</v>
      </c>
      <c r="J264" s="56">
        <f>(I264/F264)</f>
        <v>445</v>
      </c>
      <c r="K264" s="61">
        <f>H264/I264</f>
        <v>4</v>
      </c>
      <c r="L264" s="58">
        <f>1088+1510+1304+856+387+214+424+106+162+130+476+60.5+118+96+1664+1780+454+259.5+1188+119.5+1188+1780+1780</f>
        <v>17144.5</v>
      </c>
      <c r="M264" s="59">
        <f>267+175+155+102+46+26+51+12+18+16+57+8+22+16+416+445+57+31+297+19+297+445+445</f>
        <v>3423</v>
      </c>
      <c r="N264" s="226">
        <f>L264/M264</f>
        <v>5.0086181711948585</v>
      </c>
      <c r="O264" s="183"/>
    </row>
    <row r="265" spans="1:15" ht="15">
      <c r="A265" s="138">
        <v>262</v>
      </c>
      <c r="B265" s="240" t="s">
        <v>99</v>
      </c>
      <c r="C265" s="52">
        <v>40158</v>
      </c>
      <c r="D265" s="110" t="s">
        <v>100</v>
      </c>
      <c r="E265" s="259" t="s">
        <v>101</v>
      </c>
      <c r="F265" s="259" t="s">
        <v>101</v>
      </c>
      <c r="G265" s="259" t="s">
        <v>102</v>
      </c>
      <c r="H265" s="111">
        <v>10169</v>
      </c>
      <c r="I265" s="115">
        <v>1579</v>
      </c>
      <c r="J265" s="116">
        <f>+I265/F265</f>
        <v>157.9</v>
      </c>
      <c r="K265" s="84">
        <f>IF(H265&lt;&gt;0,H265/I265,"")</f>
        <v>6.440151994933502</v>
      </c>
      <c r="L265" s="113">
        <v>104779</v>
      </c>
      <c r="M265" s="117">
        <v>9582</v>
      </c>
      <c r="N265" s="234">
        <f>IF(L265&lt;&gt;0,L265/M265,"")</f>
        <v>10.934982258401169</v>
      </c>
      <c r="O265" s="147">
        <v>1</v>
      </c>
    </row>
    <row r="266" spans="1:15" ht="15">
      <c r="A266" s="138">
        <v>263</v>
      </c>
      <c r="B266" s="240" t="s">
        <v>99</v>
      </c>
      <c r="C266" s="52">
        <v>40158</v>
      </c>
      <c r="D266" s="110" t="s">
        <v>100</v>
      </c>
      <c r="E266" s="259" t="s">
        <v>101</v>
      </c>
      <c r="F266" s="259" t="s">
        <v>101</v>
      </c>
      <c r="G266" s="259" t="s">
        <v>24</v>
      </c>
      <c r="H266" s="111">
        <v>9421</v>
      </c>
      <c r="I266" s="112">
        <v>1421</v>
      </c>
      <c r="J266" s="118">
        <f>+I266/F266</f>
        <v>142.1</v>
      </c>
      <c r="K266" s="119"/>
      <c r="L266" s="113">
        <v>114200</v>
      </c>
      <c r="M266" s="114">
        <v>11003</v>
      </c>
      <c r="N266" s="233">
        <f>IF(L266&lt;&gt;0,L266/M266,"")</f>
        <v>10.378987548850313</v>
      </c>
      <c r="O266" s="182">
        <v>1</v>
      </c>
    </row>
    <row r="267" spans="1:15" ht="15">
      <c r="A267" s="138">
        <v>264</v>
      </c>
      <c r="B267" s="229" t="s">
        <v>99</v>
      </c>
      <c r="C267" s="69">
        <v>40158</v>
      </c>
      <c r="D267" s="60" t="s">
        <v>100</v>
      </c>
      <c r="E267" s="255" t="s">
        <v>101</v>
      </c>
      <c r="F267" s="255" t="s">
        <v>24</v>
      </c>
      <c r="G267" s="255" t="s">
        <v>158</v>
      </c>
      <c r="H267" s="145">
        <v>1882</v>
      </c>
      <c r="I267" s="146">
        <v>269</v>
      </c>
      <c r="J267" s="128">
        <f>(I267/F267)</f>
        <v>44.833333333333336</v>
      </c>
      <c r="K267" s="74">
        <f>(J267/G267)</f>
        <v>4.981481481481482</v>
      </c>
      <c r="L267" s="101">
        <v>117674</v>
      </c>
      <c r="M267" s="128">
        <v>11534</v>
      </c>
      <c r="N267" s="230">
        <f>L267/M267</f>
        <v>10.20235824518814</v>
      </c>
      <c r="O267" s="149">
        <v>1</v>
      </c>
    </row>
    <row r="268" spans="1:15" ht="15">
      <c r="A268" s="138">
        <v>265</v>
      </c>
      <c r="B268" s="240" t="s">
        <v>99</v>
      </c>
      <c r="C268" s="69">
        <v>40158</v>
      </c>
      <c r="D268" s="60" t="s">
        <v>100</v>
      </c>
      <c r="E268" s="255" t="s">
        <v>101</v>
      </c>
      <c r="F268" s="255" t="s">
        <v>102</v>
      </c>
      <c r="G268" s="255" t="s">
        <v>6</v>
      </c>
      <c r="H268" s="99">
        <v>1592</v>
      </c>
      <c r="I268" s="100">
        <v>262</v>
      </c>
      <c r="J268" s="128">
        <f>I268/F268</f>
        <v>52.4</v>
      </c>
      <c r="K268" s="74">
        <f>H268/I268</f>
        <v>6.076335877862595</v>
      </c>
      <c r="L268" s="101">
        <v>115792</v>
      </c>
      <c r="M268" s="128">
        <v>11265</v>
      </c>
      <c r="N268" s="228">
        <f>L268/M268</f>
        <v>10.278916999556147</v>
      </c>
      <c r="O268" s="149">
        <v>1</v>
      </c>
    </row>
    <row r="269" spans="1:15" ht="15">
      <c r="A269" s="138">
        <v>266</v>
      </c>
      <c r="B269" s="229" t="s">
        <v>32</v>
      </c>
      <c r="C269" s="169">
        <v>39920</v>
      </c>
      <c r="D269" s="60" t="s">
        <v>152</v>
      </c>
      <c r="E269" s="210">
        <v>43</v>
      </c>
      <c r="F269" s="210">
        <v>4</v>
      </c>
      <c r="G269" s="210">
        <v>30</v>
      </c>
      <c r="H269" s="171">
        <v>6292</v>
      </c>
      <c r="I269" s="172">
        <v>1573</v>
      </c>
      <c r="J269" s="174">
        <f>(I269/F269)</f>
        <v>393.25</v>
      </c>
      <c r="K269" s="76">
        <f>H269/I269</f>
        <v>4</v>
      </c>
      <c r="L269" s="75">
        <f>71921.5+55489+28896+23842.5+13474.5+19552.5+14027+10409+7091.5+1088.5+1046+1608+982+3368+433+2156+3870+2362+588+3564+2376+1424+1780+1424+1512+1188+952+952+952+6292</f>
        <v>284621</v>
      </c>
      <c r="M269" s="174">
        <f>9131+7791+4520+4728+2735+3857+3026+2110+1463+203+226+324+239+809+81+469+941+537+95+891+594+356+445+356+378+297+238+238+238+1573</f>
        <v>48889</v>
      </c>
      <c r="N269" s="230">
        <f>L269/M269</f>
        <v>5.821779950500113</v>
      </c>
      <c r="O269" s="180">
        <v>1</v>
      </c>
    </row>
    <row r="270" spans="1:15" ht="15">
      <c r="A270" s="138">
        <v>267</v>
      </c>
      <c r="B270" s="229" t="s">
        <v>32</v>
      </c>
      <c r="C270" s="169">
        <v>39920</v>
      </c>
      <c r="D270" s="60" t="s">
        <v>152</v>
      </c>
      <c r="E270" s="210">
        <v>43</v>
      </c>
      <c r="F270" s="210">
        <v>3</v>
      </c>
      <c r="G270" s="210">
        <v>31</v>
      </c>
      <c r="H270" s="171">
        <v>5340</v>
      </c>
      <c r="I270" s="172">
        <v>1335</v>
      </c>
      <c r="J270" s="174">
        <f>(I270/F270)</f>
        <v>445</v>
      </c>
      <c r="K270" s="76">
        <f>H270/I270</f>
        <v>4</v>
      </c>
      <c r="L270" s="75">
        <f>71921.5+55489+28896+23842.5+13474.5+19552.5+14027+10409+7091.5+1088.5+1046+1608+982+3368+433+2156+3870+2362+588+3564+2376+1424+1780+1424+1512+1188+952+952+952+6292+5340</f>
        <v>289961</v>
      </c>
      <c r="M270" s="174">
        <f>9131+7791+4520+4728+2735+3857+3026+2110+1463+203+226+324+239+809+81+469+941+537+95+891+594+356+445+356+378+297+238+238+238+1573+1335</f>
        <v>50224</v>
      </c>
      <c r="N270" s="230">
        <f>+L270/M270</f>
        <v>5.773355367951577</v>
      </c>
      <c r="O270" s="149">
        <v>1</v>
      </c>
    </row>
    <row r="271" spans="1:15" ht="15">
      <c r="A271" s="138">
        <v>268</v>
      </c>
      <c r="B271" s="229" t="s">
        <v>32</v>
      </c>
      <c r="C271" s="69">
        <v>39920</v>
      </c>
      <c r="D271" s="70" t="s">
        <v>152</v>
      </c>
      <c r="E271" s="255">
        <v>43</v>
      </c>
      <c r="F271" s="255">
        <v>1</v>
      </c>
      <c r="G271" s="255">
        <v>26</v>
      </c>
      <c r="H271" s="54">
        <v>1188</v>
      </c>
      <c r="I271" s="63">
        <v>297</v>
      </c>
      <c r="J271" s="64">
        <f>(I271/F271)</f>
        <v>297</v>
      </c>
      <c r="K271" s="57">
        <f>H271/I271</f>
        <v>4</v>
      </c>
      <c r="L271" s="58">
        <f>71921.5+55489+28896+23842.5+13474.5+19552.5+14027+10409+7091.5+1088.5+1046+1608+982+3368+433+2156+3870+2362+588+3564+2376+1424+1780+1424+1512+1188</f>
        <v>275473</v>
      </c>
      <c r="M271" s="65">
        <f>9131+7791+4520+4728+2735+3857+3026+2110+1463+203+226+324+239+809+81+469+941+537+95+891+594+356+445+356+378+297</f>
        <v>46602</v>
      </c>
      <c r="N271" s="227">
        <f>L271/M271</f>
        <v>5.911184069353246</v>
      </c>
      <c r="O271" s="150">
        <v>1</v>
      </c>
    </row>
    <row r="272" spans="1:15" ht="15">
      <c r="A272" s="138">
        <v>269</v>
      </c>
      <c r="B272" s="229" t="s">
        <v>32</v>
      </c>
      <c r="C272" s="69">
        <v>39920</v>
      </c>
      <c r="D272" s="60" t="s">
        <v>152</v>
      </c>
      <c r="E272" s="255">
        <v>43</v>
      </c>
      <c r="F272" s="255">
        <v>1</v>
      </c>
      <c r="G272" s="255">
        <v>27</v>
      </c>
      <c r="H272" s="145">
        <v>952</v>
      </c>
      <c r="I272" s="146">
        <v>238</v>
      </c>
      <c r="J272" s="128">
        <f>I272/F272</f>
        <v>238</v>
      </c>
      <c r="K272" s="74">
        <f>+H272/I272</f>
        <v>4</v>
      </c>
      <c r="L272" s="101">
        <f>71921.5+55489+28896+23842.5+13474.5+19552.5+14027+10409+7091.5+1088.5+1046+1608+982+3368+433+2156+3870+2362+588+3564+2376+1424+1780+1424+1512+1188+952</f>
        <v>276425</v>
      </c>
      <c r="M272" s="128">
        <f>9131+7791+4520+4728+2735+3857+3026+2110+1463+203+226+324+239+809+81+469+941+537+95+891+594+356+445+356+378+297+238</f>
        <v>46840</v>
      </c>
      <c r="N272" s="230">
        <f>L272/M272</f>
        <v>5.901473099914603</v>
      </c>
      <c r="O272" s="148">
        <v>1</v>
      </c>
    </row>
    <row r="273" spans="1:15" ht="15">
      <c r="A273" s="138">
        <v>270</v>
      </c>
      <c r="B273" s="229" t="s">
        <v>32</v>
      </c>
      <c r="C273" s="69">
        <v>39920</v>
      </c>
      <c r="D273" s="60" t="s">
        <v>152</v>
      </c>
      <c r="E273" s="255">
        <v>43</v>
      </c>
      <c r="F273" s="255">
        <v>1</v>
      </c>
      <c r="G273" s="255">
        <v>28</v>
      </c>
      <c r="H273" s="167">
        <v>952</v>
      </c>
      <c r="I273" s="168">
        <v>238</v>
      </c>
      <c r="J273" s="174">
        <f>(I273/F273)</f>
        <v>238</v>
      </c>
      <c r="K273" s="76">
        <f>H273/I273</f>
        <v>4</v>
      </c>
      <c r="L273" s="75">
        <f>71921.5+55489+28896+23842.5+13474.5+19552.5+14027+10409+7091.5+1088.5+1046+1608+982+3368+433+2156+3870+2362+588+3564+2376+1424+1780+1424+1512+1188+952+952</f>
        <v>277377</v>
      </c>
      <c r="M273" s="174">
        <f>9131+7791+4520+4728+2735+3857+3026+2110+1463+203+226+324+239+809+81+469+941+537+95+891+594+356+445+356+378+297+238+238</f>
        <v>47078</v>
      </c>
      <c r="N273" s="230">
        <f>L273/M273</f>
        <v>5.891860316920854</v>
      </c>
      <c r="O273" s="181">
        <v>1</v>
      </c>
    </row>
    <row r="274" spans="1:15" ht="15">
      <c r="A274" s="138">
        <v>271</v>
      </c>
      <c r="B274" s="229" t="s">
        <v>32</v>
      </c>
      <c r="C274" s="69">
        <v>39920</v>
      </c>
      <c r="D274" s="60" t="s">
        <v>152</v>
      </c>
      <c r="E274" s="255">
        <v>43</v>
      </c>
      <c r="F274" s="255">
        <v>1</v>
      </c>
      <c r="G274" s="255">
        <v>29</v>
      </c>
      <c r="H274" s="167">
        <v>952</v>
      </c>
      <c r="I274" s="168">
        <v>238</v>
      </c>
      <c r="J274" s="174">
        <f>I274/F274</f>
        <v>238</v>
      </c>
      <c r="K274" s="76">
        <f>H274/I274</f>
        <v>4</v>
      </c>
      <c r="L274" s="75">
        <f>71921.5+55489+28896+23842.5+13474.5+19552.5+14027+10409+7091.5+1088.5+1046+1608+982+3368+433+2156+3870+2362+588+3564+2376+1424+1780+1424+1512+1188+952+952+952</f>
        <v>278329</v>
      </c>
      <c r="M274" s="174">
        <f>9131+7791+4520+4728+2735+3857+3026+2110+1463+203+226+324+239+809+81+469+941+537+95+891+594+356+445+356+378+297+238+238+238</f>
        <v>47316</v>
      </c>
      <c r="N274" s="230">
        <f>+L274/M274</f>
        <v>5.882344238735311</v>
      </c>
      <c r="O274" s="147">
        <v>1</v>
      </c>
    </row>
    <row r="275" spans="1:15" ht="15">
      <c r="A275" s="138">
        <v>272</v>
      </c>
      <c r="B275" s="229" t="s">
        <v>169</v>
      </c>
      <c r="C275" s="69">
        <v>39955</v>
      </c>
      <c r="D275" s="60" t="s">
        <v>152</v>
      </c>
      <c r="E275" s="255">
        <v>49</v>
      </c>
      <c r="F275" s="255">
        <v>1</v>
      </c>
      <c r="G275" s="255">
        <v>20</v>
      </c>
      <c r="H275" s="167">
        <v>1780</v>
      </c>
      <c r="I275" s="168">
        <v>445</v>
      </c>
      <c r="J275" s="174">
        <f>(I275/F275)</f>
        <v>445</v>
      </c>
      <c r="K275" s="76">
        <f>H275/I275</f>
        <v>4</v>
      </c>
      <c r="L275" s="75">
        <f>156835.75+123241.75+64169.25+38530+14718+8349.5+5553+9905+6647+2168.5+2346+2372+3658.5+879+4291.5+2227+3697.5+1188+476+1780</f>
        <v>453033.25</v>
      </c>
      <c r="M275" s="174">
        <f>15124+12366+7559+6566+2380+1342+923+1526+1461+575+437+426+642+167+566+379+627+297+119+445</f>
        <v>53927</v>
      </c>
      <c r="N275" s="230">
        <f>L275/M275</f>
        <v>8.40086134960224</v>
      </c>
      <c r="O275" s="147">
        <v>1</v>
      </c>
    </row>
    <row r="276" spans="1:15" ht="15">
      <c r="A276" s="138">
        <v>273</v>
      </c>
      <c r="B276" s="229" t="s">
        <v>169</v>
      </c>
      <c r="C276" s="69">
        <v>39955</v>
      </c>
      <c r="D276" s="60" t="s">
        <v>152</v>
      </c>
      <c r="E276" s="255">
        <v>49</v>
      </c>
      <c r="F276" s="255">
        <v>1</v>
      </c>
      <c r="G276" s="255">
        <v>21</v>
      </c>
      <c r="H276" s="167">
        <v>1780</v>
      </c>
      <c r="I276" s="168">
        <v>445</v>
      </c>
      <c r="J276" s="174">
        <f>I276/F276</f>
        <v>445</v>
      </c>
      <c r="K276" s="76">
        <f>H276/I276</f>
        <v>4</v>
      </c>
      <c r="L276" s="75">
        <f>156835.75+123241.75+64169.25+38530+14718+8349.5+5553+9905+6647+2168.5+2346+2372+3658.5+879+4291.5+2227+3697.5+1188+476+1780+1780</f>
        <v>454813.25</v>
      </c>
      <c r="M276" s="174">
        <f>15124+12366+7559+6566+2380+1342+923+1526+1461+575+437+426+642+167+566+379+627+297+119+445+445</f>
        <v>54372</v>
      </c>
      <c r="N276" s="230">
        <f>+L276/M276</f>
        <v>8.364843117781211</v>
      </c>
      <c r="O276" s="148">
        <v>1</v>
      </c>
    </row>
    <row r="277" spans="1:15" ht="15">
      <c r="A277" s="138">
        <v>274</v>
      </c>
      <c r="B277" s="225" t="s">
        <v>108</v>
      </c>
      <c r="C277" s="52">
        <v>40102</v>
      </c>
      <c r="D277" s="66" t="s">
        <v>154</v>
      </c>
      <c r="E277" s="254">
        <v>319</v>
      </c>
      <c r="F277" s="254">
        <v>13</v>
      </c>
      <c r="G277" s="254">
        <v>12</v>
      </c>
      <c r="H277" s="77">
        <v>6659</v>
      </c>
      <c r="I277" s="82">
        <v>990</v>
      </c>
      <c r="J277" s="83">
        <f>IF(H277&lt;&gt;0,I277/F277,"")</f>
        <v>76.15384615384616</v>
      </c>
      <c r="K277" s="80">
        <f>IF(H277&lt;&gt;0,H277/I277,"")</f>
        <v>6.726262626262626</v>
      </c>
      <c r="L277" s="81">
        <v>19727039.25</v>
      </c>
      <c r="M277" s="174">
        <v>2420126</v>
      </c>
      <c r="N277" s="233">
        <f>IF(L277&lt;&gt;0,L277/M277,"")</f>
        <v>8.151244707920165</v>
      </c>
      <c r="O277" s="149">
        <v>1</v>
      </c>
    </row>
    <row r="278" spans="1:15" ht="15">
      <c r="A278" s="138">
        <v>275</v>
      </c>
      <c r="B278" s="229" t="s">
        <v>108</v>
      </c>
      <c r="C278" s="69">
        <v>40102</v>
      </c>
      <c r="D278" s="60" t="s">
        <v>154</v>
      </c>
      <c r="E278" s="255">
        <v>319</v>
      </c>
      <c r="F278" s="255">
        <v>3</v>
      </c>
      <c r="G278" s="255">
        <v>19</v>
      </c>
      <c r="H278" s="167">
        <v>5750</v>
      </c>
      <c r="I278" s="168">
        <v>1314</v>
      </c>
      <c r="J278" s="174">
        <f>I278/F278</f>
        <v>438</v>
      </c>
      <c r="K278" s="76">
        <f>H278/I278</f>
        <v>4.375951293759513</v>
      </c>
      <c r="L278" s="75">
        <v>19749823.75</v>
      </c>
      <c r="M278" s="174">
        <v>2424683</v>
      </c>
      <c r="N278" s="230">
        <f>+L278/M278</f>
        <v>8.145321986420493</v>
      </c>
      <c r="O278" s="149">
        <v>1</v>
      </c>
    </row>
    <row r="279" spans="1:15" ht="15">
      <c r="A279" s="138">
        <v>276</v>
      </c>
      <c r="B279" s="229" t="s">
        <v>108</v>
      </c>
      <c r="C279" s="69">
        <v>40102</v>
      </c>
      <c r="D279" s="71" t="s">
        <v>154</v>
      </c>
      <c r="E279" s="255">
        <v>319</v>
      </c>
      <c r="F279" s="255">
        <v>4</v>
      </c>
      <c r="G279" s="255">
        <v>15</v>
      </c>
      <c r="H279" s="67">
        <v>5067</v>
      </c>
      <c r="I279" s="63">
        <v>1028</v>
      </c>
      <c r="J279" s="64">
        <f>IF(H279&lt;&gt;0,I279/F279,"")</f>
        <v>257</v>
      </c>
      <c r="K279" s="57">
        <f>IF(H279&lt;&gt;0,H279/I279,"")</f>
        <v>4.928988326848249</v>
      </c>
      <c r="L279" s="68">
        <v>19737820.25</v>
      </c>
      <c r="M279" s="65">
        <v>2422173</v>
      </c>
      <c r="N279" s="227">
        <f>IF(L279&lt;&gt;0,L279/M279,"")</f>
        <v>8.148806980343684</v>
      </c>
      <c r="O279" s="151">
        <v>1</v>
      </c>
    </row>
    <row r="280" spans="1:15" ht="15">
      <c r="A280" s="138">
        <v>277</v>
      </c>
      <c r="B280" s="225" t="s">
        <v>26</v>
      </c>
      <c r="C280" s="52">
        <v>40102</v>
      </c>
      <c r="D280" s="60" t="s">
        <v>154</v>
      </c>
      <c r="E280" s="254">
        <v>319</v>
      </c>
      <c r="F280" s="254">
        <v>6</v>
      </c>
      <c r="G280" s="254">
        <v>14</v>
      </c>
      <c r="H280" s="77">
        <v>3814</v>
      </c>
      <c r="I280" s="78">
        <v>755</v>
      </c>
      <c r="J280" s="79">
        <f>IF(H280&lt;&gt;0,I280/F280,"")</f>
        <v>125.83333333333333</v>
      </c>
      <c r="K280" s="80">
        <f>IF(H280&lt;&gt;0,H280/I280,"")</f>
        <v>5.051655629139073</v>
      </c>
      <c r="L280" s="81">
        <v>19732753.25</v>
      </c>
      <c r="M280" s="128">
        <v>2421145</v>
      </c>
      <c r="N280" s="233">
        <f>IF(L280&lt;&gt;0,L280/M280,"")</f>
        <v>8.15017409118413</v>
      </c>
      <c r="O280" s="149">
        <v>1</v>
      </c>
    </row>
    <row r="281" spans="1:15" ht="15">
      <c r="A281" s="138">
        <v>278</v>
      </c>
      <c r="B281" s="229" t="s">
        <v>108</v>
      </c>
      <c r="C281" s="169">
        <v>40102</v>
      </c>
      <c r="D281" s="170" t="s">
        <v>154</v>
      </c>
      <c r="E281" s="210">
        <v>319</v>
      </c>
      <c r="F281" s="210">
        <v>1</v>
      </c>
      <c r="G281" s="210">
        <v>21</v>
      </c>
      <c r="H281" s="171">
        <v>3564</v>
      </c>
      <c r="I281" s="172">
        <v>713</v>
      </c>
      <c r="J281" s="174">
        <f>IF(H281&lt;&gt;0,I281/F281,"")</f>
        <v>713</v>
      </c>
      <c r="K281" s="76">
        <f>H281/I281</f>
        <v>4.998597475455821</v>
      </c>
      <c r="L281" s="75">
        <v>19754135.75</v>
      </c>
      <c r="M281" s="174">
        <v>2425546</v>
      </c>
      <c r="N281" s="230">
        <f>+L281/M281</f>
        <v>8.144201656039506</v>
      </c>
      <c r="O281" s="184">
        <v>1</v>
      </c>
    </row>
    <row r="282" spans="1:15" ht="15">
      <c r="A282" s="138">
        <v>279</v>
      </c>
      <c r="B282" s="229" t="s">
        <v>108</v>
      </c>
      <c r="C282" s="69">
        <v>40102</v>
      </c>
      <c r="D282" s="60" t="s">
        <v>154</v>
      </c>
      <c r="E282" s="255">
        <v>319</v>
      </c>
      <c r="F282" s="255">
        <v>3</v>
      </c>
      <c r="G282" s="255">
        <v>17</v>
      </c>
      <c r="H282" s="145">
        <v>3454.5</v>
      </c>
      <c r="I282" s="146">
        <v>766</v>
      </c>
      <c r="J282" s="128">
        <f>I282/F282</f>
        <v>255.33333333333334</v>
      </c>
      <c r="K282" s="74">
        <f>+H282/I282</f>
        <v>4.509791122715405</v>
      </c>
      <c r="L282" s="101">
        <v>19743933.75</v>
      </c>
      <c r="M282" s="128">
        <v>2423355</v>
      </c>
      <c r="N282" s="230">
        <f>IF(L282&lt;&gt;0,L282/M282,"")</f>
        <v>8.147355113056074</v>
      </c>
      <c r="O282" s="149"/>
    </row>
    <row r="283" spans="1:15" ht="15">
      <c r="A283" s="138">
        <v>280</v>
      </c>
      <c r="B283" s="229" t="s">
        <v>108</v>
      </c>
      <c r="C283" s="69">
        <v>40102</v>
      </c>
      <c r="D283" s="60" t="s">
        <v>154</v>
      </c>
      <c r="E283" s="255">
        <v>319</v>
      </c>
      <c r="F283" s="255">
        <v>2</v>
      </c>
      <c r="G283" s="255">
        <v>16</v>
      </c>
      <c r="H283" s="99">
        <v>2659</v>
      </c>
      <c r="I283" s="100">
        <v>416</v>
      </c>
      <c r="J283" s="128">
        <f>I283/F283</f>
        <v>208</v>
      </c>
      <c r="K283" s="74">
        <f>H283/I283</f>
        <v>6.391826923076923</v>
      </c>
      <c r="L283" s="101">
        <v>19740479.25</v>
      </c>
      <c r="M283" s="128">
        <v>2422589</v>
      </c>
      <c r="N283" s="228">
        <f>L283/M283</f>
        <v>8.14850527679272</v>
      </c>
      <c r="O283" s="181"/>
    </row>
    <row r="284" spans="1:15" ht="15">
      <c r="A284" s="138">
        <v>281</v>
      </c>
      <c r="B284" s="225" t="s">
        <v>108</v>
      </c>
      <c r="C284" s="52">
        <v>40102</v>
      </c>
      <c r="D284" s="60" t="s">
        <v>154</v>
      </c>
      <c r="E284" s="254">
        <v>319</v>
      </c>
      <c r="F284" s="254">
        <v>7</v>
      </c>
      <c r="G284" s="254">
        <v>13</v>
      </c>
      <c r="H284" s="77">
        <v>1900</v>
      </c>
      <c r="I284" s="82">
        <v>264</v>
      </c>
      <c r="J284" s="83">
        <f>IF(H284&lt;&gt;0,I284/F284,"")</f>
        <v>37.714285714285715</v>
      </c>
      <c r="K284" s="84">
        <f>IF(H284&lt;&gt;0,H284/I284,"")</f>
        <v>7.196969696969697</v>
      </c>
      <c r="L284" s="81">
        <v>19728939.25</v>
      </c>
      <c r="M284" s="174">
        <v>2420390</v>
      </c>
      <c r="N284" s="234">
        <f>IF(L284&lt;&gt;0,L284/M284,"")</f>
        <v>8.151140621965881</v>
      </c>
      <c r="O284" s="177">
        <v>1</v>
      </c>
    </row>
    <row r="285" spans="1:15" ht="15">
      <c r="A285" s="138">
        <v>282</v>
      </c>
      <c r="B285" s="229" t="s">
        <v>108</v>
      </c>
      <c r="C285" s="169">
        <v>40102</v>
      </c>
      <c r="D285" s="60" t="s">
        <v>154</v>
      </c>
      <c r="E285" s="210">
        <v>319</v>
      </c>
      <c r="F285" s="210">
        <v>1</v>
      </c>
      <c r="G285" s="210">
        <v>20</v>
      </c>
      <c r="H285" s="171">
        <v>748</v>
      </c>
      <c r="I285" s="172">
        <v>150</v>
      </c>
      <c r="J285" s="174">
        <f>I285/F285</f>
        <v>150</v>
      </c>
      <c r="K285" s="76">
        <f>H285/I285</f>
        <v>4.986666666666666</v>
      </c>
      <c r="L285" s="75">
        <v>19750571.75</v>
      </c>
      <c r="M285" s="174">
        <v>2424833</v>
      </c>
      <c r="N285" s="230">
        <f>+L285/M285</f>
        <v>8.145126592223052</v>
      </c>
      <c r="O285" s="180">
        <v>1</v>
      </c>
    </row>
    <row r="286" spans="1:15" ht="15">
      <c r="A286" s="138">
        <v>283</v>
      </c>
      <c r="B286" s="229" t="s">
        <v>108</v>
      </c>
      <c r="C286" s="69">
        <v>40102</v>
      </c>
      <c r="D286" s="60" t="s">
        <v>154</v>
      </c>
      <c r="E286" s="255">
        <v>319</v>
      </c>
      <c r="F286" s="255">
        <v>1</v>
      </c>
      <c r="G286" s="255">
        <v>18</v>
      </c>
      <c r="H286" s="167">
        <v>140</v>
      </c>
      <c r="I286" s="168">
        <v>14</v>
      </c>
      <c r="J286" s="174">
        <f>IF(H286&lt;&gt;0,I286/F286,"")</f>
        <v>14</v>
      </c>
      <c r="K286" s="76">
        <f>IF(H286&lt;&gt;0,H286/I286,"")</f>
        <v>10</v>
      </c>
      <c r="L286" s="75">
        <v>19744073.75</v>
      </c>
      <c r="M286" s="174">
        <v>2423369</v>
      </c>
      <c r="N286" s="230">
        <f>IF(L286&lt;&gt;0,L286/M286,"")</f>
        <v>8.147365815936409</v>
      </c>
      <c r="O286" s="147">
        <v>1</v>
      </c>
    </row>
    <row r="287" spans="1:15" ht="15">
      <c r="A287" s="138">
        <v>284</v>
      </c>
      <c r="B287" s="353" t="s">
        <v>108</v>
      </c>
      <c r="C287" s="169">
        <v>40102</v>
      </c>
      <c r="D287" s="170" t="s">
        <v>154</v>
      </c>
      <c r="E287" s="210">
        <v>319</v>
      </c>
      <c r="F287" s="210">
        <v>3</v>
      </c>
      <c r="G287" s="210">
        <v>22</v>
      </c>
      <c r="H287" s="171">
        <v>12872</v>
      </c>
      <c r="I287" s="172">
        <v>2574</v>
      </c>
      <c r="J287" s="174">
        <f aca="true" t="shared" si="20" ref="J287:J292">I287/F287</f>
        <v>858</v>
      </c>
      <c r="K287" s="76">
        <f aca="true" t="shared" si="21" ref="K287:K292">H287/I287</f>
        <v>5.000777000777001</v>
      </c>
      <c r="L287" s="75">
        <v>19767007.75</v>
      </c>
      <c r="M287" s="174">
        <v>2428120</v>
      </c>
      <c r="N287" s="230">
        <f>+L287/M287</f>
        <v>8.140869376307595</v>
      </c>
      <c r="O287" s="180"/>
    </row>
    <row r="288" spans="1:15" ht="15">
      <c r="A288" s="138">
        <v>285</v>
      </c>
      <c r="B288" s="235" t="s">
        <v>21</v>
      </c>
      <c r="C288" s="52">
        <v>40144</v>
      </c>
      <c r="D288" s="87" t="s">
        <v>129</v>
      </c>
      <c r="E288" s="257">
        <v>258</v>
      </c>
      <c r="F288" s="257">
        <v>176</v>
      </c>
      <c r="G288" s="257">
        <v>6</v>
      </c>
      <c r="H288" s="88">
        <v>225694.5</v>
      </c>
      <c r="I288" s="89">
        <v>35788</v>
      </c>
      <c r="J288" s="90">
        <f t="shared" si="20"/>
        <v>203.3409090909091</v>
      </c>
      <c r="K288" s="91">
        <f t="shared" si="21"/>
        <v>6.306429529451212</v>
      </c>
      <c r="L288" s="92">
        <v>9551615.25</v>
      </c>
      <c r="M288" s="93">
        <v>1107368</v>
      </c>
      <c r="N288" s="236">
        <f>+L288/M288</f>
        <v>8.625511347627889</v>
      </c>
      <c r="O288" s="181"/>
    </row>
    <row r="289" spans="1:15" ht="15">
      <c r="A289" s="138">
        <v>286</v>
      </c>
      <c r="B289" s="235" t="s">
        <v>94</v>
      </c>
      <c r="C289" s="52">
        <v>40144</v>
      </c>
      <c r="D289" s="94" t="s">
        <v>129</v>
      </c>
      <c r="E289" s="257">
        <v>258</v>
      </c>
      <c r="F289" s="257">
        <v>55</v>
      </c>
      <c r="G289" s="257">
        <v>7</v>
      </c>
      <c r="H289" s="88">
        <v>58586</v>
      </c>
      <c r="I289" s="89">
        <v>9274</v>
      </c>
      <c r="J289" s="90">
        <f t="shared" si="20"/>
        <v>168.61818181818182</v>
      </c>
      <c r="K289" s="95">
        <f t="shared" si="21"/>
        <v>6.317230968298468</v>
      </c>
      <c r="L289" s="92">
        <v>9610201.25</v>
      </c>
      <c r="M289" s="93">
        <v>1116642</v>
      </c>
      <c r="N289" s="234">
        <f>IF(L289&lt;&gt;0,L289/M289,"")</f>
        <v>8.60634048334202</v>
      </c>
      <c r="O289" s="149"/>
    </row>
    <row r="290" spans="1:15" ht="15">
      <c r="A290" s="138">
        <v>287</v>
      </c>
      <c r="B290" s="235" t="s">
        <v>21</v>
      </c>
      <c r="C290" s="52">
        <v>40144</v>
      </c>
      <c r="D290" s="94" t="s">
        <v>129</v>
      </c>
      <c r="E290" s="257">
        <v>258</v>
      </c>
      <c r="F290" s="257">
        <v>27</v>
      </c>
      <c r="G290" s="257">
        <v>8</v>
      </c>
      <c r="H290" s="88">
        <v>33984.5</v>
      </c>
      <c r="I290" s="96">
        <v>5492</v>
      </c>
      <c r="J290" s="97">
        <f t="shared" si="20"/>
        <v>203.40740740740742</v>
      </c>
      <c r="K290" s="91">
        <f t="shared" si="21"/>
        <v>6.18800072833212</v>
      </c>
      <c r="L290" s="92">
        <v>9644185.75</v>
      </c>
      <c r="M290" s="98">
        <v>1122134</v>
      </c>
      <c r="N290" s="233">
        <f>IF(L290&lt;&gt;0,L290/M290,"")</f>
        <v>8.59450453332668</v>
      </c>
      <c r="O290" s="147"/>
    </row>
    <row r="291" spans="1:15" ht="15">
      <c r="A291" s="138">
        <v>288</v>
      </c>
      <c r="B291" s="229" t="s">
        <v>21</v>
      </c>
      <c r="C291" s="69">
        <v>40144</v>
      </c>
      <c r="D291" s="66" t="s">
        <v>129</v>
      </c>
      <c r="E291" s="255">
        <v>258</v>
      </c>
      <c r="F291" s="255">
        <v>13</v>
      </c>
      <c r="G291" s="255">
        <v>9</v>
      </c>
      <c r="H291" s="99">
        <v>9270</v>
      </c>
      <c r="I291" s="100">
        <v>2067</v>
      </c>
      <c r="J291" s="64">
        <f t="shared" si="20"/>
        <v>159</v>
      </c>
      <c r="K291" s="57">
        <f t="shared" si="21"/>
        <v>4.484760522496371</v>
      </c>
      <c r="L291" s="101">
        <v>9653455.75</v>
      </c>
      <c r="M291" s="128">
        <v>1124201</v>
      </c>
      <c r="N291" s="227">
        <f>+L291/M291</f>
        <v>8.586948196986127</v>
      </c>
      <c r="O291" s="149"/>
    </row>
    <row r="292" spans="1:15" ht="15">
      <c r="A292" s="138">
        <v>289</v>
      </c>
      <c r="B292" s="229" t="s">
        <v>21</v>
      </c>
      <c r="C292" s="69">
        <v>40144</v>
      </c>
      <c r="D292" s="60" t="s">
        <v>129</v>
      </c>
      <c r="E292" s="255">
        <v>258</v>
      </c>
      <c r="F292" s="255">
        <v>7</v>
      </c>
      <c r="G292" s="255">
        <v>9</v>
      </c>
      <c r="H292" s="99">
        <v>4980</v>
      </c>
      <c r="I292" s="100">
        <v>850</v>
      </c>
      <c r="J292" s="128">
        <f t="shared" si="20"/>
        <v>121.42857142857143</v>
      </c>
      <c r="K292" s="74">
        <f t="shared" si="21"/>
        <v>5.858823529411764</v>
      </c>
      <c r="L292" s="101">
        <v>9658435.75</v>
      </c>
      <c r="M292" s="128">
        <v>1125051</v>
      </c>
      <c r="N292" s="228">
        <f>L292/M292</f>
        <v>8.584887040676378</v>
      </c>
      <c r="O292" s="150"/>
    </row>
    <row r="293" spans="1:15" ht="15">
      <c r="A293" s="138">
        <v>290</v>
      </c>
      <c r="B293" s="229" t="s">
        <v>21</v>
      </c>
      <c r="C293" s="69">
        <v>40144</v>
      </c>
      <c r="D293" s="60" t="s">
        <v>129</v>
      </c>
      <c r="E293" s="255">
        <v>258</v>
      </c>
      <c r="F293" s="255">
        <v>5</v>
      </c>
      <c r="G293" s="255">
        <v>11</v>
      </c>
      <c r="H293" s="145">
        <v>1642</v>
      </c>
      <c r="I293" s="146">
        <v>180</v>
      </c>
      <c r="J293" s="128">
        <f>(I293/F293)</f>
        <v>36</v>
      </c>
      <c r="K293" s="74">
        <f>(J293/G293)</f>
        <v>3.272727272727273</v>
      </c>
      <c r="L293" s="101">
        <v>9660077.75</v>
      </c>
      <c r="M293" s="128">
        <v>1125231</v>
      </c>
      <c r="N293" s="230">
        <f>L293/M293</f>
        <v>8.584972996655798</v>
      </c>
      <c r="O293" s="181"/>
    </row>
    <row r="294" spans="1:15" ht="15">
      <c r="A294" s="138">
        <v>291</v>
      </c>
      <c r="B294" s="229" t="s">
        <v>21</v>
      </c>
      <c r="C294" s="69">
        <v>40144</v>
      </c>
      <c r="D294" s="60" t="s">
        <v>129</v>
      </c>
      <c r="E294" s="210">
        <v>258</v>
      </c>
      <c r="F294" s="210">
        <v>1</v>
      </c>
      <c r="G294" s="210">
        <v>13</v>
      </c>
      <c r="H294" s="171">
        <v>1190</v>
      </c>
      <c r="I294" s="172">
        <v>370</v>
      </c>
      <c r="J294" s="174">
        <f>I294/F294</f>
        <v>370</v>
      </c>
      <c r="K294" s="76">
        <f aca="true" t="shared" si="22" ref="K294:K302">H294/I294</f>
        <v>3.2162162162162162</v>
      </c>
      <c r="L294" s="75">
        <v>9661267.75</v>
      </c>
      <c r="M294" s="174">
        <v>1125601</v>
      </c>
      <c r="N294" s="230">
        <f>+L294/M294</f>
        <v>8.583208214989147</v>
      </c>
      <c r="O294" s="148">
        <v>1</v>
      </c>
    </row>
    <row r="295" spans="1:15" ht="15">
      <c r="A295" s="138">
        <v>292</v>
      </c>
      <c r="B295" s="229" t="s">
        <v>58</v>
      </c>
      <c r="C295" s="69">
        <v>39955</v>
      </c>
      <c r="D295" s="71" t="s">
        <v>152</v>
      </c>
      <c r="E295" s="255">
        <v>88</v>
      </c>
      <c r="F295" s="255">
        <v>1</v>
      </c>
      <c r="G295" s="255">
        <v>25</v>
      </c>
      <c r="H295" s="67">
        <v>1188</v>
      </c>
      <c r="I295" s="63">
        <v>297</v>
      </c>
      <c r="J295" s="64">
        <f>(I295/F295)</f>
        <v>297</v>
      </c>
      <c r="K295" s="57">
        <f t="shared" si="22"/>
        <v>4</v>
      </c>
      <c r="L295" s="68">
        <f>253985.25+197941+176827+129137.25+73306.5+36496.5+20735+12653+3137+3974+3108+6704.75+3312+1885+643+108556.75+31027+8660.5+1196.5+2137+5262+2140+4040+1780+1188</f>
        <v>1089833</v>
      </c>
      <c r="M295" s="65">
        <f>26929+21325+23241+17550+10624+6388+4049+2644+577+882+663+1354+764+460+116+14641+4967+986+117+181+1185+535+1010+445+297</f>
        <v>141930</v>
      </c>
      <c r="N295" s="227">
        <f>L295/M295</f>
        <v>7.678665539350384</v>
      </c>
      <c r="O295" s="147">
        <v>1</v>
      </c>
    </row>
    <row r="296" spans="1:15" ht="15">
      <c r="A296" s="138">
        <v>293</v>
      </c>
      <c r="B296" s="353" t="s">
        <v>58</v>
      </c>
      <c r="C296" s="169">
        <v>39955</v>
      </c>
      <c r="D296" s="60" t="s">
        <v>152</v>
      </c>
      <c r="E296" s="210">
        <v>88</v>
      </c>
      <c r="F296" s="210">
        <v>1</v>
      </c>
      <c r="G296" s="210">
        <v>26</v>
      </c>
      <c r="H296" s="171">
        <v>1780</v>
      </c>
      <c r="I296" s="172">
        <v>445</v>
      </c>
      <c r="J296" s="174">
        <f>I296/F296</f>
        <v>445</v>
      </c>
      <c r="K296" s="76">
        <f t="shared" si="22"/>
        <v>4</v>
      </c>
      <c r="L296" s="75">
        <f>253985.25+197941+176827+129137.25+73306.5+36496.5+20735+12653+3137+3974+3108+6704.75+3312+1885+643+108556.75+31027+8660.5+1196.5+2137+5262+2140+4040+1780+1188+1780</f>
        <v>1091613</v>
      </c>
      <c r="M296" s="174">
        <f>26929+21325+23241+17550+10624+6388+4049+2644+577+882+663+1354+764+460+116+14641+4967+986+117+181+1185+535+1010+445+297+445</f>
        <v>142375</v>
      </c>
      <c r="N296" s="230">
        <f>+L296/M296</f>
        <v>7.66716769095698</v>
      </c>
      <c r="O296" s="149">
        <v>1</v>
      </c>
    </row>
    <row r="297" spans="1:15" ht="15">
      <c r="A297" s="138">
        <v>294</v>
      </c>
      <c r="B297" s="229" t="s">
        <v>186</v>
      </c>
      <c r="C297" s="169">
        <v>39864</v>
      </c>
      <c r="D297" s="60" t="s">
        <v>152</v>
      </c>
      <c r="E297" s="210">
        <v>55</v>
      </c>
      <c r="F297" s="210">
        <v>1</v>
      </c>
      <c r="G297" s="210">
        <v>26</v>
      </c>
      <c r="H297" s="171">
        <v>1780</v>
      </c>
      <c r="I297" s="172">
        <v>445</v>
      </c>
      <c r="J297" s="174">
        <f>(I297/F297)</f>
        <v>445</v>
      </c>
      <c r="K297" s="76">
        <f t="shared" si="22"/>
        <v>4</v>
      </c>
      <c r="L297" s="75">
        <f>190777.5+154065+60826.5+20820+23589+29712+19396.5+16102+12940+11034+3005+981+1140+40+98.25+284+1000+300+220+1211.5+155+156+63+1780+5228+1780</f>
        <v>556704.25</v>
      </c>
      <c r="M297" s="174">
        <f>20518+17650+7809+3283+4115+5826+3911+3770+2981+2505+653+199+194+8+18+60+100+75+44+292+22+22+19+445+1307+445</f>
        <v>76271</v>
      </c>
      <c r="N297" s="230">
        <f>L297/M297</f>
        <v>7.299029119848959</v>
      </c>
      <c r="O297" s="149">
        <v>1</v>
      </c>
    </row>
    <row r="298" spans="1:15" ht="15">
      <c r="A298" s="138">
        <v>295</v>
      </c>
      <c r="B298" s="229" t="s">
        <v>14</v>
      </c>
      <c r="C298" s="69">
        <v>39941</v>
      </c>
      <c r="D298" s="60" t="s">
        <v>152</v>
      </c>
      <c r="E298" s="255">
        <v>26</v>
      </c>
      <c r="F298" s="255">
        <v>1</v>
      </c>
      <c r="G298" s="255">
        <v>22</v>
      </c>
      <c r="H298" s="167">
        <v>3800</v>
      </c>
      <c r="I298" s="168">
        <v>950</v>
      </c>
      <c r="J298" s="174">
        <f>I298/F298</f>
        <v>950</v>
      </c>
      <c r="K298" s="76">
        <f t="shared" si="22"/>
        <v>4</v>
      </c>
      <c r="L298" s="75">
        <f>36482.75+16583.5+5922.75+3249+4769+4925+4199.5+5525+366+924+414+2215+2444+33+1987+838+1440+537+604+3792+2376+1780+3800</f>
        <v>105206.5</v>
      </c>
      <c r="M298" s="174">
        <f>4495+1934+744+517+1003+1215+722+968+65+193+83+369+384+5+336+159+238+83+151+948+594+445+950</f>
        <v>16601</v>
      </c>
      <c r="N298" s="230">
        <f>+L298/M298</f>
        <v>6.337359195229203</v>
      </c>
      <c r="O298" s="150">
        <v>1</v>
      </c>
    </row>
    <row r="299" spans="1:15" ht="15">
      <c r="A299" s="138">
        <v>296</v>
      </c>
      <c r="B299" s="229" t="s">
        <v>14</v>
      </c>
      <c r="C299" s="169">
        <v>39941</v>
      </c>
      <c r="D299" s="60" t="s">
        <v>152</v>
      </c>
      <c r="E299" s="210">
        <v>26</v>
      </c>
      <c r="F299" s="210">
        <v>1</v>
      </c>
      <c r="G299" s="210">
        <v>23</v>
      </c>
      <c r="H299" s="171">
        <v>2376</v>
      </c>
      <c r="I299" s="172">
        <v>594</v>
      </c>
      <c r="J299" s="174">
        <f>(I299/F299)</f>
        <v>594</v>
      </c>
      <c r="K299" s="76">
        <f t="shared" si="22"/>
        <v>4</v>
      </c>
      <c r="L299" s="75">
        <f>36482.75+16583.5+5922.75+3249+4769+4925+4199.5+5525+366+924+414+2215+2444+33+1987+838+1440+537+604+3792+2376+1780+3800+2376</f>
        <v>107582.5</v>
      </c>
      <c r="M299" s="174">
        <f>4495+1934+744+517+1003+1215+722+968+65+193+83+369+384+5+336+159+238+83+151+948+594+445+950+594</f>
        <v>17195</v>
      </c>
      <c r="N299" s="230">
        <f>+L299/M299</f>
        <v>6.256615295143937</v>
      </c>
      <c r="O299" s="147"/>
    </row>
    <row r="300" spans="1:15" ht="15">
      <c r="A300" s="138">
        <v>297</v>
      </c>
      <c r="B300" s="229" t="s">
        <v>14</v>
      </c>
      <c r="C300" s="69">
        <v>39941</v>
      </c>
      <c r="D300" s="120" t="s">
        <v>152</v>
      </c>
      <c r="E300" s="255">
        <v>26</v>
      </c>
      <c r="F300" s="255">
        <v>1</v>
      </c>
      <c r="G300" s="255">
        <v>21</v>
      </c>
      <c r="H300" s="54">
        <v>1780</v>
      </c>
      <c r="I300" s="55">
        <v>445</v>
      </c>
      <c r="J300" s="56">
        <f>(I300/F300)</f>
        <v>445</v>
      </c>
      <c r="K300" s="57">
        <f t="shared" si="22"/>
        <v>4</v>
      </c>
      <c r="L300" s="58">
        <f>36482.75+16583.5+5922.75+3249+4769+4925+4199.5+5525+366+924+414+2215+2444+33+1987+838+1440+537+604+3792+2376+1780</f>
        <v>101406.5</v>
      </c>
      <c r="M300" s="59">
        <f>4495+1934+744+517+1003+1215+722+968+65+193+83+369+384+5+336+159+238+83+151+948+594+445</f>
        <v>15651</v>
      </c>
      <c r="N300" s="227">
        <f>L300/M300</f>
        <v>6.479234553702639</v>
      </c>
      <c r="O300" s="147"/>
    </row>
    <row r="301" spans="1:15" ht="15">
      <c r="A301" s="138">
        <v>298</v>
      </c>
      <c r="B301" s="229" t="s">
        <v>160</v>
      </c>
      <c r="C301" s="169">
        <v>39976</v>
      </c>
      <c r="D301" s="60" t="s">
        <v>152</v>
      </c>
      <c r="E301" s="210">
        <v>2</v>
      </c>
      <c r="F301" s="210">
        <v>1</v>
      </c>
      <c r="G301" s="210">
        <v>16</v>
      </c>
      <c r="H301" s="171">
        <v>1780</v>
      </c>
      <c r="I301" s="172">
        <v>445</v>
      </c>
      <c r="J301" s="174">
        <f>(I301/F301)</f>
        <v>445</v>
      </c>
      <c r="K301" s="76">
        <f t="shared" si="22"/>
        <v>4</v>
      </c>
      <c r="L301" s="75">
        <f>4047+2102+1183+288+2185+769.5+1362.5+929+117+25+266+133+952+1424+1780+1780</f>
        <v>19343</v>
      </c>
      <c r="M301" s="174">
        <f>502+366+177+30+537+130+151+131+15+2+54+19+238+356+445+445</f>
        <v>3598</v>
      </c>
      <c r="N301" s="230">
        <f>+L301/M301</f>
        <v>5.376042245692052</v>
      </c>
      <c r="O301" s="149"/>
    </row>
    <row r="302" spans="1:15" ht="15">
      <c r="A302" s="138">
        <v>299</v>
      </c>
      <c r="B302" s="229" t="s">
        <v>160</v>
      </c>
      <c r="C302" s="169">
        <v>39976</v>
      </c>
      <c r="D302" s="60" t="s">
        <v>152</v>
      </c>
      <c r="E302" s="210">
        <v>2</v>
      </c>
      <c r="F302" s="210">
        <v>1</v>
      </c>
      <c r="G302" s="210">
        <v>15</v>
      </c>
      <c r="H302" s="171">
        <v>1780</v>
      </c>
      <c r="I302" s="172">
        <v>445</v>
      </c>
      <c r="J302" s="174">
        <f>(I302/F302)</f>
        <v>445</v>
      </c>
      <c r="K302" s="76">
        <f t="shared" si="22"/>
        <v>4</v>
      </c>
      <c r="L302" s="75">
        <f>4047+2102+1183+288+2185+769.5+1362.5+929+117+25+266+133+952+1424+1780</f>
        <v>17563</v>
      </c>
      <c r="M302" s="174">
        <f>502+366+177+30+537+130+151+131+15+2+54+19+238+356+445</f>
        <v>3153</v>
      </c>
      <c r="N302" s="230">
        <f>L302/M302</f>
        <v>5.570250555026958</v>
      </c>
      <c r="O302" s="149"/>
    </row>
    <row r="303" spans="1:15" ht="15">
      <c r="A303" s="138">
        <v>300</v>
      </c>
      <c r="B303" s="229" t="s">
        <v>160</v>
      </c>
      <c r="C303" s="69">
        <v>39976</v>
      </c>
      <c r="D303" s="60" t="s">
        <v>152</v>
      </c>
      <c r="E303" s="255">
        <v>2</v>
      </c>
      <c r="F303" s="255">
        <v>1</v>
      </c>
      <c r="G303" s="255">
        <v>14</v>
      </c>
      <c r="H303" s="145">
        <v>1424</v>
      </c>
      <c r="I303" s="146">
        <v>356</v>
      </c>
      <c r="J303" s="128">
        <f>I303/F303</f>
        <v>356</v>
      </c>
      <c r="K303" s="74">
        <f>+H303/I303</f>
        <v>4</v>
      </c>
      <c r="L303" s="101">
        <f>4047+2102+1183+288+2185+769.5+1362.5+929+117+25+266+133+952+1424</f>
        <v>15783</v>
      </c>
      <c r="M303" s="128">
        <f>502+366+177+30+537+130+151+131+15+2+54+19+238+356</f>
        <v>2708</v>
      </c>
      <c r="N303" s="230">
        <f>L303/M303</f>
        <v>5.828286558345643</v>
      </c>
      <c r="O303" s="178"/>
    </row>
    <row r="304" spans="1:15" ht="15">
      <c r="A304" s="138">
        <v>301</v>
      </c>
      <c r="B304" s="353" t="s">
        <v>160</v>
      </c>
      <c r="C304" s="169">
        <v>39976</v>
      </c>
      <c r="D304" s="60" t="s">
        <v>152</v>
      </c>
      <c r="E304" s="210">
        <v>2</v>
      </c>
      <c r="F304" s="210">
        <v>1</v>
      </c>
      <c r="G304" s="210">
        <v>17</v>
      </c>
      <c r="H304" s="171">
        <v>66</v>
      </c>
      <c r="I304" s="172">
        <v>22</v>
      </c>
      <c r="J304" s="174">
        <f>I304/F304</f>
        <v>22</v>
      </c>
      <c r="K304" s="76">
        <f>H304/I304</f>
        <v>3</v>
      </c>
      <c r="L304" s="75">
        <f>4047+2102+1183+288+2185+769.5+1362.5+929+117+25+266+133+952+1424+1780+1780+66</f>
        <v>19409</v>
      </c>
      <c r="M304" s="174">
        <f>502+366+177+30+537+130+151+131+15+2+54+19+238+356+445+445+22</f>
        <v>3620</v>
      </c>
      <c r="N304" s="230">
        <f>+L304/M304</f>
        <v>5.361602209944752</v>
      </c>
      <c r="O304" s="149"/>
    </row>
    <row r="305" spans="1:15" ht="15">
      <c r="A305" s="138">
        <v>302</v>
      </c>
      <c r="B305" s="229" t="s">
        <v>109</v>
      </c>
      <c r="C305" s="69">
        <v>39829</v>
      </c>
      <c r="D305" s="110" t="s">
        <v>152</v>
      </c>
      <c r="E305" s="255">
        <v>65</v>
      </c>
      <c r="F305" s="255">
        <v>1</v>
      </c>
      <c r="G305" s="255">
        <v>34</v>
      </c>
      <c r="H305" s="54">
        <v>1780</v>
      </c>
      <c r="I305" s="55">
        <v>445</v>
      </c>
      <c r="J305" s="56">
        <f>(I305/F305)</f>
        <v>445</v>
      </c>
      <c r="K305" s="61">
        <f>H305/I305</f>
        <v>4</v>
      </c>
      <c r="L305" s="58">
        <f>237023+244842+160469+47021+21536+18820+18020.5+26440+10695+9162.5+9870+6322+1787+2032+757+348+420.5+158+4053+339.5+3161.5+1729.5+752+1417+1780+64+1208+952+552+139.5+544+40+8072+1780</f>
        <v>842307.5</v>
      </c>
      <c r="M305" s="59">
        <f>25678+28966+21290+6590+4890+3520+3479+4786+1907+1716+2388+1533+368+541+126+70+67+48+991+81+743+414+155+169+445+16+302+238+117+23+48+12+2018+445</f>
        <v>114180</v>
      </c>
      <c r="N305" s="226">
        <f>L305/M305</f>
        <v>7.377014363286039</v>
      </c>
      <c r="O305" s="148"/>
    </row>
    <row r="306" spans="1:15" ht="15">
      <c r="A306" s="138">
        <v>303</v>
      </c>
      <c r="B306" s="229" t="s">
        <v>109</v>
      </c>
      <c r="C306" s="69">
        <v>39829</v>
      </c>
      <c r="D306" s="60" t="s">
        <v>152</v>
      </c>
      <c r="E306" s="255">
        <v>65</v>
      </c>
      <c r="F306" s="255">
        <v>1</v>
      </c>
      <c r="G306" s="255">
        <v>36</v>
      </c>
      <c r="H306" s="145">
        <v>1780</v>
      </c>
      <c r="I306" s="146">
        <v>445</v>
      </c>
      <c r="J306" s="128">
        <f>(I306/F306)</f>
        <v>445</v>
      </c>
      <c r="K306" s="74">
        <f>(J306/G306)</f>
        <v>12.36111111111111</v>
      </c>
      <c r="L306" s="101">
        <f>237023+244842+160469+47021+21536+18820+18020.5+26440+10695+9162.5+9870+6322+1787+2032+757+348+420.5+158+4053+339.5+3161.5+1729.5+752+1417+1780+64+1208+952+552+139.5+544+40+8072+1780+1424+1780</f>
        <v>845511.5</v>
      </c>
      <c r="M306" s="128">
        <f>25678+28966+21290+6590+4890+3520+3479+4786+1907+1716+2388+1533+368+541+126+70+67+48+991+81+743+414+155+169+445+16+302+238+117+23+48+12+2018+445+356+445</f>
        <v>114981</v>
      </c>
      <c r="N306" s="230">
        <f>L306/M306</f>
        <v>7.35348883728616</v>
      </c>
      <c r="O306" s="149"/>
    </row>
    <row r="307" spans="1:15" ht="15">
      <c r="A307" s="138">
        <v>304</v>
      </c>
      <c r="B307" s="231" t="s">
        <v>109</v>
      </c>
      <c r="C307" s="85">
        <v>39829</v>
      </c>
      <c r="D307" s="86" t="s">
        <v>152</v>
      </c>
      <c r="E307" s="256">
        <v>65</v>
      </c>
      <c r="F307" s="256">
        <v>1</v>
      </c>
      <c r="G307" s="256">
        <v>35</v>
      </c>
      <c r="H307" s="67">
        <v>1424</v>
      </c>
      <c r="I307" s="63">
        <v>356</v>
      </c>
      <c r="J307" s="64">
        <f>(I307/F307)</f>
        <v>356</v>
      </c>
      <c r="K307" s="74">
        <f>+H307/I307</f>
        <v>4</v>
      </c>
      <c r="L307" s="68">
        <f>237023+244842+160469+47021+21536+18820+18020.5+26440+10695+9162.5+9870+6322+1787+2032+757+348+420.5+158+4053+339.5+3161.5+1729.5+752+1417+1780+64+1208+952+552+139.5+544+40+8072+1780+1424</f>
        <v>843731.5</v>
      </c>
      <c r="M307" s="65">
        <f>25678+28966+21290+6590+4890+3520+3479+4786+1907+1716+2388+1533+368+541+126+70+67+48+991+81+743+414+155+169+445+16+302+238+117+23+48+12+2018+445+356</f>
        <v>114536</v>
      </c>
      <c r="N307" s="232">
        <f>L307/M307</f>
        <v>7.366517950687993</v>
      </c>
      <c r="O307" s="147"/>
    </row>
    <row r="308" spans="1:15" ht="15">
      <c r="A308" s="138">
        <v>305</v>
      </c>
      <c r="B308" s="229" t="s">
        <v>109</v>
      </c>
      <c r="C308" s="169">
        <v>39829</v>
      </c>
      <c r="D308" s="60" t="s">
        <v>152</v>
      </c>
      <c r="E308" s="210">
        <v>65</v>
      </c>
      <c r="F308" s="210">
        <v>1</v>
      </c>
      <c r="G308" s="210">
        <v>37</v>
      </c>
      <c r="H308" s="171">
        <v>440</v>
      </c>
      <c r="I308" s="172">
        <v>55</v>
      </c>
      <c r="J308" s="174">
        <f>(I308/F308)</f>
        <v>55</v>
      </c>
      <c r="K308" s="76">
        <f>H308/I308</f>
        <v>8</v>
      </c>
      <c r="L308" s="75">
        <f>237023+244842+160469+47021+21536+18820+18020.5+26440+10695+9162.5+9870+6322+1787+2032+757+348+420.5+158+4053+339.5+3161.5+1729.5+752+1417+1780+64+1208+952+552+139.5+544+40+8072+1780+1424+1780+440</f>
        <v>845951.5</v>
      </c>
      <c r="M308" s="174">
        <f>25678+28966+21290+6590+4890+3520+3479+4786+1907+1716+2388+1533+368+541+126+70+67+48+991+81+743+414+155+169+445+16+302+238+117+23+48+12+2018+445+356+445+55</f>
        <v>115036</v>
      </c>
      <c r="N308" s="230">
        <f>L308/M308</f>
        <v>7.353797941513961</v>
      </c>
      <c r="O308" s="149"/>
    </row>
    <row r="309" spans="1:15" ht="15">
      <c r="A309" s="138">
        <v>306</v>
      </c>
      <c r="B309" s="229" t="s">
        <v>106</v>
      </c>
      <c r="C309" s="69">
        <v>40172</v>
      </c>
      <c r="D309" s="70" t="s">
        <v>73</v>
      </c>
      <c r="E309" s="255">
        <v>10</v>
      </c>
      <c r="F309" s="255">
        <v>9</v>
      </c>
      <c r="G309" s="255">
        <v>3</v>
      </c>
      <c r="H309" s="72">
        <v>3129.5</v>
      </c>
      <c r="I309" s="73">
        <v>431</v>
      </c>
      <c r="J309" s="174">
        <f>I309/F309</f>
        <v>47.888888888888886</v>
      </c>
      <c r="K309" s="76">
        <f>+H309/I309</f>
        <v>7.261020881670533</v>
      </c>
      <c r="L309" s="75">
        <f>9917+0.75+3107+3129+0.5</f>
        <v>16154.25</v>
      </c>
      <c r="M309" s="174">
        <f>987+335+431</f>
        <v>1753</v>
      </c>
      <c r="N309" s="230">
        <f>+L309/M309</f>
        <v>9.215202509982886</v>
      </c>
      <c r="O309" s="150"/>
    </row>
    <row r="310" spans="1:15" ht="15">
      <c r="A310" s="138">
        <v>307</v>
      </c>
      <c r="B310" s="229" t="s">
        <v>28</v>
      </c>
      <c r="C310" s="69">
        <v>40172</v>
      </c>
      <c r="D310" s="71" t="s">
        <v>73</v>
      </c>
      <c r="E310" s="255">
        <v>10</v>
      </c>
      <c r="F310" s="255">
        <v>9</v>
      </c>
      <c r="G310" s="255">
        <v>2</v>
      </c>
      <c r="H310" s="72">
        <v>3107</v>
      </c>
      <c r="I310" s="73">
        <v>335</v>
      </c>
      <c r="J310" s="83">
        <f>IF(H310&lt;&gt;0,I310/F310,"")</f>
        <v>37.22222222222222</v>
      </c>
      <c r="K310" s="80">
        <f>IF(H310&lt;&gt;0,H310/I310,"")</f>
        <v>9.274626865671642</v>
      </c>
      <c r="L310" s="75">
        <f>9917+0.75+3107</f>
        <v>13024.75</v>
      </c>
      <c r="M310" s="174">
        <f>987+335</f>
        <v>1322</v>
      </c>
      <c r="N310" s="233">
        <f>IF(L310&lt;&gt;0,L310/M310,"")</f>
        <v>9.85230711043873</v>
      </c>
      <c r="O310" s="149"/>
    </row>
    <row r="311" spans="1:15" ht="15">
      <c r="A311" s="138">
        <v>308</v>
      </c>
      <c r="B311" s="229" t="s">
        <v>28</v>
      </c>
      <c r="C311" s="69">
        <v>40172</v>
      </c>
      <c r="D311" s="70" t="s">
        <v>73</v>
      </c>
      <c r="E311" s="255">
        <v>10</v>
      </c>
      <c r="F311" s="255">
        <v>5</v>
      </c>
      <c r="G311" s="255">
        <v>4</v>
      </c>
      <c r="H311" s="72">
        <v>2355</v>
      </c>
      <c r="I311" s="100">
        <v>415</v>
      </c>
      <c r="J311" s="79">
        <f>+I311/F311</f>
        <v>83</v>
      </c>
      <c r="K311" s="80">
        <f>+H311/I311</f>
        <v>5.674698795180723</v>
      </c>
      <c r="L311" s="75">
        <f>9917+0.75+3107+3129+0.5+2355</f>
        <v>18509.25</v>
      </c>
      <c r="M311" s="128">
        <f>987+335+431+415</f>
        <v>2168</v>
      </c>
      <c r="N311" s="233">
        <f>+L311/M311</f>
        <v>8.537476937269373</v>
      </c>
      <c r="O311" s="147"/>
    </row>
    <row r="312" spans="1:15" ht="15">
      <c r="A312" s="138">
        <v>309</v>
      </c>
      <c r="B312" s="229" t="s">
        <v>28</v>
      </c>
      <c r="C312" s="69">
        <v>40172</v>
      </c>
      <c r="D312" s="66" t="s">
        <v>73</v>
      </c>
      <c r="E312" s="255">
        <v>10</v>
      </c>
      <c r="F312" s="255">
        <v>4</v>
      </c>
      <c r="G312" s="255">
        <v>5</v>
      </c>
      <c r="H312" s="99">
        <v>1019</v>
      </c>
      <c r="I312" s="100">
        <v>152</v>
      </c>
      <c r="J312" s="64">
        <f>I312/F312</f>
        <v>38</v>
      </c>
      <c r="K312" s="57">
        <f>H312/I312</f>
        <v>6.703947368421052</v>
      </c>
      <c r="L312" s="101">
        <f>9917+0.75+3107+3129+0.5+2355+1019</f>
        <v>19528.25</v>
      </c>
      <c r="M312" s="128">
        <f>987+335+431+415+152</f>
        <v>2320</v>
      </c>
      <c r="N312" s="227">
        <f>+L312/M312</f>
        <v>8.417349137931035</v>
      </c>
      <c r="O312" s="180"/>
    </row>
    <row r="313" spans="1:15" ht="15">
      <c r="A313" s="138">
        <v>310</v>
      </c>
      <c r="B313" s="229" t="s">
        <v>28</v>
      </c>
      <c r="C313" s="69">
        <v>40172</v>
      </c>
      <c r="D313" s="60" t="s">
        <v>73</v>
      </c>
      <c r="E313" s="255">
        <v>10</v>
      </c>
      <c r="F313" s="255">
        <v>2</v>
      </c>
      <c r="G313" s="255">
        <v>5</v>
      </c>
      <c r="H313" s="99">
        <v>371</v>
      </c>
      <c r="I313" s="100">
        <v>63</v>
      </c>
      <c r="J313" s="128">
        <f>I313/F313</f>
        <v>31.5</v>
      </c>
      <c r="K313" s="74">
        <f>H313/I313</f>
        <v>5.888888888888889</v>
      </c>
      <c r="L313" s="101">
        <f>9917+0.75+3107+3129+0.5+2355+1019+371</f>
        <v>19899.25</v>
      </c>
      <c r="M313" s="128">
        <f>987+335+431+415+152+63</f>
        <v>2383</v>
      </c>
      <c r="N313" s="228">
        <f>L313/M313</f>
        <v>8.350503566932439</v>
      </c>
      <c r="O313" s="150"/>
    </row>
    <row r="314" spans="1:15" ht="15">
      <c r="A314" s="138">
        <v>311</v>
      </c>
      <c r="B314" s="229" t="s">
        <v>128</v>
      </c>
      <c r="C314" s="69">
        <v>39745</v>
      </c>
      <c r="D314" s="71" t="s">
        <v>152</v>
      </c>
      <c r="E314" s="255">
        <v>7</v>
      </c>
      <c r="F314" s="255">
        <v>1</v>
      </c>
      <c r="G314" s="255">
        <v>17</v>
      </c>
      <c r="H314" s="111">
        <v>87</v>
      </c>
      <c r="I314" s="115">
        <v>29</v>
      </c>
      <c r="J314" s="116">
        <f>(I314/F314)</f>
        <v>29</v>
      </c>
      <c r="K314" s="119">
        <f>H314/I314</f>
        <v>3</v>
      </c>
      <c r="L314" s="113">
        <f>31758.5+8225.5+1958+2180+395+7254.5+494+2046+429+128+135+1066+1003+620+20+120+87</f>
        <v>57919.5</v>
      </c>
      <c r="M314" s="117">
        <f>2732+851+288+247+46+761+52+333+72+22+23+258+223+133+2+12+29</f>
        <v>6084</v>
      </c>
      <c r="N314" s="241">
        <f>L314/M314</f>
        <v>9.519970414201184</v>
      </c>
      <c r="O314" s="181"/>
    </row>
    <row r="315" spans="1:15" ht="15">
      <c r="A315" s="138">
        <v>312</v>
      </c>
      <c r="B315" s="229" t="s">
        <v>128</v>
      </c>
      <c r="C315" s="69">
        <v>39745</v>
      </c>
      <c r="D315" s="70" t="s">
        <v>152</v>
      </c>
      <c r="E315" s="255">
        <v>7</v>
      </c>
      <c r="F315" s="255">
        <v>1</v>
      </c>
      <c r="G315" s="255">
        <v>18</v>
      </c>
      <c r="H315" s="111">
        <v>45</v>
      </c>
      <c r="I315" s="115">
        <v>15</v>
      </c>
      <c r="J315" s="116">
        <f>(I315/F315)</f>
        <v>15</v>
      </c>
      <c r="K315" s="122">
        <f>H315/I315</f>
        <v>3</v>
      </c>
      <c r="L315" s="113">
        <f>31758.5+8225.5+1958+2180+395+7254.5+494+2046+429+128+135+1066+1003+620+20+120+87+45</f>
        <v>57964.5</v>
      </c>
      <c r="M315" s="117">
        <f>2732+851+288+247+46+761+52+333+72+22+23+258+223+133+2+12+29+15</f>
        <v>6099</v>
      </c>
      <c r="N315" s="242">
        <f>L315/M315</f>
        <v>9.503935071323168</v>
      </c>
      <c r="O315" s="181">
        <v>1</v>
      </c>
    </row>
    <row r="316" spans="1:15" ht="15">
      <c r="A316" s="138">
        <v>313</v>
      </c>
      <c r="B316" s="229" t="s">
        <v>64</v>
      </c>
      <c r="C316" s="69">
        <v>40074</v>
      </c>
      <c r="D316" s="71" t="s">
        <v>152</v>
      </c>
      <c r="E316" s="255">
        <v>7</v>
      </c>
      <c r="F316" s="255">
        <v>1</v>
      </c>
      <c r="G316" s="255">
        <v>11</v>
      </c>
      <c r="H316" s="67">
        <v>136</v>
      </c>
      <c r="I316" s="63">
        <v>34</v>
      </c>
      <c r="J316" s="64">
        <f>(I316/F316)</f>
        <v>34</v>
      </c>
      <c r="K316" s="57">
        <f>H316/I316</f>
        <v>4</v>
      </c>
      <c r="L316" s="68">
        <f>24901+4873+3754+4238+1794.5+1565+1393.5+1381.5+1482+240+136</f>
        <v>45758.5</v>
      </c>
      <c r="M316" s="65">
        <f>2240+626+482+732+293+342+244+327+247+37+34</f>
        <v>5604</v>
      </c>
      <c r="N316" s="227">
        <f>L316/M316</f>
        <v>8.165328336902213</v>
      </c>
      <c r="O316" s="182"/>
    </row>
    <row r="317" spans="1:15" ht="15">
      <c r="A317" s="138">
        <v>314</v>
      </c>
      <c r="B317" s="229" t="s">
        <v>60</v>
      </c>
      <c r="C317" s="69">
        <v>40004</v>
      </c>
      <c r="D317" s="109" t="s">
        <v>151</v>
      </c>
      <c r="E317" s="255">
        <v>68</v>
      </c>
      <c r="F317" s="255">
        <v>1</v>
      </c>
      <c r="G317" s="255">
        <v>26</v>
      </c>
      <c r="H317" s="99">
        <v>609</v>
      </c>
      <c r="I317" s="100">
        <v>280</v>
      </c>
      <c r="J317" s="128">
        <f aca="true" t="shared" si="23" ref="J317:J327">I317/F317</f>
        <v>280</v>
      </c>
      <c r="K317" s="74">
        <f>+H317/I317</f>
        <v>2.175</v>
      </c>
      <c r="L317" s="101">
        <v>1217628</v>
      </c>
      <c r="M317" s="128">
        <v>132046</v>
      </c>
      <c r="N317" s="228">
        <f aca="true" t="shared" si="24" ref="N317:N324">+L317/M317</f>
        <v>9.221241082653014</v>
      </c>
      <c r="O317" s="149">
        <v>1</v>
      </c>
    </row>
    <row r="318" spans="1:15" ht="15">
      <c r="A318" s="138">
        <v>315</v>
      </c>
      <c r="B318" s="229" t="s">
        <v>60</v>
      </c>
      <c r="C318" s="69">
        <v>40004</v>
      </c>
      <c r="D318" s="60" t="s">
        <v>151</v>
      </c>
      <c r="E318" s="255">
        <v>68</v>
      </c>
      <c r="F318" s="255">
        <v>1</v>
      </c>
      <c r="G318" s="255">
        <v>30</v>
      </c>
      <c r="H318" s="167">
        <v>609</v>
      </c>
      <c r="I318" s="168">
        <v>280</v>
      </c>
      <c r="J318" s="174">
        <f t="shared" si="23"/>
        <v>280</v>
      </c>
      <c r="K318" s="76">
        <f aca="true" t="shared" si="25" ref="K318:K324">H318/I318</f>
        <v>2.175</v>
      </c>
      <c r="L318" s="75">
        <v>1218237</v>
      </c>
      <c r="M318" s="174">
        <v>132326</v>
      </c>
      <c r="N318" s="230">
        <f t="shared" si="24"/>
        <v>9.206331333222495</v>
      </c>
      <c r="O318" s="177"/>
    </row>
    <row r="319" spans="1:15" ht="15">
      <c r="A319" s="138">
        <v>316</v>
      </c>
      <c r="B319" s="225" t="s">
        <v>61</v>
      </c>
      <c r="C319" s="52">
        <v>39962</v>
      </c>
      <c r="D319" s="66" t="s">
        <v>127</v>
      </c>
      <c r="E319" s="254">
        <v>72</v>
      </c>
      <c r="F319" s="254">
        <v>1</v>
      </c>
      <c r="G319" s="254">
        <v>23</v>
      </c>
      <c r="H319" s="67">
        <v>516</v>
      </c>
      <c r="I319" s="63">
        <v>158</v>
      </c>
      <c r="J319" s="64">
        <f t="shared" si="23"/>
        <v>158</v>
      </c>
      <c r="K319" s="57">
        <f t="shared" si="25"/>
        <v>3.2658227848101267</v>
      </c>
      <c r="L319" s="68">
        <v>276947</v>
      </c>
      <c r="M319" s="65">
        <v>37748</v>
      </c>
      <c r="N319" s="227">
        <f t="shared" si="24"/>
        <v>7.336733071950832</v>
      </c>
      <c r="O319" s="181"/>
    </row>
    <row r="320" spans="1:15" ht="15">
      <c r="A320" s="138">
        <v>317</v>
      </c>
      <c r="B320" s="225" t="s">
        <v>82</v>
      </c>
      <c r="C320" s="52">
        <v>40158</v>
      </c>
      <c r="D320" s="60" t="s">
        <v>150</v>
      </c>
      <c r="E320" s="254">
        <v>141</v>
      </c>
      <c r="F320" s="254">
        <v>34</v>
      </c>
      <c r="G320" s="254">
        <v>5</v>
      </c>
      <c r="H320" s="54">
        <v>32443</v>
      </c>
      <c r="I320" s="55">
        <v>5335</v>
      </c>
      <c r="J320" s="56">
        <f t="shared" si="23"/>
        <v>156.91176470588235</v>
      </c>
      <c r="K320" s="61">
        <f t="shared" si="25"/>
        <v>6.08116213683224</v>
      </c>
      <c r="L320" s="58">
        <f>1607914+23244+32443</f>
        <v>1663601</v>
      </c>
      <c r="M320" s="59">
        <f>183968+3818+5335</f>
        <v>193121</v>
      </c>
      <c r="N320" s="226">
        <f t="shared" si="24"/>
        <v>8.614293629382615</v>
      </c>
      <c r="O320" s="149">
        <v>1</v>
      </c>
    </row>
    <row r="321" spans="1:15" ht="15">
      <c r="A321" s="138">
        <v>318</v>
      </c>
      <c r="B321" s="225" t="s">
        <v>82</v>
      </c>
      <c r="C321" s="52">
        <v>40158</v>
      </c>
      <c r="D321" s="62" t="s">
        <v>150</v>
      </c>
      <c r="E321" s="254">
        <v>141</v>
      </c>
      <c r="F321" s="254">
        <v>21</v>
      </c>
      <c r="G321" s="254">
        <v>6</v>
      </c>
      <c r="H321" s="54">
        <v>25994</v>
      </c>
      <c r="I321" s="63">
        <v>4998</v>
      </c>
      <c r="J321" s="64">
        <f t="shared" si="23"/>
        <v>238</v>
      </c>
      <c r="K321" s="57">
        <f t="shared" si="25"/>
        <v>5.200880352140857</v>
      </c>
      <c r="L321" s="58">
        <f>1607914+23244+32443+25994</f>
        <v>1689595</v>
      </c>
      <c r="M321" s="65">
        <f>183968+3818+5335+4998</f>
        <v>198119</v>
      </c>
      <c r="N321" s="227">
        <f t="shared" si="24"/>
        <v>8.528182556948098</v>
      </c>
      <c r="O321" s="149">
        <v>1</v>
      </c>
    </row>
    <row r="322" spans="1:15" ht="15">
      <c r="A322" s="138">
        <v>319</v>
      </c>
      <c r="B322" s="225" t="s">
        <v>82</v>
      </c>
      <c r="C322" s="52">
        <v>40158</v>
      </c>
      <c r="D322" s="53" t="s">
        <v>150</v>
      </c>
      <c r="E322" s="254">
        <v>141</v>
      </c>
      <c r="F322" s="254">
        <v>27</v>
      </c>
      <c r="G322" s="254">
        <v>4</v>
      </c>
      <c r="H322" s="54">
        <v>23244</v>
      </c>
      <c r="I322" s="55">
        <v>3818</v>
      </c>
      <c r="J322" s="56">
        <f t="shared" si="23"/>
        <v>141.40740740740742</v>
      </c>
      <c r="K322" s="57">
        <f t="shared" si="25"/>
        <v>6.088004190675746</v>
      </c>
      <c r="L322" s="58">
        <f>1607914+23244</f>
        <v>1631158</v>
      </c>
      <c r="M322" s="59">
        <f>183968+3818</f>
        <v>187786</v>
      </c>
      <c r="N322" s="227">
        <f t="shared" si="24"/>
        <v>8.686259891578713</v>
      </c>
      <c r="O322" s="147">
        <v>1</v>
      </c>
    </row>
    <row r="323" spans="1:15" ht="15">
      <c r="A323" s="138">
        <v>320</v>
      </c>
      <c r="B323" s="225" t="s">
        <v>82</v>
      </c>
      <c r="C323" s="52">
        <v>40158</v>
      </c>
      <c r="D323" s="66" t="s">
        <v>150</v>
      </c>
      <c r="E323" s="254">
        <v>141</v>
      </c>
      <c r="F323" s="254">
        <v>8</v>
      </c>
      <c r="G323" s="254">
        <v>7</v>
      </c>
      <c r="H323" s="67">
        <v>8150</v>
      </c>
      <c r="I323" s="63">
        <v>1502</v>
      </c>
      <c r="J323" s="64">
        <f t="shared" si="23"/>
        <v>187.75</v>
      </c>
      <c r="K323" s="57">
        <f t="shared" si="25"/>
        <v>5.426098535286285</v>
      </c>
      <c r="L323" s="68">
        <f>1607914+23244+32443+25994+8150</f>
        <v>1697745</v>
      </c>
      <c r="M323" s="65">
        <f>183968+3818+5335+4998+1502</f>
        <v>199621</v>
      </c>
      <c r="N323" s="227">
        <f t="shared" si="24"/>
        <v>8.504841674974076</v>
      </c>
      <c r="O323" s="150">
        <v>1</v>
      </c>
    </row>
    <row r="324" spans="1:15" ht="15">
      <c r="A324" s="138">
        <v>321</v>
      </c>
      <c r="B324" s="225" t="s">
        <v>82</v>
      </c>
      <c r="C324" s="69">
        <v>40158</v>
      </c>
      <c r="D324" s="60" t="s">
        <v>150</v>
      </c>
      <c r="E324" s="255">
        <v>141</v>
      </c>
      <c r="F324" s="255">
        <v>4</v>
      </c>
      <c r="G324" s="255">
        <v>8</v>
      </c>
      <c r="H324" s="99">
        <v>2669</v>
      </c>
      <c r="I324" s="100">
        <v>432</v>
      </c>
      <c r="J324" s="128">
        <f t="shared" si="23"/>
        <v>108</v>
      </c>
      <c r="K324" s="74">
        <f t="shared" si="25"/>
        <v>6.1782407407407405</v>
      </c>
      <c r="L324" s="101">
        <f>1607914+23244+32443+25994+8150+2669</f>
        <v>1700414</v>
      </c>
      <c r="M324" s="128">
        <f>183968+3818+5335+4998+1502+432</f>
        <v>200053</v>
      </c>
      <c r="N324" s="228">
        <f t="shared" si="24"/>
        <v>8.499817548349688</v>
      </c>
      <c r="O324" s="149">
        <v>1</v>
      </c>
    </row>
    <row r="325" spans="1:15" ht="15">
      <c r="A325" s="138">
        <v>322</v>
      </c>
      <c r="B325" s="229" t="s">
        <v>82</v>
      </c>
      <c r="C325" s="69">
        <v>40158</v>
      </c>
      <c r="D325" s="60" t="s">
        <v>150</v>
      </c>
      <c r="E325" s="255">
        <v>141</v>
      </c>
      <c r="F325" s="255">
        <v>3</v>
      </c>
      <c r="G325" s="255">
        <v>9</v>
      </c>
      <c r="H325" s="145">
        <v>883</v>
      </c>
      <c r="I325" s="146">
        <v>141</v>
      </c>
      <c r="J325" s="128">
        <f t="shared" si="23"/>
        <v>47</v>
      </c>
      <c r="K325" s="74">
        <f>+H325/I325</f>
        <v>6.26241134751773</v>
      </c>
      <c r="L325" s="101">
        <f>1700414+883</f>
        <v>1701297</v>
      </c>
      <c r="M325" s="128">
        <f>200053+141</f>
        <v>200194</v>
      </c>
      <c r="N325" s="230">
        <f>L325/M325</f>
        <v>8.49824170554562</v>
      </c>
      <c r="O325" s="147">
        <v>1</v>
      </c>
    </row>
    <row r="326" spans="1:15" ht="15">
      <c r="A326" s="138">
        <v>323</v>
      </c>
      <c r="B326" s="229" t="s">
        <v>82</v>
      </c>
      <c r="C326" s="69">
        <v>40158</v>
      </c>
      <c r="D326" s="60" t="s">
        <v>150</v>
      </c>
      <c r="E326" s="255">
        <v>141</v>
      </c>
      <c r="F326" s="255">
        <v>1</v>
      </c>
      <c r="G326" s="255">
        <v>10</v>
      </c>
      <c r="H326" s="167">
        <v>803</v>
      </c>
      <c r="I326" s="168">
        <v>186</v>
      </c>
      <c r="J326" s="174">
        <f t="shared" si="23"/>
        <v>186</v>
      </c>
      <c r="K326" s="76">
        <f>H326/I326</f>
        <v>4.317204301075269</v>
      </c>
      <c r="L326" s="75">
        <v>1702099</v>
      </c>
      <c r="M326" s="174">
        <v>200380</v>
      </c>
      <c r="N326" s="230">
        <f>+L326/M326</f>
        <v>8.494355724124164</v>
      </c>
      <c r="O326" s="150"/>
    </row>
    <row r="327" spans="1:15" ht="15">
      <c r="A327" s="138">
        <v>324</v>
      </c>
      <c r="B327" s="229" t="s">
        <v>82</v>
      </c>
      <c r="C327" s="69">
        <v>40158</v>
      </c>
      <c r="D327" s="60" t="s">
        <v>150</v>
      </c>
      <c r="E327" s="255">
        <v>141</v>
      </c>
      <c r="F327" s="255">
        <v>1</v>
      </c>
      <c r="G327" s="255">
        <v>11</v>
      </c>
      <c r="H327" s="167">
        <v>562</v>
      </c>
      <c r="I327" s="168">
        <v>130</v>
      </c>
      <c r="J327" s="174">
        <f t="shared" si="23"/>
        <v>130</v>
      </c>
      <c r="K327" s="76">
        <f>H327/I327</f>
        <v>4.323076923076923</v>
      </c>
      <c r="L327" s="75">
        <v>1702661</v>
      </c>
      <c r="M327" s="174">
        <v>200510</v>
      </c>
      <c r="N327" s="230">
        <f>+L327/M327</f>
        <v>8.491651289212507</v>
      </c>
      <c r="O327" s="148"/>
    </row>
    <row r="328" spans="1:15" ht="15">
      <c r="A328" s="138">
        <v>325</v>
      </c>
      <c r="B328" s="231" t="s">
        <v>5</v>
      </c>
      <c r="C328" s="85">
        <v>39920</v>
      </c>
      <c r="D328" s="86" t="s">
        <v>152</v>
      </c>
      <c r="E328" s="256">
        <v>133</v>
      </c>
      <c r="F328" s="256">
        <v>1</v>
      </c>
      <c r="G328" s="256">
        <v>20</v>
      </c>
      <c r="H328" s="67">
        <v>1780</v>
      </c>
      <c r="I328" s="63">
        <v>445</v>
      </c>
      <c r="J328" s="64">
        <f>(I328/F328)</f>
        <v>445</v>
      </c>
      <c r="K328" s="74">
        <f>+H328/I328</f>
        <v>4</v>
      </c>
      <c r="L328" s="68">
        <f>814797.5+158602+44526+7105.5+1443+731+330+3273+1356+388+2317+2290.5+138+112.5+37+1136+51+98+1424+1780</f>
        <v>1041936</v>
      </c>
      <c r="M328" s="65">
        <f>100614+19257+6285+1176+234+205+67+783+301+48+521+500+23+18+9+170+23+30+356+445</f>
        <v>131065</v>
      </c>
      <c r="N328" s="232">
        <f>L328/M328</f>
        <v>7.9497653835882955</v>
      </c>
      <c r="O328" s="147"/>
    </row>
    <row r="329" spans="1:15" ht="15">
      <c r="A329" s="138">
        <v>326</v>
      </c>
      <c r="B329" s="229" t="s">
        <v>5</v>
      </c>
      <c r="C329" s="169">
        <v>39920</v>
      </c>
      <c r="D329" s="60" t="s">
        <v>152</v>
      </c>
      <c r="E329" s="210">
        <v>133</v>
      </c>
      <c r="F329" s="210">
        <v>1</v>
      </c>
      <c r="G329" s="210">
        <v>21</v>
      </c>
      <c r="H329" s="171">
        <v>1780</v>
      </c>
      <c r="I329" s="172">
        <v>445</v>
      </c>
      <c r="J329" s="174">
        <f>(I329/F329)</f>
        <v>445</v>
      </c>
      <c r="K329" s="76">
        <f>H329/I329</f>
        <v>4</v>
      </c>
      <c r="L329" s="75">
        <f>814797.5+158602+44526+7105.5+1443+731+330+3273+1356+388+2317+2290.5+138+112.5+37+1136+51+98+1424+1780+1780</f>
        <v>1043716</v>
      </c>
      <c r="M329" s="174">
        <f>100614+19257+6285+1176+234+205+67+783+301+48+521+500+23+18+9+170+23+30+356+445+445</f>
        <v>131510</v>
      </c>
      <c r="N329" s="230">
        <f>L329/M329</f>
        <v>7.936400273743441</v>
      </c>
      <c r="O329" s="149"/>
    </row>
    <row r="330" spans="1:15" ht="15">
      <c r="A330" s="138">
        <v>327</v>
      </c>
      <c r="B330" s="229" t="s">
        <v>176</v>
      </c>
      <c r="C330" s="169">
        <v>40074</v>
      </c>
      <c r="D330" s="60" t="s">
        <v>154</v>
      </c>
      <c r="E330" s="210">
        <v>142</v>
      </c>
      <c r="F330" s="210">
        <v>2</v>
      </c>
      <c r="G330" s="210">
        <v>13</v>
      </c>
      <c r="H330" s="171">
        <v>2077</v>
      </c>
      <c r="I330" s="172">
        <v>415</v>
      </c>
      <c r="J330" s="174">
        <f>I330/F330</f>
        <v>207.5</v>
      </c>
      <c r="K330" s="76">
        <f>H330/I330</f>
        <v>5.004819277108433</v>
      </c>
      <c r="L330" s="75">
        <v>812953.5</v>
      </c>
      <c r="M330" s="174">
        <v>102837</v>
      </c>
      <c r="N330" s="230">
        <f>+L330/M330</f>
        <v>7.905262697278217</v>
      </c>
      <c r="O330" s="149"/>
    </row>
    <row r="331" spans="1:15" ht="15">
      <c r="A331" s="138">
        <v>328</v>
      </c>
      <c r="B331" s="229" t="s">
        <v>176</v>
      </c>
      <c r="C331" s="69">
        <v>40074</v>
      </c>
      <c r="D331" s="60" t="s">
        <v>154</v>
      </c>
      <c r="E331" s="255">
        <v>142</v>
      </c>
      <c r="F331" s="255">
        <v>1</v>
      </c>
      <c r="G331" s="255">
        <v>12</v>
      </c>
      <c r="H331" s="167">
        <v>220</v>
      </c>
      <c r="I331" s="168">
        <v>31</v>
      </c>
      <c r="J331" s="174">
        <f>I331/F331</f>
        <v>31</v>
      </c>
      <c r="K331" s="76">
        <f>H331/I331</f>
        <v>7.096774193548387</v>
      </c>
      <c r="L331" s="75">
        <v>810876.5</v>
      </c>
      <c r="M331" s="174">
        <v>102422</v>
      </c>
      <c r="N331" s="230">
        <f>+L331/M331</f>
        <v>7.917014899142762</v>
      </c>
      <c r="O331" s="148"/>
    </row>
    <row r="332" spans="1:15" ht="15">
      <c r="A332" s="138">
        <v>329</v>
      </c>
      <c r="B332" s="225" t="s">
        <v>46</v>
      </c>
      <c r="C332" s="52">
        <v>40074</v>
      </c>
      <c r="D332" s="60" t="s">
        <v>154</v>
      </c>
      <c r="E332" s="254">
        <v>142</v>
      </c>
      <c r="F332" s="254">
        <v>1</v>
      </c>
      <c r="G332" s="254">
        <v>11</v>
      </c>
      <c r="H332" s="77">
        <v>203</v>
      </c>
      <c r="I332" s="78">
        <v>35</v>
      </c>
      <c r="J332" s="79">
        <f>IF(H332&lt;&gt;0,I332/F332,"")</f>
        <v>35</v>
      </c>
      <c r="K332" s="80">
        <f>IF(H332&lt;&gt;0,H332/I332,"")</f>
        <v>5.8</v>
      </c>
      <c r="L332" s="81">
        <v>810656.5</v>
      </c>
      <c r="M332" s="128">
        <v>102391</v>
      </c>
      <c r="N332" s="233">
        <f>IF(L332&lt;&gt;0,L332/M332,"")</f>
        <v>7.917263236026604</v>
      </c>
      <c r="O332" s="149"/>
    </row>
    <row r="333" spans="1:15" ht="15">
      <c r="A333" s="138">
        <v>330</v>
      </c>
      <c r="B333" s="229" t="s">
        <v>177</v>
      </c>
      <c r="C333" s="69">
        <v>40053</v>
      </c>
      <c r="D333" s="60" t="s">
        <v>152</v>
      </c>
      <c r="E333" s="255">
        <v>14</v>
      </c>
      <c r="F333" s="255">
        <v>1</v>
      </c>
      <c r="G333" s="255">
        <v>9</v>
      </c>
      <c r="H333" s="167">
        <v>83</v>
      </c>
      <c r="I333" s="168">
        <v>20</v>
      </c>
      <c r="J333" s="174">
        <f>I333/F333</f>
        <v>20</v>
      </c>
      <c r="K333" s="76">
        <f aca="true" t="shared" si="26" ref="K333:K340">H333/I333</f>
        <v>4.15</v>
      </c>
      <c r="L333" s="75">
        <f>46744+27773.5+29652+15092+1850+3126+1717.5+468+83</f>
        <v>126506</v>
      </c>
      <c r="M333" s="174">
        <f>3724+2772+2752+1903+308+472+380+135+20</f>
        <v>12466</v>
      </c>
      <c r="N333" s="230">
        <f>+L333/M333</f>
        <v>10.148082785175678</v>
      </c>
      <c r="O333" s="150"/>
    </row>
    <row r="334" spans="1:15" ht="15">
      <c r="A334" s="138">
        <v>331</v>
      </c>
      <c r="B334" s="229" t="s">
        <v>177</v>
      </c>
      <c r="C334" s="169">
        <v>40053</v>
      </c>
      <c r="D334" s="60" t="s">
        <v>152</v>
      </c>
      <c r="E334" s="210">
        <v>14</v>
      </c>
      <c r="F334" s="210">
        <v>1</v>
      </c>
      <c r="G334" s="210">
        <v>10</v>
      </c>
      <c r="H334" s="171">
        <v>54</v>
      </c>
      <c r="I334" s="172">
        <v>18</v>
      </c>
      <c r="J334" s="174">
        <f>(I334/F334)</f>
        <v>18</v>
      </c>
      <c r="K334" s="76">
        <f t="shared" si="26"/>
        <v>3</v>
      </c>
      <c r="L334" s="75">
        <f>46744+27773.5+29652+15092+1850+3126+1717.5+468+83+54</f>
        <v>126560</v>
      </c>
      <c r="M334" s="174">
        <f>3724+2772+2752+1903+308+472+380+135+20+18</f>
        <v>12484</v>
      </c>
      <c r="N334" s="230">
        <f>L334/M334</f>
        <v>10.137776353732779</v>
      </c>
      <c r="O334" s="147"/>
    </row>
    <row r="335" spans="1:15" ht="15">
      <c r="A335" s="138">
        <v>332</v>
      </c>
      <c r="B335" s="225" t="s">
        <v>25</v>
      </c>
      <c r="C335" s="52">
        <v>40165</v>
      </c>
      <c r="D335" s="62" t="s">
        <v>150</v>
      </c>
      <c r="E335" s="254">
        <v>36</v>
      </c>
      <c r="F335" s="254">
        <v>8</v>
      </c>
      <c r="G335" s="254">
        <v>4</v>
      </c>
      <c r="H335" s="54">
        <v>7119</v>
      </c>
      <c r="I335" s="63">
        <v>1206</v>
      </c>
      <c r="J335" s="64">
        <f aca="true" t="shared" si="27" ref="J335:J340">I335/F335</f>
        <v>150.75</v>
      </c>
      <c r="K335" s="57">
        <f t="shared" si="26"/>
        <v>5.902985074626866</v>
      </c>
      <c r="L335" s="58">
        <f>119500+7119</f>
        <v>126619</v>
      </c>
      <c r="M335" s="65">
        <f>13046+1206</f>
        <v>14252</v>
      </c>
      <c r="N335" s="227">
        <f aca="true" t="shared" si="28" ref="N335:N346">+L335/M335</f>
        <v>8.884296940780242</v>
      </c>
      <c r="O335" s="149"/>
    </row>
    <row r="336" spans="1:15" ht="15">
      <c r="A336" s="138">
        <v>333</v>
      </c>
      <c r="B336" s="225" t="s">
        <v>25</v>
      </c>
      <c r="C336" s="52">
        <v>40165</v>
      </c>
      <c r="D336" s="66" t="s">
        <v>150</v>
      </c>
      <c r="E336" s="254">
        <v>36</v>
      </c>
      <c r="F336" s="254">
        <v>5</v>
      </c>
      <c r="G336" s="254">
        <v>5</v>
      </c>
      <c r="H336" s="67">
        <v>1825</v>
      </c>
      <c r="I336" s="63">
        <v>307</v>
      </c>
      <c r="J336" s="64">
        <f t="shared" si="27"/>
        <v>61.4</v>
      </c>
      <c r="K336" s="57">
        <f t="shared" si="26"/>
        <v>5.944625407166124</v>
      </c>
      <c r="L336" s="68">
        <f>119500+7119+1825</f>
        <v>128444</v>
      </c>
      <c r="M336" s="65">
        <f>13046+1206+307</f>
        <v>14559</v>
      </c>
      <c r="N336" s="227">
        <f t="shared" si="28"/>
        <v>8.822309224534653</v>
      </c>
      <c r="O336" s="150">
        <v>1</v>
      </c>
    </row>
    <row r="337" spans="1:15" ht="15">
      <c r="A337" s="138">
        <v>334</v>
      </c>
      <c r="B337" s="225" t="s">
        <v>15</v>
      </c>
      <c r="C337" s="52">
        <v>40165</v>
      </c>
      <c r="D337" s="53" t="s">
        <v>150</v>
      </c>
      <c r="E337" s="254">
        <v>36</v>
      </c>
      <c r="F337" s="254">
        <v>1</v>
      </c>
      <c r="G337" s="254">
        <v>3</v>
      </c>
      <c r="H337" s="54">
        <v>852</v>
      </c>
      <c r="I337" s="55">
        <v>142</v>
      </c>
      <c r="J337" s="56">
        <f t="shared" si="27"/>
        <v>142</v>
      </c>
      <c r="K337" s="57">
        <f t="shared" si="26"/>
        <v>6</v>
      </c>
      <c r="L337" s="58">
        <v>119500</v>
      </c>
      <c r="M337" s="59">
        <v>13046</v>
      </c>
      <c r="N337" s="227">
        <f t="shared" si="28"/>
        <v>9.159895753487659</v>
      </c>
      <c r="O337" s="149">
        <v>1</v>
      </c>
    </row>
    <row r="338" spans="1:15" ht="15">
      <c r="A338" s="138">
        <v>335</v>
      </c>
      <c r="B338" s="225" t="s">
        <v>25</v>
      </c>
      <c r="C338" s="69">
        <v>40165</v>
      </c>
      <c r="D338" s="60" t="s">
        <v>150</v>
      </c>
      <c r="E338" s="255">
        <v>36</v>
      </c>
      <c r="F338" s="255">
        <v>2</v>
      </c>
      <c r="G338" s="255">
        <v>6</v>
      </c>
      <c r="H338" s="99">
        <v>755</v>
      </c>
      <c r="I338" s="100">
        <v>100</v>
      </c>
      <c r="J338" s="128">
        <f t="shared" si="27"/>
        <v>50</v>
      </c>
      <c r="K338" s="74">
        <f t="shared" si="26"/>
        <v>7.55</v>
      </c>
      <c r="L338" s="101">
        <f>119500+7119+1825+755</f>
        <v>129199</v>
      </c>
      <c r="M338" s="128">
        <f>13046+1206+307+100</f>
        <v>14659</v>
      </c>
      <c r="N338" s="228">
        <f t="shared" si="28"/>
        <v>8.813629851968074</v>
      </c>
      <c r="O338" s="149">
        <v>1</v>
      </c>
    </row>
    <row r="339" spans="1:15" ht="15">
      <c r="A339" s="138">
        <v>336</v>
      </c>
      <c r="B339" s="229" t="s">
        <v>25</v>
      </c>
      <c r="C339" s="69">
        <v>40165</v>
      </c>
      <c r="D339" s="60" t="s">
        <v>150</v>
      </c>
      <c r="E339" s="255">
        <v>36</v>
      </c>
      <c r="F339" s="255">
        <v>1</v>
      </c>
      <c r="G339" s="255">
        <v>7</v>
      </c>
      <c r="H339" s="145">
        <v>124</v>
      </c>
      <c r="I339" s="146">
        <v>24</v>
      </c>
      <c r="J339" s="128">
        <f t="shared" si="27"/>
        <v>24</v>
      </c>
      <c r="K339" s="74">
        <f t="shared" si="26"/>
        <v>5.166666666666667</v>
      </c>
      <c r="L339" s="101">
        <f>129199+124</f>
        <v>129323</v>
      </c>
      <c r="M339" s="128">
        <f>14659+24</f>
        <v>14683</v>
      </c>
      <c r="N339" s="230">
        <f t="shared" si="28"/>
        <v>8.807668732547844</v>
      </c>
      <c r="O339" s="148">
        <v>1</v>
      </c>
    </row>
    <row r="340" spans="1:15" ht="15">
      <c r="A340" s="138">
        <v>337</v>
      </c>
      <c r="B340" s="229" t="s">
        <v>25</v>
      </c>
      <c r="C340" s="69">
        <v>40165</v>
      </c>
      <c r="D340" s="60" t="s">
        <v>150</v>
      </c>
      <c r="E340" s="255">
        <v>36</v>
      </c>
      <c r="F340" s="255">
        <v>1</v>
      </c>
      <c r="G340" s="255">
        <v>8</v>
      </c>
      <c r="H340" s="167">
        <v>93</v>
      </c>
      <c r="I340" s="168">
        <v>17</v>
      </c>
      <c r="J340" s="174">
        <f t="shared" si="27"/>
        <v>17</v>
      </c>
      <c r="K340" s="76">
        <f t="shared" si="26"/>
        <v>5.470588235294118</v>
      </c>
      <c r="L340" s="75">
        <v>129416</v>
      </c>
      <c r="M340" s="174">
        <v>14700</v>
      </c>
      <c r="N340" s="230">
        <f t="shared" si="28"/>
        <v>8.803809523809523</v>
      </c>
      <c r="O340" s="147">
        <v>1</v>
      </c>
    </row>
    <row r="341" spans="1:15" ht="15">
      <c r="A341" s="138">
        <v>338</v>
      </c>
      <c r="B341" s="229" t="s">
        <v>8</v>
      </c>
      <c r="C341" s="69">
        <v>40088</v>
      </c>
      <c r="D341" s="60" t="s">
        <v>127</v>
      </c>
      <c r="E341" s="255">
        <v>5</v>
      </c>
      <c r="F341" s="255">
        <v>4</v>
      </c>
      <c r="G341" s="255">
        <v>6</v>
      </c>
      <c r="H341" s="99">
        <v>898</v>
      </c>
      <c r="I341" s="100">
        <v>104</v>
      </c>
      <c r="J341" s="128">
        <f>+I341/F341</f>
        <v>26</v>
      </c>
      <c r="K341" s="74">
        <f aca="true" t="shared" si="29" ref="K341:K349">+H341/I341</f>
        <v>8.634615384615385</v>
      </c>
      <c r="L341" s="101">
        <v>11637</v>
      </c>
      <c r="M341" s="128">
        <v>939</v>
      </c>
      <c r="N341" s="228">
        <f t="shared" si="28"/>
        <v>12.39297124600639</v>
      </c>
      <c r="O341" s="149">
        <v>1</v>
      </c>
    </row>
    <row r="342" spans="1:15" ht="15">
      <c r="A342" s="138">
        <v>339</v>
      </c>
      <c r="B342" s="229" t="s">
        <v>72</v>
      </c>
      <c r="C342" s="69">
        <v>40046</v>
      </c>
      <c r="D342" s="102" t="s">
        <v>151</v>
      </c>
      <c r="E342" s="255">
        <v>55</v>
      </c>
      <c r="F342" s="255">
        <v>2</v>
      </c>
      <c r="G342" s="255">
        <v>12</v>
      </c>
      <c r="H342" s="72">
        <v>2059</v>
      </c>
      <c r="I342" s="73">
        <v>466</v>
      </c>
      <c r="J342" s="174">
        <f>I342/F342</f>
        <v>233</v>
      </c>
      <c r="K342" s="76">
        <f t="shared" si="29"/>
        <v>4.418454935622318</v>
      </c>
      <c r="L342" s="75">
        <v>189359</v>
      </c>
      <c r="M342" s="174">
        <v>19405</v>
      </c>
      <c r="N342" s="230">
        <f t="shared" si="28"/>
        <v>9.758258180881215</v>
      </c>
      <c r="O342" s="147">
        <v>1</v>
      </c>
    </row>
    <row r="343" spans="1:15" ht="15">
      <c r="A343" s="138">
        <v>340</v>
      </c>
      <c r="B343" s="237" t="s">
        <v>72</v>
      </c>
      <c r="C343" s="103">
        <v>40046</v>
      </c>
      <c r="D343" s="104" t="s">
        <v>151</v>
      </c>
      <c r="E343" s="258">
        <v>55</v>
      </c>
      <c r="F343" s="258">
        <v>1</v>
      </c>
      <c r="G343" s="258">
        <v>11</v>
      </c>
      <c r="H343" s="105">
        <v>650</v>
      </c>
      <c r="I343" s="121">
        <v>100</v>
      </c>
      <c r="J343" s="106">
        <f>I343/F343</f>
        <v>100</v>
      </c>
      <c r="K343" s="108">
        <f t="shared" si="29"/>
        <v>6.5</v>
      </c>
      <c r="L343" s="107">
        <v>187300</v>
      </c>
      <c r="M343" s="106">
        <v>18939</v>
      </c>
      <c r="N343" s="238">
        <f t="shared" si="28"/>
        <v>9.889645704630656</v>
      </c>
      <c r="O343" s="147"/>
    </row>
    <row r="344" spans="1:15" ht="15">
      <c r="A344" s="138">
        <v>341</v>
      </c>
      <c r="B344" s="229" t="s">
        <v>72</v>
      </c>
      <c r="C344" s="69">
        <v>40046</v>
      </c>
      <c r="D344" s="102" t="s">
        <v>151</v>
      </c>
      <c r="E344" s="255">
        <v>55</v>
      </c>
      <c r="F344" s="255">
        <v>1</v>
      </c>
      <c r="G344" s="255">
        <v>13</v>
      </c>
      <c r="H344" s="72">
        <v>146</v>
      </c>
      <c r="I344" s="100">
        <v>19</v>
      </c>
      <c r="J344" s="128">
        <f>I344/F344</f>
        <v>19</v>
      </c>
      <c r="K344" s="74">
        <f t="shared" si="29"/>
        <v>7.684210526315789</v>
      </c>
      <c r="L344" s="75">
        <v>189505</v>
      </c>
      <c r="M344" s="128">
        <v>19424</v>
      </c>
      <c r="N344" s="228">
        <f t="shared" si="28"/>
        <v>9.756229406919275</v>
      </c>
      <c r="O344" s="147"/>
    </row>
    <row r="345" spans="1:15" ht="15">
      <c r="A345" s="138">
        <v>342</v>
      </c>
      <c r="B345" s="235" t="s">
        <v>76</v>
      </c>
      <c r="C345" s="52">
        <v>40130</v>
      </c>
      <c r="D345" s="110" t="s">
        <v>127</v>
      </c>
      <c r="E345" s="257">
        <v>17</v>
      </c>
      <c r="F345" s="257">
        <v>10</v>
      </c>
      <c r="G345" s="257">
        <v>9</v>
      </c>
      <c r="H345" s="111">
        <v>5776</v>
      </c>
      <c r="I345" s="112">
        <v>991</v>
      </c>
      <c r="J345" s="79">
        <f>+I345/F345</f>
        <v>99.1</v>
      </c>
      <c r="K345" s="80">
        <f t="shared" si="29"/>
        <v>5.8284561049445</v>
      </c>
      <c r="L345" s="113">
        <v>60978</v>
      </c>
      <c r="M345" s="114">
        <v>5997</v>
      </c>
      <c r="N345" s="228">
        <f t="shared" si="28"/>
        <v>10.168084042021011</v>
      </c>
      <c r="O345" s="149"/>
    </row>
    <row r="346" spans="1:15" ht="15">
      <c r="A346" s="138">
        <v>343</v>
      </c>
      <c r="B346" s="235" t="s">
        <v>76</v>
      </c>
      <c r="C346" s="52">
        <v>40130</v>
      </c>
      <c r="D346" s="110" t="s">
        <v>127</v>
      </c>
      <c r="E346" s="257">
        <v>17</v>
      </c>
      <c r="F346" s="257">
        <v>8</v>
      </c>
      <c r="G346" s="257">
        <v>8</v>
      </c>
      <c r="H346" s="111">
        <v>3794</v>
      </c>
      <c r="I346" s="115">
        <v>543</v>
      </c>
      <c r="J346" s="83">
        <f>+I346/F346</f>
        <v>67.875</v>
      </c>
      <c r="K346" s="84">
        <f t="shared" si="29"/>
        <v>6.987108655616943</v>
      </c>
      <c r="L346" s="113">
        <v>55202</v>
      </c>
      <c r="M346" s="117">
        <v>5006</v>
      </c>
      <c r="N346" s="234">
        <f t="shared" si="28"/>
        <v>11.027167399121055</v>
      </c>
      <c r="O346" s="149"/>
    </row>
    <row r="347" spans="1:15" ht="15">
      <c r="A347" s="138">
        <v>344</v>
      </c>
      <c r="B347" s="229" t="s">
        <v>76</v>
      </c>
      <c r="C347" s="69">
        <v>40130</v>
      </c>
      <c r="D347" s="60" t="s">
        <v>127</v>
      </c>
      <c r="E347" s="255">
        <v>17</v>
      </c>
      <c r="F347" s="255">
        <v>2</v>
      </c>
      <c r="G347" s="255">
        <v>12</v>
      </c>
      <c r="H347" s="145">
        <v>1939</v>
      </c>
      <c r="I347" s="146">
        <v>254</v>
      </c>
      <c r="J347" s="128">
        <f>I347/F347</f>
        <v>127</v>
      </c>
      <c r="K347" s="74">
        <f t="shared" si="29"/>
        <v>7.633858267716535</v>
      </c>
      <c r="L347" s="101">
        <v>64500</v>
      </c>
      <c r="M347" s="128">
        <v>6555</v>
      </c>
      <c r="N347" s="230">
        <f>L347/M347</f>
        <v>9.839816933638444</v>
      </c>
      <c r="O347" s="150"/>
    </row>
    <row r="348" spans="1:15" ht="15">
      <c r="A348" s="138">
        <v>345</v>
      </c>
      <c r="B348" s="235" t="s">
        <v>76</v>
      </c>
      <c r="C348" s="69">
        <v>40130</v>
      </c>
      <c r="D348" s="60" t="s">
        <v>127</v>
      </c>
      <c r="E348" s="255">
        <v>17</v>
      </c>
      <c r="F348" s="255">
        <v>4</v>
      </c>
      <c r="G348" s="255">
        <v>11</v>
      </c>
      <c r="H348" s="99">
        <v>1442</v>
      </c>
      <c r="I348" s="100">
        <v>266</v>
      </c>
      <c r="J348" s="128">
        <f>+I348/F348</f>
        <v>66.5</v>
      </c>
      <c r="K348" s="74">
        <f t="shared" si="29"/>
        <v>5.421052631578948</v>
      </c>
      <c r="L348" s="101">
        <v>62561</v>
      </c>
      <c r="M348" s="128">
        <v>6301</v>
      </c>
      <c r="N348" s="228">
        <f aca="true" t="shared" si="30" ref="N348:N358">+L348/M348</f>
        <v>9.928741469608</v>
      </c>
      <c r="O348" s="181"/>
    </row>
    <row r="349" spans="1:15" ht="15">
      <c r="A349" s="138">
        <v>346</v>
      </c>
      <c r="B349" s="235" t="s">
        <v>76</v>
      </c>
      <c r="C349" s="52">
        <v>40130</v>
      </c>
      <c r="D349" s="120" t="s">
        <v>127</v>
      </c>
      <c r="E349" s="257">
        <v>17</v>
      </c>
      <c r="F349" s="257">
        <v>2</v>
      </c>
      <c r="G349" s="257">
        <v>7</v>
      </c>
      <c r="H349" s="111">
        <v>254</v>
      </c>
      <c r="I349" s="115">
        <v>41</v>
      </c>
      <c r="J349" s="83">
        <f>+I349/F349</f>
        <v>20.5</v>
      </c>
      <c r="K349" s="80">
        <f t="shared" si="29"/>
        <v>6.195121951219512</v>
      </c>
      <c r="L349" s="113">
        <v>51408</v>
      </c>
      <c r="M349" s="117">
        <v>4463</v>
      </c>
      <c r="N349" s="233">
        <f t="shared" si="30"/>
        <v>11.518709388303831</v>
      </c>
      <c r="O349" s="177"/>
    </row>
    <row r="350" spans="1:15" ht="15">
      <c r="A350" s="138">
        <v>347</v>
      </c>
      <c r="B350" s="235" t="s">
        <v>76</v>
      </c>
      <c r="C350" s="52">
        <v>40130</v>
      </c>
      <c r="D350" s="66" t="s">
        <v>127</v>
      </c>
      <c r="E350" s="254">
        <v>17</v>
      </c>
      <c r="F350" s="254">
        <v>1</v>
      </c>
      <c r="G350" s="254">
        <v>10</v>
      </c>
      <c r="H350" s="67">
        <v>141</v>
      </c>
      <c r="I350" s="63">
        <v>38</v>
      </c>
      <c r="J350" s="64">
        <f>I350/F350</f>
        <v>38</v>
      </c>
      <c r="K350" s="57">
        <f>H350/I350</f>
        <v>3.710526315789474</v>
      </c>
      <c r="L350" s="68">
        <v>61119</v>
      </c>
      <c r="M350" s="65">
        <v>6035</v>
      </c>
      <c r="N350" s="227">
        <f t="shared" si="30"/>
        <v>10.127423363711682</v>
      </c>
      <c r="O350" s="147"/>
    </row>
    <row r="351" spans="1:15" ht="15">
      <c r="A351" s="138">
        <v>348</v>
      </c>
      <c r="B351" s="229" t="s">
        <v>107</v>
      </c>
      <c r="C351" s="69">
        <v>40144</v>
      </c>
      <c r="D351" s="60" t="s">
        <v>151</v>
      </c>
      <c r="E351" s="255">
        <v>128</v>
      </c>
      <c r="F351" s="255">
        <v>17</v>
      </c>
      <c r="G351" s="255">
        <v>10</v>
      </c>
      <c r="H351" s="99">
        <v>28138</v>
      </c>
      <c r="I351" s="100">
        <v>5971</v>
      </c>
      <c r="J351" s="128">
        <f>I351/F351</f>
        <v>351.2352941176471</v>
      </c>
      <c r="K351" s="74">
        <f>+H351/I351</f>
        <v>4.712443476804555</v>
      </c>
      <c r="L351" s="101">
        <v>2607621</v>
      </c>
      <c r="M351" s="128">
        <v>315121</v>
      </c>
      <c r="N351" s="228">
        <f t="shared" si="30"/>
        <v>8.274983260398386</v>
      </c>
      <c r="O351" s="149"/>
    </row>
    <row r="352" spans="1:15" ht="15">
      <c r="A352" s="138">
        <v>349</v>
      </c>
      <c r="B352" s="229" t="s">
        <v>164</v>
      </c>
      <c r="C352" s="69">
        <v>40144</v>
      </c>
      <c r="D352" s="60" t="s">
        <v>151</v>
      </c>
      <c r="E352" s="255">
        <v>128</v>
      </c>
      <c r="F352" s="255">
        <v>9</v>
      </c>
      <c r="G352" s="255">
        <v>11</v>
      </c>
      <c r="H352" s="145">
        <v>7572</v>
      </c>
      <c r="I352" s="146">
        <v>1526</v>
      </c>
      <c r="J352" s="128">
        <f>(I352/F352)</f>
        <v>169.55555555555554</v>
      </c>
      <c r="K352" s="74">
        <f>(J352/G352)</f>
        <v>15.414141414141413</v>
      </c>
      <c r="L352" s="101">
        <v>2615193</v>
      </c>
      <c r="M352" s="128">
        <v>316647</v>
      </c>
      <c r="N352" s="230">
        <f t="shared" si="30"/>
        <v>8.259017138959157</v>
      </c>
      <c r="O352" s="149"/>
    </row>
    <row r="353" spans="1:15" ht="15">
      <c r="A353" s="138">
        <v>350</v>
      </c>
      <c r="B353" s="229" t="s">
        <v>107</v>
      </c>
      <c r="C353" s="69">
        <v>40144</v>
      </c>
      <c r="D353" s="102" t="s">
        <v>151</v>
      </c>
      <c r="E353" s="255">
        <v>128</v>
      </c>
      <c r="F353" s="255">
        <v>6</v>
      </c>
      <c r="G353" s="255">
        <v>8</v>
      </c>
      <c r="H353" s="72">
        <v>4834</v>
      </c>
      <c r="I353" s="100">
        <v>783</v>
      </c>
      <c r="J353" s="128">
        <f aca="true" t="shared" si="31" ref="J353:J358">I353/F353</f>
        <v>130.5</v>
      </c>
      <c r="K353" s="74">
        <f>+H353/I353</f>
        <v>6.173690932311622</v>
      </c>
      <c r="L353" s="75">
        <v>2577332</v>
      </c>
      <c r="M353" s="128">
        <v>308696</v>
      </c>
      <c r="N353" s="228">
        <f t="shared" si="30"/>
        <v>8.349094254541685</v>
      </c>
      <c r="O353" s="148"/>
    </row>
    <row r="354" spans="1:15" ht="15">
      <c r="A354" s="138">
        <v>351</v>
      </c>
      <c r="B354" s="229" t="s">
        <v>107</v>
      </c>
      <c r="C354" s="69">
        <v>40144</v>
      </c>
      <c r="D354" s="102" t="s">
        <v>151</v>
      </c>
      <c r="E354" s="255">
        <v>128</v>
      </c>
      <c r="F354" s="255">
        <v>5</v>
      </c>
      <c r="G354" s="255">
        <v>7</v>
      </c>
      <c r="H354" s="72">
        <v>2478</v>
      </c>
      <c r="I354" s="73">
        <v>419</v>
      </c>
      <c r="J354" s="174">
        <f t="shared" si="31"/>
        <v>83.8</v>
      </c>
      <c r="K354" s="76">
        <f>+H354/I354</f>
        <v>5.914081145584726</v>
      </c>
      <c r="L354" s="75">
        <v>2572498</v>
      </c>
      <c r="M354" s="174">
        <v>307913</v>
      </c>
      <c r="N354" s="230">
        <f t="shared" si="30"/>
        <v>8.35462614439793</v>
      </c>
      <c r="O354" s="179">
        <v>1</v>
      </c>
    </row>
    <row r="355" spans="1:15" ht="15">
      <c r="A355" s="138">
        <v>352</v>
      </c>
      <c r="B355" s="237" t="s">
        <v>107</v>
      </c>
      <c r="C355" s="103">
        <v>40144</v>
      </c>
      <c r="D355" s="104" t="s">
        <v>151</v>
      </c>
      <c r="E355" s="258">
        <v>128</v>
      </c>
      <c r="F355" s="258">
        <v>7</v>
      </c>
      <c r="G355" s="258">
        <v>6</v>
      </c>
      <c r="H355" s="105">
        <v>1964</v>
      </c>
      <c r="I355" s="121">
        <v>269</v>
      </c>
      <c r="J355" s="106">
        <f t="shared" si="31"/>
        <v>38.42857142857143</v>
      </c>
      <c r="K355" s="108">
        <f>+H355/I355</f>
        <v>7.301115241635688</v>
      </c>
      <c r="L355" s="107">
        <v>2570020</v>
      </c>
      <c r="M355" s="106">
        <v>307494</v>
      </c>
      <c r="N355" s="238">
        <f t="shared" si="30"/>
        <v>8.357951699870567</v>
      </c>
      <c r="O355" s="178"/>
    </row>
    <row r="356" spans="1:15" ht="15">
      <c r="A356" s="138">
        <v>353</v>
      </c>
      <c r="B356" s="229" t="s">
        <v>107</v>
      </c>
      <c r="C356" s="69">
        <v>40144</v>
      </c>
      <c r="D356" s="109" t="s">
        <v>151</v>
      </c>
      <c r="E356" s="255">
        <v>128</v>
      </c>
      <c r="F356" s="255">
        <v>4</v>
      </c>
      <c r="G356" s="255">
        <v>9</v>
      </c>
      <c r="H356" s="99">
        <v>1890</v>
      </c>
      <c r="I356" s="100">
        <v>334</v>
      </c>
      <c r="J356" s="128">
        <f t="shared" si="31"/>
        <v>83.5</v>
      </c>
      <c r="K356" s="74">
        <f>+H356/I356</f>
        <v>5.658682634730539</v>
      </c>
      <c r="L356" s="101">
        <v>2579222</v>
      </c>
      <c r="M356" s="128">
        <v>309030</v>
      </c>
      <c r="N356" s="228">
        <f t="shared" si="30"/>
        <v>8.346186454389542</v>
      </c>
      <c r="O356" s="181"/>
    </row>
    <row r="357" spans="1:15" ht="15">
      <c r="A357" s="138">
        <v>354</v>
      </c>
      <c r="B357" s="229" t="s">
        <v>164</v>
      </c>
      <c r="C357" s="69">
        <v>40144</v>
      </c>
      <c r="D357" s="60" t="s">
        <v>151</v>
      </c>
      <c r="E357" s="255">
        <v>128</v>
      </c>
      <c r="F357" s="255">
        <v>1</v>
      </c>
      <c r="G357" s="255">
        <v>12</v>
      </c>
      <c r="H357" s="167">
        <v>546</v>
      </c>
      <c r="I357" s="168">
        <v>127</v>
      </c>
      <c r="J357" s="174">
        <f t="shared" si="31"/>
        <v>127</v>
      </c>
      <c r="K357" s="76">
        <f>+H357/I357</f>
        <v>4.299212598425197</v>
      </c>
      <c r="L357" s="75">
        <v>2615739</v>
      </c>
      <c r="M357" s="174">
        <v>316774</v>
      </c>
      <c r="N357" s="230">
        <f t="shared" si="30"/>
        <v>8.257429587024188</v>
      </c>
      <c r="O357" s="147"/>
    </row>
    <row r="358" spans="1:15" ht="15">
      <c r="A358" s="138">
        <v>355</v>
      </c>
      <c r="B358" s="353" t="s">
        <v>107</v>
      </c>
      <c r="C358" s="169">
        <v>40144</v>
      </c>
      <c r="D358" s="60" t="s">
        <v>151</v>
      </c>
      <c r="E358" s="210">
        <v>128</v>
      </c>
      <c r="F358" s="210">
        <v>1</v>
      </c>
      <c r="G358" s="210">
        <v>16</v>
      </c>
      <c r="H358" s="171">
        <v>1218</v>
      </c>
      <c r="I358" s="172">
        <v>560</v>
      </c>
      <c r="J358" s="174">
        <f t="shared" si="31"/>
        <v>560</v>
      </c>
      <c r="K358" s="76">
        <f>H358/I358</f>
        <v>2.175</v>
      </c>
      <c r="L358" s="75">
        <v>2616897</v>
      </c>
      <c r="M358" s="174">
        <v>317322</v>
      </c>
      <c r="N358" s="230">
        <f t="shared" si="30"/>
        <v>8.246818688902755</v>
      </c>
      <c r="O358" s="149"/>
    </row>
    <row r="359" spans="1:15" ht="15">
      <c r="A359" s="138">
        <v>356</v>
      </c>
      <c r="B359" s="229" t="s">
        <v>77</v>
      </c>
      <c r="C359" s="69">
        <v>40137</v>
      </c>
      <c r="D359" s="71" t="s">
        <v>152</v>
      </c>
      <c r="E359" s="255">
        <v>147</v>
      </c>
      <c r="F359" s="255">
        <v>57</v>
      </c>
      <c r="G359" s="255">
        <v>7</v>
      </c>
      <c r="H359" s="54">
        <v>87796</v>
      </c>
      <c r="I359" s="55">
        <v>15922</v>
      </c>
      <c r="J359" s="56">
        <f aca="true" t="shared" si="32" ref="J359:J364">(I359/F359)</f>
        <v>279.3333333333333</v>
      </c>
      <c r="K359" s="57">
        <f>H359/I359</f>
        <v>5.514131390528828</v>
      </c>
      <c r="L359" s="58">
        <f>4499732.5+3362984.5+1262292.25+664013.75+490740.5+244990+87796</f>
        <v>10612549.5</v>
      </c>
      <c r="M359" s="59">
        <f>493806+365411+142937+78728+74756+40294+15922</f>
        <v>1211854</v>
      </c>
      <c r="N359" s="227">
        <f aca="true" t="shared" si="33" ref="N359:N364">L359/M359</f>
        <v>8.757283880731507</v>
      </c>
      <c r="O359" s="150"/>
    </row>
    <row r="360" spans="1:15" ht="15">
      <c r="A360" s="138">
        <v>357</v>
      </c>
      <c r="B360" s="229" t="s">
        <v>77</v>
      </c>
      <c r="C360" s="69">
        <v>40137</v>
      </c>
      <c r="D360" s="70" t="s">
        <v>152</v>
      </c>
      <c r="E360" s="255">
        <v>147</v>
      </c>
      <c r="F360" s="255">
        <v>32</v>
      </c>
      <c r="G360" s="255">
        <v>8</v>
      </c>
      <c r="H360" s="54">
        <v>33908</v>
      </c>
      <c r="I360" s="55">
        <v>6247</v>
      </c>
      <c r="J360" s="56">
        <f t="shared" si="32"/>
        <v>195.21875</v>
      </c>
      <c r="K360" s="61">
        <f>H360/I360</f>
        <v>5.427885384984792</v>
      </c>
      <c r="L360" s="58">
        <f>4499732.5+3362984.5+1262292.25+664013.75+490740.5+244990+87796+33908</f>
        <v>10646457.5</v>
      </c>
      <c r="M360" s="59">
        <f>493806+365411+142937+78728+74756+40294+15922+6247</f>
        <v>1218101</v>
      </c>
      <c r="N360" s="226">
        <f t="shared" si="33"/>
        <v>8.740209145218664</v>
      </c>
      <c r="O360" s="149"/>
    </row>
    <row r="361" spans="1:15" ht="15">
      <c r="A361" s="138">
        <v>358</v>
      </c>
      <c r="B361" s="231" t="s">
        <v>77</v>
      </c>
      <c r="C361" s="85">
        <v>40137</v>
      </c>
      <c r="D361" s="86" t="s">
        <v>152</v>
      </c>
      <c r="E361" s="256">
        <v>147</v>
      </c>
      <c r="F361" s="256">
        <v>18</v>
      </c>
      <c r="G361" s="256">
        <v>9</v>
      </c>
      <c r="H361" s="54">
        <v>25213</v>
      </c>
      <c r="I361" s="63">
        <v>4692</v>
      </c>
      <c r="J361" s="64">
        <f t="shared" si="32"/>
        <v>260.6666666666667</v>
      </c>
      <c r="K361" s="57">
        <f>H361/I361</f>
        <v>5.373614663256607</v>
      </c>
      <c r="L361" s="58">
        <f>4499732.5+3362984.5+1262292.25+664013.75+490740.5+244990+87796+33908+25213</f>
        <v>10671670.5</v>
      </c>
      <c r="M361" s="65">
        <f>493806+365411+142937+78728+74756+40294+15922+6247+4692</f>
        <v>1222793</v>
      </c>
      <c r="N361" s="227">
        <f t="shared" si="33"/>
        <v>8.727291127770604</v>
      </c>
      <c r="O361" s="149"/>
    </row>
    <row r="362" spans="1:15" ht="15">
      <c r="A362" s="138">
        <v>359</v>
      </c>
      <c r="B362" s="229" t="s">
        <v>77</v>
      </c>
      <c r="C362" s="69">
        <v>40137</v>
      </c>
      <c r="D362" s="71" t="s">
        <v>152</v>
      </c>
      <c r="E362" s="255">
        <v>147</v>
      </c>
      <c r="F362" s="255">
        <v>10</v>
      </c>
      <c r="G362" s="255">
        <v>10</v>
      </c>
      <c r="H362" s="67">
        <v>8908</v>
      </c>
      <c r="I362" s="63">
        <v>1746</v>
      </c>
      <c r="J362" s="64">
        <f t="shared" si="32"/>
        <v>174.6</v>
      </c>
      <c r="K362" s="57">
        <f>H362/I362</f>
        <v>5.101947308132875</v>
      </c>
      <c r="L362" s="68">
        <f>4499732.5+3362984.5+1262292.25+664013.75+490740.5+244990+87796+33908+25213+8908</f>
        <v>10680578.5</v>
      </c>
      <c r="M362" s="65">
        <f>493806+365411+142937+78728+74756+40294+15922+6247+4692+1746</f>
        <v>1224539</v>
      </c>
      <c r="N362" s="227">
        <f t="shared" si="33"/>
        <v>8.722121957732664</v>
      </c>
      <c r="O362" s="147"/>
    </row>
    <row r="363" spans="1:15" ht="15">
      <c r="A363" s="138">
        <v>360</v>
      </c>
      <c r="B363" s="231" t="s">
        <v>77</v>
      </c>
      <c r="C363" s="85">
        <v>40137</v>
      </c>
      <c r="D363" s="86" t="s">
        <v>152</v>
      </c>
      <c r="E363" s="256">
        <v>147</v>
      </c>
      <c r="F363" s="256">
        <v>7</v>
      </c>
      <c r="G363" s="256">
        <v>11</v>
      </c>
      <c r="H363" s="67">
        <v>4440</v>
      </c>
      <c r="I363" s="63">
        <v>904</v>
      </c>
      <c r="J363" s="64">
        <f t="shared" si="32"/>
        <v>129.14285714285714</v>
      </c>
      <c r="K363" s="74">
        <f>+H363/I363</f>
        <v>4.911504424778761</v>
      </c>
      <c r="L363" s="68">
        <f>4499732.5+3362984.5+1262292.25+664013.75+490740.5+244990+87796+33908+25213+8908+4440</f>
        <v>10685018.5</v>
      </c>
      <c r="M363" s="65">
        <f>493806+365411+142937+78728+74756+40294+15922+6247+4692+1746+904</f>
        <v>1225443</v>
      </c>
      <c r="N363" s="232">
        <f t="shared" si="33"/>
        <v>8.719310894101154</v>
      </c>
      <c r="O363" s="180"/>
    </row>
    <row r="364" spans="1:15" ht="15">
      <c r="A364" s="138">
        <v>361</v>
      </c>
      <c r="B364" s="229" t="s">
        <v>77</v>
      </c>
      <c r="C364" s="169">
        <v>40137</v>
      </c>
      <c r="D364" s="60" t="s">
        <v>152</v>
      </c>
      <c r="E364" s="210">
        <v>147</v>
      </c>
      <c r="F364" s="210">
        <v>3</v>
      </c>
      <c r="G364" s="210">
        <v>15</v>
      </c>
      <c r="H364" s="171">
        <v>3362</v>
      </c>
      <c r="I364" s="172">
        <v>840</v>
      </c>
      <c r="J364" s="174">
        <f t="shared" si="32"/>
        <v>280</v>
      </c>
      <c r="K364" s="76">
        <f>H364/I364</f>
        <v>4.002380952380952</v>
      </c>
      <c r="L364" s="75">
        <f>4499732.5+3362984.5+1262292.25+664013.75+490740.5+244990+87796+33908+25213+8908+4440+435+625+2349+3362</f>
        <v>10691789.5</v>
      </c>
      <c r="M364" s="174">
        <f>493806+365411+142937+78728+74756+40294+15922+6247+4692+1746+904+107+157+579+840</f>
        <v>1227126</v>
      </c>
      <c r="N364" s="230">
        <f t="shared" si="33"/>
        <v>8.712870153513169</v>
      </c>
      <c r="O364" s="148"/>
    </row>
    <row r="365" spans="1:15" ht="15">
      <c r="A365" s="138">
        <v>362</v>
      </c>
      <c r="B365" s="229" t="s">
        <v>77</v>
      </c>
      <c r="C365" s="69">
        <v>40137</v>
      </c>
      <c r="D365" s="60" t="s">
        <v>152</v>
      </c>
      <c r="E365" s="255">
        <v>147</v>
      </c>
      <c r="F365" s="255">
        <v>2</v>
      </c>
      <c r="G365" s="255">
        <v>14</v>
      </c>
      <c r="H365" s="167">
        <v>2349</v>
      </c>
      <c r="I365" s="168">
        <v>579</v>
      </c>
      <c r="J365" s="174">
        <f>I365/F365</f>
        <v>289.5</v>
      </c>
      <c r="K365" s="76">
        <f>H365/I365</f>
        <v>4.05699481865285</v>
      </c>
      <c r="L365" s="75">
        <f>4499732.5+3362984.5+1262292.25+664013.75+490740.5+244990+87796+33908+25213+8908+4440+435+625+2349</f>
        <v>10688427.5</v>
      </c>
      <c r="M365" s="174">
        <f>493806+365411+142937+78728+74756+40294+15922+6247+4692+1746+904+107+157+579</f>
        <v>1226286</v>
      </c>
      <c r="N365" s="230">
        <f>+L365/M365</f>
        <v>8.716096815914069</v>
      </c>
      <c r="O365" s="181">
        <v>1</v>
      </c>
    </row>
    <row r="366" spans="1:15" ht="15">
      <c r="A366" s="138">
        <v>363</v>
      </c>
      <c r="B366" s="229" t="s">
        <v>77</v>
      </c>
      <c r="C366" s="69">
        <v>40137</v>
      </c>
      <c r="D366" s="60" t="s">
        <v>152</v>
      </c>
      <c r="E366" s="255">
        <v>147</v>
      </c>
      <c r="F366" s="255">
        <v>1</v>
      </c>
      <c r="G366" s="255">
        <v>13</v>
      </c>
      <c r="H366" s="167">
        <v>625</v>
      </c>
      <c r="I366" s="168">
        <v>157</v>
      </c>
      <c r="J366" s="174">
        <f>(I366/F366)</f>
        <v>157</v>
      </c>
      <c r="K366" s="76">
        <f>H366/I366</f>
        <v>3.9808917197452227</v>
      </c>
      <c r="L366" s="75">
        <f>4499732.5+3362984.5+1262292.25+664013.75+490740.5+244990+87796+33908+25213+8908+4440+435+625</f>
        <v>10686078.5</v>
      </c>
      <c r="M366" s="174">
        <f>493806+365411+142937+78728+74756+40294+15922+6247+4692+1746+904+107+157</f>
        <v>1225707</v>
      </c>
      <c r="N366" s="230">
        <f>L366/M366</f>
        <v>8.718297684520037</v>
      </c>
      <c r="O366" s="149">
        <v>1</v>
      </c>
    </row>
    <row r="367" spans="1:15" ht="15">
      <c r="A367" s="138">
        <v>364</v>
      </c>
      <c r="B367" s="229" t="s">
        <v>77</v>
      </c>
      <c r="C367" s="69">
        <v>40137</v>
      </c>
      <c r="D367" s="60" t="s">
        <v>152</v>
      </c>
      <c r="E367" s="255">
        <v>147</v>
      </c>
      <c r="F367" s="255">
        <v>1</v>
      </c>
      <c r="G367" s="255">
        <v>12</v>
      </c>
      <c r="H367" s="145">
        <v>435</v>
      </c>
      <c r="I367" s="146">
        <v>107</v>
      </c>
      <c r="J367" s="128">
        <f aca="true" t="shared" si="34" ref="J367:J376">I367/F367</f>
        <v>107</v>
      </c>
      <c r="K367" s="74">
        <f>+H367/I367</f>
        <v>4.065420560747664</v>
      </c>
      <c r="L367" s="101">
        <f>4499732.5+3362984.5+1262292.25+664013.75+490740.5+244990+87796+33908+25213+8908+4440+435</f>
        <v>10685453.5</v>
      </c>
      <c r="M367" s="128">
        <f>493806+365411+142937+78728+74756+40294+15922+6247+4692+1746+904+107</f>
        <v>1225550</v>
      </c>
      <c r="N367" s="230">
        <f>L367/M367</f>
        <v>8.718904573456815</v>
      </c>
      <c r="O367" s="149">
        <v>1</v>
      </c>
    </row>
    <row r="368" spans="1:15" ht="15">
      <c r="A368" s="138">
        <v>365</v>
      </c>
      <c r="B368" s="225" t="s">
        <v>119</v>
      </c>
      <c r="C368" s="52">
        <v>40081</v>
      </c>
      <c r="D368" s="62" t="s">
        <v>150</v>
      </c>
      <c r="E368" s="254">
        <v>70</v>
      </c>
      <c r="F368" s="254">
        <v>1</v>
      </c>
      <c r="G368" s="254">
        <v>13</v>
      </c>
      <c r="H368" s="54">
        <v>1671</v>
      </c>
      <c r="I368" s="63">
        <v>278</v>
      </c>
      <c r="J368" s="64">
        <f t="shared" si="34"/>
        <v>278</v>
      </c>
      <c r="K368" s="57">
        <f>H368/I368</f>
        <v>6.010791366906475</v>
      </c>
      <c r="L368" s="58">
        <f>1392975+803+1671</f>
        <v>1395449</v>
      </c>
      <c r="M368" s="65">
        <f>137156+132+278</f>
        <v>137566</v>
      </c>
      <c r="N368" s="227">
        <f aca="true" t="shared" si="35" ref="N368:N376">+L368/M368</f>
        <v>10.143850951543259</v>
      </c>
      <c r="O368" s="147">
        <v>1</v>
      </c>
    </row>
    <row r="369" spans="1:15" ht="15">
      <c r="A369" s="138">
        <v>366</v>
      </c>
      <c r="B369" s="225" t="s">
        <v>119</v>
      </c>
      <c r="C369" s="52">
        <v>40081</v>
      </c>
      <c r="D369" s="60" t="s">
        <v>150</v>
      </c>
      <c r="E369" s="254">
        <v>70</v>
      </c>
      <c r="F369" s="254">
        <v>1</v>
      </c>
      <c r="G369" s="254">
        <v>12</v>
      </c>
      <c r="H369" s="54">
        <v>803</v>
      </c>
      <c r="I369" s="55">
        <v>132</v>
      </c>
      <c r="J369" s="56">
        <f t="shared" si="34"/>
        <v>132</v>
      </c>
      <c r="K369" s="61">
        <f>H369/I369</f>
        <v>6.083333333333333</v>
      </c>
      <c r="L369" s="58">
        <f>1392975+803</f>
        <v>1393778</v>
      </c>
      <c r="M369" s="59">
        <f>137156+132</f>
        <v>137288</v>
      </c>
      <c r="N369" s="226">
        <f t="shared" si="35"/>
        <v>10.15222015034089</v>
      </c>
      <c r="O369" s="149">
        <v>1</v>
      </c>
    </row>
    <row r="370" spans="1:15" ht="15">
      <c r="A370" s="138">
        <v>367</v>
      </c>
      <c r="B370" s="239" t="s">
        <v>174</v>
      </c>
      <c r="C370" s="69">
        <v>39871</v>
      </c>
      <c r="D370" s="170" t="s">
        <v>73</v>
      </c>
      <c r="E370" s="255">
        <v>192</v>
      </c>
      <c r="F370" s="255">
        <v>1</v>
      </c>
      <c r="G370" s="255">
        <v>22</v>
      </c>
      <c r="H370" s="167">
        <v>1918</v>
      </c>
      <c r="I370" s="168">
        <v>319</v>
      </c>
      <c r="J370" s="174">
        <f t="shared" si="34"/>
        <v>319</v>
      </c>
      <c r="K370" s="76">
        <f>H370/I370</f>
        <v>6.012539184952978</v>
      </c>
      <c r="L370" s="75">
        <f>568084.5+439199.5+199559+109980+164256.5-20+26773.5+13463+1383+6404+0.5+715+335+85+378+1008+757+6618+713+0.75+243+1525+380+105+2395+1918</f>
        <v>1546259.25</v>
      </c>
      <c r="M370" s="174">
        <f>79686+62524+31158+18444+26844-3+5195+2619+207+1137+130+77+14+84+252+149+1160+124+32+241+76+21+342+319</f>
        <v>230832</v>
      </c>
      <c r="N370" s="230">
        <f t="shared" si="35"/>
        <v>6.698634721355791</v>
      </c>
      <c r="O370" s="147">
        <v>1</v>
      </c>
    </row>
    <row r="371" spans="1:15" ht="15">
      <c r="A371" s="138">
        <v>368</v>
      </c>
      <c r="B371" s="229" t="s">
        <v>70</v>
      </c>
      <c r="C371" s="69">
        <v>40102</v>
      </c>
      <c r="D371" s="60" t="s">
        <v>151</v>
      </c>
      <c r="E371" s="255">
        <v>99</v>
      </c>
      <c r="F371" s="255">
        <v>1</v>
      </c>
      <c r="G371" s="255">
        <v>19</v>
      </c>
      <c r="H371" s="167">
        <v>5600</v>
      </c>
      <c r="I371" s="168">
        <v>1400</v>
      </c>
      <c r="J371" s="174">
        <f t="shared" si="34"/>
        <v>1400</v>
      </c>
      <c r="K371" s="76">
        <f>H371/I371</f>
        <v>4</v>
      </c>
      <c r="L371" s="75">
        <v>2602082</v>
      </c>
      <c r="M371" s="174">
        <v>278190</v>
      </c>
      <c r="N371" s="230">
        <f t="shared" si="35"/>
        <v>9.353614436176715</v>
      </c>
      <c r="O371" s="147">
        <v>1</v>
      </c>
    </row>
    <row r="372" spans="1:15" ht="15">
      <c r="A372" s="138">
        <v>369</v>
      </c>
      <c r="B372" s="229" t="s">
        <v>70</v>
      </c>
      <c r="C372" s="169">
        <v>40102</v>
      </c>
      <c r="D372" s="60" t="s">
        <v>151</v>
      </c>
      <c r="E372" s="210">
        <v>99</v>
      </c>
      <c r="F372" s="210">
        <v>1</v>
      </c>
      <c r="G372" s="210">
        <v>20</v>
      </c>
      <c r="H372" s="171">
        <v>5600</v>
      </c>
      <c r="I372" s="172">
        <v>1400</v>
      </c>
      <c r="J372" s="174">
        <f t="shared" si="34"/>
        <v>1400</v>
      </c>
      <c r="K372" s="76">
        <f>+H372/I372</f>
        <v>4</v>
      </c>
      <c r="L372" s="75">
        <v>2607682</v>
      </c>
      <c r="M372" s="174">
        <v>279590</v>
      </c>
      <c r="N372" s="230">
        <f t="shared" si="35"/>
        <v>9.326807110411675</v>
      </c>
      <c r="O372" s="148">
        <v>1</v>
      </c>
    </row>
    <row r="373" spans="1:15" ht="15">
      <c r="A373" s="138">
        <v>370</v>
      </c>
      <c r="B373" s="229" t="s">
        <v>70</v>
      </c>
      <c r="C373" s="69">
        <v>40102</v>
      </c>
      <c r="D373" s="60" t="s">
        <v>151</v>
      </c>
      <c r="E373" s="255">
        <v>99</v>
      </c>
      <c r="F373" s="255">
        <v>2</v>
      </c>
      <c r="G373" s="255">
        <v>18</v>
      </c>
      <c r="H373" s="167">
        <v>5089</v>
      </c>
      <c r="I373" s="168">
        <v>1400</v>
      </c>
      <c r="J373" s="174">
        <f t="shared" si="34"/>
        <v>700</v>
      </c>
      <c r="K373" s="76">
        <f>+H373/I373</f>
        <v>3.635</v>
      </c>
      <c r="L373" s="75">
        <v>2596482</v>
      </c>
      <c r="M373" s="174">
        <v>276790</v>
      </c>
      <c r="N373" s="230">
        <f t="shared" si="35"/>
        <v>9.380692944109253</v>
      </c>
      <c r="O373" s="149">
        <v>1</v>
      </c>
    </row>
    <row r="374" spans="1:15" ht="15">
      <c r="A374" s="138">
        <v>371</v>
      </c>
      <c r="B374" s="229" t="s">
        <v>70</v>
      </c>
      <c r="C374" s="69">
        <v>40102</v>
      </c>
      <c r="D374" s="109" t="s">
        <v>151</v>
      </c>
      <c r="E374" s="255">
        <v>99</v>
      </c>
      <c r="F374" s="255">
        <v>8</v>
      </c>
      <c r="G374" s="255">
        <v>15</v>
      </c>
      <c r="H374" s="99">
        <v>4479</v>
      </c>
      <c r="I374" s="100">
        <v>839</v>
      </c>
      <c r="J374" s="128">
        <f t="shared" si="34"/>
        <v>104.875</v>
      </c>
      <c r="K374" s="74">
        <f>+H374/I374</f>
        <v>5.33849821215733</v>
      </c>
      <c r="L374" s="101">
        <v>2584656</v>
      </c>
      <c r="M374" s="128">
        <v>273934</v>
      </c>
      <c r="N374" s="228">
        <f t="shared" si="35"/>
        <v>9.435323837128651</v>
      </c>
      <c r="O374" s="150">
        <v>1</v>
      </c>
    </row>
    <row r="375" spans="1:16" s="204" customFormat="1" ht="15">
      <c r="A375" s="138">
        <v>372</v>
      </c>
      <c r="B375" s="229" t="s">
        <v>70</v>
      </c>
      <c r="C375" s="69">
        <v>40102</v>
      </c>
      <c r="D375" s="60" t="s">
        <v>151</v>
      </c>
      <c r="E375" s="255">
        <v>99</v>
      </c>
      <c r="F375" s="255">
        <v>5</v>
      </c>
      <c r="G375" s="255">
        <v>16</v>
      </c>
      <c r="H375" s="99">
        <v>3974</v>
      </c>
      <c r="I375" s="100">
        <v>755</v>
      </c>
      <c r="J375" s="128">
        <f t="shared" si="34"/>
        <v>151</v>
      </c>
      <c r="K375" s="74">
        <f>+H375/I375</f>
        <v>5.263576158940397</v>
      </c>
      <c r="L375" s="101">
        <v>2588630</v>
      </c>
      <c r="M375" s="128">
        <v>274689</v>
      </c>
      <c r="N375" s="228">
        <f t="shared" si="35"/>
        <v>9.423857526147753</v>
      </c>
      <c r="O375" s="149">
        <v>1</v>
      </c>
      <c r="P375" s="207"/>
    </row>
    <row r="376" spans="1:16" s="204" customFormat="1" ht="15">
      <c r="A376" s="138">
        <v>373</v>
      </c>
      <c r="B376" s="229" t="s">
        <v>70</v>
      </c>
      <c r="C376" s="69">
        <v>40102</v>
      </c>
      <c r="D376" s="102" t="s">
        <v>151</v>
      </c>
      <c r="E376" s="255">
        <v>99</v>
      </c>
      <c r="F376" s="255">
        <v>9</v>
      </c>
      <c r="G376" s="255">
        <v>14</v>
      </c>
      <c r="H376" s="72">
        <v>3375</v>
      </c>
      <c r="I376" s="100">
        <v>911</v>
      </c>
      <c r="J376" s="128">
        <f t="shared" si="34"/>
        <v>101.22222222222223</v>
      </c>
      <c r="K376" s="74">
        <f>+H376/I376</f>
        <v>3.7047200878155873</v>
      </c>
      <c r="L376" s="75">
        <v>2580177</v>
      </c>
      <c r="M376" s="128">
        <v>273095</v>
      </c>
      <c r="N376" s="228">
        <f t="shared" si="35"/>
        <v>9.447910067925081</v>
      </c>
      <c r="O376" s="149">
        <v>1</v>
      </c>
      <c r="P376" s="207"/>
    </row>
    <row r="377" spans="1:16" s="204" customFormat="1" ht="15">
      <c r="A377" s="138">
        <v>374</v>
      </c>
      <c r="B377" s="229" t="s">
        <v>70</v>
      </c>
      <c r="C377" s="69">
        <v>40102</v>
      </c>
      <c r="D377" s="60" t="s">
        <v>151</v>
      </c>
      <c r="E377" s="255">
        <v>99</v>
      </c>
      <c r="F377" s="255">
        <v>5</v>
      </c>
      <c r="G377" s="255">
        <v>17</v>
      </c>
      <c r="H377" s="145">
        <v>2763</v>
      </c>
      <c r="I377" s="146">
        <v>701</v>
      </c>
      <c r="J377" s="128">
        <f>(I377/F377)</f>
        <v>140.2</v>
      </c>
      <c r="K377" s="74">
        <f>(J377/G377)</f>
        <v>8.24705882352941</v>
      </c>
      <c r="L377" s="101">
        <v>2591393</v>
      </c>
      <c r="M377" s="128">
        <v>275390</v>
      </c>
      <c r="N377" s="230">
        <f>L377/M377</f>
        <v>9.409902320345692</v>
      </c>
      <c r="O377" s="147">
        <v>1</v>
      </c>
      <c r="P377" s="207"/>
    </row>
    <row r="378" spans="1:16" s="204" customFormat="1" ht="15">
      <c r="A378" s="138">
        <v>375</v>
      </c>
      <c r="B378" s="237" t="s">
        <v>70</v>
      </c>
      <c r="C378" s="103">
        <v>40102</v>
      </c>
      <c r="D378" s="104" t="s">
        <v>151</v>
      </c>
      <c r="E378" s="258">
        <v>99</v>
      </c>
      <c r="F378" s="258">
        <v>15</v>
      </c>
      <c r="G378" s="258">
        <v>12</v>
      </c>
      <c r="H378" s="105">
        <v>2194</v>
      </c>
      <c r="I378" s="121">
        <v>315</v>
      </c>
      <c r="J378" s="106">
        <f>I378/F378</f>
        <v>21</v>
      </c>
      <c r="K378" s="108">
        <f>+H378/I378</f>
        <v>6.965079365079365</v>
      </c>
      <c r="L378" s="107">
        <v>2575565</v>
      </c>
      <c r="M378" s="106">
        <v>271966</v>
      </c>
      <c r="N378" s="238">
        <f>+L378/M378</f>
        <v>9.470172742181008</v>
      </c>
      <c r="O378" s="178">
        <v>1</v>
      </c>
      <c r="P378" s="207"/>
    </row>
    <row r="379" spans="1:16" s="204" customFormat="1" ht="15">
      <c r="A379" s="138">
        <v>376</v>
      </c>
      <c r="B379" s="229" t="s">
        <v>70</v>
      </c>
      <c r="C379" s="169">
        <v>40102</v>
      </c>
      <c r="D379" s="60" t="s">
        <v>151</v>
      </c>
      <c r="E379" s="210">
        <v>99</v>
      </c>
      <c r="F379" s="210">
        <v>1</v>
      </c>
      <c r="G379" s="210">
        <v>21</v>
      </c>
      <c r="H379" s="171">
        <v>1980</v>
      </c>
      <c r="I379" s="172">
        <v>1500</v>
      </c>
      <c r="J379" s="174">
        <f>I379/F379</f>
        <v>1500</v>
      </c>
      <c r="K379" s="76">
        <f>H379/I379</f>
        <v>1.32</v>
      </c>
      <c r="L379" s="75">
        <v>2609662</v>
      </c>
      <c r="M379" s="174">
        <v>281090</v>
      </c>
      <c r="N379" s="230">
        <f>+L379/M379</f>
        <v>9.28407983208225</v>
      </c>
      <c r="O379" s="149"/>
      <c r="P379" s="207"/>
    </row>
    <row r="380" spans="1:16" s="204" customFormat="1" ht="15">
      <c r="A380" s="138">
        <v>377</v>
      </c>
      <c r="B380" s="229" t="s">
        <v>70</v>
      </c>
      <c r="C380" s="69">
        <v>40102</v>
      </c>
      <c r="D380" s="102" t="s">
        <v>151</v>
      </c>
      <c r="E380" s="255">
        <v>99</v>
      </c>
      <c r="F380" s="255">
        <v>5</v>
      </c>
      <c r="G380" s="255">
        <v>13</v>
      </c>
      <c r="H380" s="72">
        <v>1237</v>
      </c>
      <c r="I380" s="73">
        <v>218</v>
      </c>
      <c r="J380" s="174">
        <f>I380/F380</f>
        <v>43.6</v>
      </c>
      <c r="K380" s="76">
        <f>+H380/I380</f>
        <v>5.674311926605505</v>
      </c>
      <c r="L380" s="75">
        <v>2576802</v>
      </c>
      <c r="M380" s="174">
        <v>272184</v>
      </c>
      <c r="N380" s="230">
        <f>+L380/M380</f>
        <v>9.467132527995767</v>
      </c>
      <c r="O380" s="147"/>
      <c r="P380" s="207"/>
    </row>
    <row r="381" spans="1:16" s="204" customFormat="1" ht="15">
      <c r="A381" s="138">
        <v>378</v>
      </c>
      <c r="B381" s="353" t="s">
        <v>70</v>
      </c>
      <c r="C381" s="169">
        <v>40102</v>
      </c>
      <c r="D381" s="60" t="s">
        <v>151</v>
      </c>
      <c r="E381" s="210">
        <v>99</v>
      </c>
      <c r="F381" s="210">
        <v>1</v>
      </c>
      <c r="G381" s="210">
        <v>22</v>
      </c>
      <c r="H381" s="171">
        <v>4830</v>
      </c>
      <c r="I381" s="172">
        <v>1610</v>
      </c>
      <c r="J381" s="174">
        <f>I381/F381</f>
        <v>1610</v>
      </c>
      <c r="K381" s="76">
        <f>H381/I381</f>
        <v>3</v>
      </c>
      <c r="L381" s="75">
        <v>2612860</v>
      </c>
      <c r="M381" s="174">
        <v>282507</v>
      </c>
      <c r="N381" s="230">
        <f>+L381/M381</f>
        <v>9.248832772285288</v>
      </c>
      <c r="O381" s="149"/>
      <c r="P381" s="207"/>
    </row>
    <row r="382" spans="1:16" s="205" customFormat="1" ht="15">
      <c r="A382" s="138">
        <v>379</v>
      </c>
      <c r="B382" s="229" t="s">
        <v>33</v>
      </c>
      <c r="C382" s="169">
        <v>40095</v>
      </c>
      <c r="D382" s="60" t="s">
        <v>152</v>
      </c>
      <c r="E382" s="210">
        <v>52</v>
      </c>
      <c r="F382" s="210">
        <v>1</v>
      </c>
      <c r="G382" s="210">
        <v>10</v>
      </c>
      <c r="H382" s="171">
        <v>1780</v>
      </c>
      <c r="I382" s="172">
        <v>445</v>
      </c>
      <c r="J382" s="174">
        <f>(I382/F382)</f>
        <v>445</v>
      </c>
      <c r="K382" s="76">
        <f>H382/I382</f>
        <v>4</v>
      </c>
      <c r="L382" s="75">
        <f>108013.25+68864+27976+10214+2402+2209+1188+2968+1780+1780</f>
        <v>227394.25</v>
      </c>
      <c r="M382" s="174">
        <f>12202+8144+4339+1841+481+460+297+742+445+445</f>
        <v>29396</v>
      </c>
      <c r="N382" s="230">
        <f>L382/M382</f>
        <v>7.73555075520479</v>
      </c>
      <c r="O382" s="149"/>
      <c r="P382" s="208"/>
    </row>
    <row r="383" spans="1:16" s="204" customFormat="1" ht="15">
      <c r="A383" s="138">
        <v>380</v>
      </c>
      <c r="B383" s="229" t="s">
        <v>33</v>
      </c>
      <c r="C383" s="69">
        <v>40095</v>
      </c>
      <c r="D383" s="70" t="s">
        <v>152</v>
      </c>
      <c r="E383" s="255">
        <v>52</v>
      </c>
      <c r="F383" s="255">
        <v>1</v>
      </c>
      <c r="G383" s="255">
        <v>7</v>
      </c>
      <c r="H383" s="54">
        <v>1188</v>
      </c>
      <c r="I383" s="63">
        <v>297</v>
      </c>
      <c r="J383" s="64">
        <f>(I383/F383)</f>
        <v>297</v>
      </c>
      <c r="K383" s="57">
        <f>H383/I383</f>
        <v>4</v>
      </c>
      <c r="L383" s="58">
        <f>108013.25+68864+27976+10214+2402+2209+1188</f>
        <v>220866.25</v>
      </c>
      <c r="M383" s="65">
        <f>12202+8144+4339+1841+481+460+297</f>
        <v>27764</v>
      </c>
      <c r="N383" s="227">
        <f>L383/M383</f>
        <v>7.955130744849446</v>
      </c>
      <c r="O383" s="150"/>
      <c r="P383" s="207"/>
    </row>
    <row r="384" spans="1:16" s="206" customFormat="1" ht="15">
      <c r="A384" s="138">
        <v>381</v>
      </c>
      <c r="B384" s="229" t="s">
        <v>56</v>
      </c>
      <c r="C384" s="69">
        <v>40095</v>
      </c>
      <c r="D384" s="71" t="s">
        <v>152</v>
      </c>
      <c r="E384" s="255">
        <v>52</v>
      </c>
      <c r="F384" s="255">
        <v>2</v>
      </c>
      <c r="G384" s="255">
        <v>8</v>
      </c>
      <c r="H384" s="67">
        <v>2968</v>
      </c>
      <c r="I384" s="63">
        <v>742</v>
      </c>
      <c r="J384" s="64">
        <f>(I384/F384)</f>
        <v>371</v>
      </c>
      <c r="K384" s="57">
        <f>H384/I384</f>
        <v>4</v>
      </c>
      <c r="L384" s="68">
        <f>108013.25+68864+27976+10214+2402+2209+1188+2968</f>
        <v>223834.25</v>
      </c>
      <c r="M384" s="65">
        <f>12202+8144+4339+1841+481+460+297+742</f>
        <v>28506</v>
      </c>
      <c r="N384" s="227">
        <f>L384/M384</f>
        <v>7.852180242755911</v>
      </c>
      <c r="O384" s="147"/>
      <c r="P384" s="209"/>
    </row>
    <row r="385" spans="1:16" s="205" customFormat="1" ht="15">
      <c r="A385" s="138">
        <v>382</v>
      </c>
      <c r="B385" s="229" t="s">
        <v>56</v>
      </c>
      <c r="C385" s="69">
        <v>40095</v>
      </c>
      <c r="D385" s="60" t="s">
        <v>152</v>
      </c>
      <c r="E385" s="255">
        <v>52</v>
      </c>
      <c r="F385" s="255">
        <v>1</v>
      </c>
      <c r="G385" s="255">
        <v>9</v>
      </c>
      <c r="H385" s="167">
        <v>1780</v>
      </c>
      <c r="I385" s="168">
        <v>445</v>
      </c>
      <c r="J385" s="174">
        <f>(I385/F385)</f>
        <v>445</v>
      </c>
      <c r="K385" s="76">
        <f>H385/I385</f>
        <v>4</v>
      </c>
      <c r="L385" s="75">
        <f>108013.25+68864+27976+10214+2402+2209+1188+2968+1780</f>
        <v>225614.25</v>
      </c>
      <c r="M385" s="174">
        <f>12202+8144+4339+1841+481+460+297+742+445</f>
        <v>28951</v>
      </c>
      <c r="N385" s="230">
        <f>L385/M385</f>
        <v>7.792969154778764</v>
      </c>
      <c r="O385" s="148"/>
      <c r="P385" s="208"/>
    </row>
    <row r="386" spans="1:16" s="204" customFormat="1" ht="15">
      <c r="A386" s="138">
        <v>383</v>
      </c>
      <c r="B386" s="229" t="s">
        <v>52</v>
      </c>
      <c r="C386" s="69">
        <v>39822</v>
      </c>
      <c r="D386" s="71" t="s">
        <v>154</v>
      </c>
      <c r="E386" s="255">
        <v>175</v>
      </c>
      <c r="F386" s="255">
        <v>1</v>
      </c>
      <c r="G386" s="255">
        <v>25</v>
      </c>
      <c r="H386" s="67">
        <v>30203</v>
      </c>
      <c r="I386" s="63">
        <v>6041</v>
      </c>
      <c r="J386" s="64">
        <f>IF(H386&lt;&gt;0,I386/F386,"")</f>
        <v>6041</v>
      </c>
      <c r="K386" s="57">
        <f>IF(H386&lt;&gt;0,H386/I386,"")</f>
        <v>4.999668928985267</v>
      </c>
      <c r="L386" s="68">
        <v>3549661</v>
      </c>
      <c r="M386" s="65">
        <v>486849</v>
      </c>
      <c r="N386" s="227">
        <f>IF(L386&lt;&gt;0,L386/M386,"")</f>
        <v>7.291092309935935</v>
      </c>
      <c r="O386" s="149"/>
      <c r="P386" s="207"/>
    </row>
    <row r="387" spans="1:16" s="204" customFormat="1" ht="15">
      <c r="A387" s="138">
        <v>384</v>
      </c>
      <c r="B387" s="229" t="s">
        <v>168</v>
      </c>
      <c r="C387" s="69">
        <v>39822</v>
      </c>
      <c r="D387" s="60" t="s">
        <v>154</v>
      </c>
      <c r="E387" s="255">
        <v>175</v>
      </c>
      <c r="F387" s="255">
        <v>1</v>
      </c>
      <c r="G387" s="255">
        <v>26</v>
      </c>
      <c r="H387" s="167">
        <v>5700</v>
      </c>
      <c r="I387" s="168">
        <v>1140</v>
      </c>
      <c r="J387" s="174">
        <f>IF(H387&lt;&gt;0,I387/F387,"")</f>
        <v>1140</v>
      </c>
      <c r="K387" s="76">
        <f>IF(H387&lt;&gt;0,H387/I387,"")</f>
        <v>5</v>
      </c>
      <c r="L387" s="75">
        <v>3555361</v>
      </c>
      <c r="M387" s="174">
        <v>487989</v>
      </c>
      <c r="N387" s="230">
        <f>IF(L387&lt;&gt;0,L387/M387,"")</f>
        <v>7.285740047419102</v>
      </c>
      <c r="O387" s="180"/>
      <c r="P387" s="207"/>
    </row>
    <row r="388" spans="1:16" s="204" customFormat="1" ht="15">
      <c r="A388" s="138">
        <v>385</v>
      </c>
      <c r="B388" s="237" t="s">
        <v>16</v>
      </c>
      <c r="C388" s="103">
        <v>40165</v>
      </c>
      <c r="D388" s="104" t="s">
        <v>151</v>
      </c>
      <c r="E388" s="258">
        <v>109</v>
      </c>
      <c r="F388" s="258">
        <v>70</v>
      </c>
      <c r="G388" s="258">
        <v>3</v>
      </c>
      <c r="H388" s="105">
        <v>175077</v>
      </c>
      <c r="I388" s="121">
        <v>16879</v>
      </c>
      <c r="J388" s="106">
        <f>I388/F388</f>
        <v>241.12857142857143</v>
      </c>
      <c r="K388" s="108">
        <f>+H388/I388</f>
        <v>10.372474672670181</v>
      </c>
      <c r="L388" s="107">
        <v>1207284</v>
      </c>
      <c r="M388" s="106">
        <v>120991</v>
      </c>
      <c r="N388" s="238">
        <f>+L388/M388</f>
        <v>9.97829590630708</v>
      </c>
      <c r="O388" s="149">
        <v>1</v>
      </c>
      <c r="P388" s="207"/>
    </row>
    <row r="389" spans="1:16" s="205" customFormat="1" ht="15">
      <c r="A389" s="138">
        <v>386</v>
      </c>
      <c r="B389" s="229" t="s">
        <v>95</v>
      </c>
      <c r="C389" s="69">
        <v>40165</v>
      </c>
      <c r="D389" s="102" t="s">
        <v>151</v>
      </c>
      <c r="E389" s="255">
        <v>109</v>
      </c>
      <c r="F389" s="255">
        <v>39</v>
      </c>
      <c r="G389" s="255">
        <v>4</v>
      </c>
      <c r="H389" s="72">
        <v>54378</v>
      </c>
      <c r="I389" s="73">
        <v>5850</v>
      </c>
      <c r="J389" s="174">
        <f>I389/F389</f>
        <v>150</v>
      </c>
      <c r="K389" s="76">
        <f>+H389/I389</f>
        <v>9.295384615384615</v>
      </c>
      <c r="L389" s="75">
        <v>1261662</v>
      </c>
      <c r="M389" s="174">
        <v>126841</v>
      </c>
      <c r="N389" s="230">
        <f>+L389/M389</f>
        <v>9.946799536427497</v>
      </c>
      <c r="O389" s="147"/>
      <c r="P389" s="208"/>
    </row>
    <row r="390" spans="1:16" s="206" customFormat="1" ht="15">
      <c r="A390" s="138">
        <v>387</v>
      </c>
      <c r="B390" s="229" t="s">
        <v>95</v>
      </c>
      <c r="C390" s="69">
        <v>40165</v>
      </c>
      <c r="D390" s="102" t="s">
        <v>151</v>
      </c>
      <c r="E390" s="255">
        <v>109</v>
      </c>
      <c r="F390" s="255">
        <v>19</v>
      </c>
      <c r="G390" s="255">
        <v>5</v>
      </c>
      <c r="H390" s="72">
        <v>16797</v>
      </c>
      <c r="I390" s="100">
        <v>3103</v>
      </c>
      <c r="J390" s="128">
        <f>I390/F390</f>
        <v>163.31578947368422</v>
      </c>
      <c r="K390" s="74">
        <f>+H390/I390</f>
        <v>5.413148565903964</v>
      </c>
      <c r="L390" s="75">
        <v>1278459</v>
      </c>
      <c r="M390" s="128">
        <v>129944</v>
      </c>
      <c r="N390" s="228">
        <f>+L390/M390</f>
        <v>9.838538139506248</v>
      </c>
      <c r="O390" s="149"/>
      <c r="P390" s="209"/>
    </row>
    <row r="391" spans="1:16" s="204" customFormat="1" ht="15">
      <c r="A391" s="138">
        <v>388</v>
      </c>
      <c r="B391" s="229" t="s">
        <v>1</v>
      </c>
      <c r="C391" s="69">
        <v>40165</v>
      </c>
      <c r="D391" s="60" t="s">
        <v>151</v>
      </c>
      <c r="E391" s="255">
        <v>109</v>
      </c>
      <c r="F391" s="255">
        <v>3</v>
      </c>
      <c r="G391" s="255">
        <v>7</v>
      </c>
      <c r="H391" s="99">
        <v>3736</v>
      </c>
      <c r="I391" s="100">
        <v>537</v>
      </c>
      <c r="J391" s="128">
        <f>I391/F391</f>
        <v>179</v>
      </c>
      <c r="K391" s="74">
        <f>+H391/I391</f>
        <v>6.957169459962756</v>
      </c>
      <c r="L391" s="101">
        <v>1285449</v>
      </c>
      <c r="M391" s="128">
        <v>130964</v>
      </c>
      <c r="N391" s="228">
        <f>+L391/M391</f>
        <v>9.81528511652057</v>
      </c>
      <c r="O391" s="148"/>
      <c r="P391" s="207"/>
    </row>
    <row r="392" spans="1:16" s="204" customFormat="1" ht="15">
      <c r="A392" s="138">
        <v>389</v>
      </c>
      <c r="B392" s="229" t="s">
        <v>95</v>
      </c>
      <c r="C392" s="69">
        <v>40165</v>
      </c>
      <c r="D392" s="109" t="s">
        <v>151</v>
      </c>
      <c r="E392" s="255">
        <v>109</v>
      </c>
      <c r="F392" s="255">
        <v>5</v>
      </c>
      <c r="G392" s="255">
        <v>6</v>
      </c>
      <c r="H392" s="99">
        <v>3254</v>
      </c>
      <c r="I392" s="100">
        <v>483</v>
      </c>
      <c r="J392" s="128">
        <f>I392/F392</f>
        <v>96.6</v>
      </c>
      <c r="K392" s="74">
        <f>+H392/I392</f>
        <v>6.737060041407868</v>
      </c>
      <c r="L392" s="101">
        <v>1281713</v>
      </c>
      <c r="M392" s="128">
        <v>130427</v>
      </c>
      <c r="N392" s="228">
        <f>+L392/M392</f>
        <v>9.827052680809954</v>
      </c>
      <c r="O392" s="150"/>
      <c r="P392" s="207"/>
    </row>
    <row r="393" spans="1:16" s="204" customFormat="1" ht="15">
      <c r="A393" s="138">
        <v>390</v>
      </c>
      <c r="B393" s="229" t="s">
        <v>95</v>
      </c>
      <c r="C393" s="69">
        <v>40165</v>
      </c>
      <c r="D393" s="60" t="s">
        <v>151</v>
      </c>
      <c r="E393" s="255">
        <v>109</v>
      </c>
      <c r="F393" s="255">
        <v>1</v>
      </c>
      <c r="G393" s="255">
        <v>8</v>
      </c>
      <c r="H393" s="145">
        <v>1155</v>
      </c>
      <c r="I393" s="146">
        <v>165</v>
      </c>
      <c r="J393" s="128">
        <f>(I393/F393)</f>
        <v>165</v>
      </c>
      <c r="K393" s="74">
        <f>(J393/G393)</f>
        <v>20.625</v>
      </c>
      <c r="L393" s="101">
        <v>1286604</v>
      </c>
      <c r="M393" s="128">
        <v>131129</v>
      </c>
      <c r="N393" s="230">
        <f>L393/M393</f>
        <v>9.811742635115039</v>
      </c>
      <c r="O393" s="149"/>
      <c r="P393" s="207"/>
    </row>
    <row r="394" spans="1:15" ht="15">
      <c r="A394" s="138">
        <v>391</v>
      </c>
      <c r="B394" s="229" t="s">
        <v>95</v>
      </c>
      <c r="C394" s="69">
        <v>40165</v>
      </c>
      <c r="D394" s="60" t="s">
        <v>151</v>
      </c>
      <c r="E394" s="255">
        <v>109</v>
      </c>
      <c r="F394" s="255">
        <v>1</v>
      </c>
      <c r="G394" s="255">
        <v>9</v>
      </c>
      <c r="H394" s="167">
        <v>749</v>
      </c>
      <c r="I394" s="168">
        <v>107</v>
      </c>
      <c r="J394" s="174">
        <f>I394/F394</f>
        <v>107</v>
      </c>
      <c r="K394" s="76">
        <f>+H394/I394</f>
        <v>7</v>
      </c>
      <c r="L394" s="75">
        <v>1287353</v>
      </c>
      <c r="M394" s="174">
        <v>131236</v>
      </c>
      <c r="N394" s="230">
        <f>+L394/M394</f>
        <v>9.809450150873236</v>
      </c>
      <c r="O394" s="351"/>
    </row>
    <row r="395" spans="1:15" ht="15">
      <c r="A395" s="138">
        <v>392</v>
      </c>
      <c r="B395" s="229" t="s">
        <v>95</v>
      </c>
      <c r="C395" s="69">
        <v>40165</v>
      </c>
      <c r="D395" s="60" t="s">
        <v>151</v>
      </c>
      <c r="E395" s="255">
        <v>109</v>
      </c>
      <c r="F395" s="255">
        <v>1</v>
      </c>
      <c r="G395" s="255">
        <v>10</v>
      </c>
      <c r="H395" s="167">
        <v>308</v>
      </c>
      <c r="I395" s="168">
        <v>44</v>
      </c>
      <c r="J395" s="174">
        <f>I395/F395</f>
        <v>44</v>
      </c>
      <c r="K395" s="76">
        <f>H395/I395</f>
        <v>7</v>
      </c>
      <c r="L395" s="75">
        <v>1287661</v>
      </c>
      <c r="M395" s="174">
        <v>131280</v>
      </c>
      <c r="N395" s="230">
        <f>+L395/M395</f>
        <v>9.808508531383303</v>
      </c>
      <c r="O395" s="351"/>
    </row>
    <row r="396" spans="1:15" ht="15">
      <c r="A396" s="138">
        <v>393</v>
      </c>
      <c r="B396" s="231" t="s">
        <v>41</v>
      </c>
      <c r="C396" s="85">
        <v>40046</v>
      </c>
      <c r="D396" s="86" t="s">
        <v>152</v>
      </c>
      <c r="E396" s="256">
        <v>5</v>
      </c>
      <c r="F396" s="256">
        <v>1</v>
      </c>
      <c r="G396" s="256">
        <v>18</v>
      </c>
      <c r="H396" s="54">
        <v>555</v>
      </c>
      <c r="I396" s="63">
        <v>90</v>
      </c>
      <c r="J396" s="64">
        <f aca="true" t="shared" si="36" ref="J396:J401">(I396/F396)</f>
        <v>90</v>
      </c>
      <c r="K396" s="57">
        <f>H396/I396</f>
        <v>6.166666666666667</v>
      </c>
      <c r="L396" s="58">
        <f>29266.75+13116.25+9279.25+8463+18147.5+3121+4110+6763+926+5173.5+9461.5+192+486+2002+382+72+487.5+555</f>
        <v>112004.25</v>
      </c>
      <c r="M396" s="65">
        <f>2425+1257+1223+1013+2360+455+662+1253+138+745+1554+44+79+353+69+18+78+90</f>
        <v>13816</v>
      </c>
      <c r="N396" s="227">
        <f aca="true" t="shared" si="37" ref="N396:N401">L396/M396</f>
        <v>8.106850752750434</v>
      </c>
      <c r="O396" s="351"/>
    </row>
    <row r="397" spans="1:15" ht="15">
      <c r="A397" s="138">
        <v>394</v>
      </c>
      <c r="B397" s="229" t="s">
        <v>41</v>
      </c>
      <c r="C397" s="69">
        <v>40046</v>
      </c>
      <c r="D397" s="70" t="s">
        <v>152</v>
      </c>
      <c r="E397" s="255">
        <v>5</v>
      </c>
      <c r="F397" s="255">
        <v>1</v>
      </c>
      <c r="G397" s="255">
        <v>17</v>
      </c>
      <c r="H397" s="54">
        <v>487.5</v>
      </c>
      <c r="I397" s="55">
        <v>78</v>
      </c>
      <c r="J397" s="56">
        <f t="shared" si="36"/>
        <v>78</v>
      </c>
      <c r="K397" s="61">
        <f>H397/I397</f>
        <v>6.25</v>
      </c>
      <c r="L397" s="58">
        <f>29266.75+13116.25+9279.25+8463+18147.5+3121+4110+6763+926+5173.5+9461.5+192+486+2002+382+72+487.5</f>
        <v>111449.25</v>
      </c>
      <c r="M397" s="59">
        <f>2425+1257+1223+1013+2360+455+662+1253+138+745+1554+44+79+353+69+18+78</f>
        <v>13726</v>
      </c>
      <c r="N397" s="226">
        <f t="shared" si="37"/>
        <v>8.119572344455777</v>
      </c>
      <c r="O397" s="351"/>
    </row>
    <row r="398" spans="1:15" ht="15">
      <c r="A398" s="138">
        <v>395</v>
      </c>
      <c r="B398" s="229" t="s">
        <v>41</v>
      </c>
      <c r="C398" s="69">
        <v>40046</v>
      </c>
      <c r="D398" s="71" t="s">
        <v>152</v>
      </c>
      <c r="E398" s="255">
        <v>5</v>
      </c>
      <c r="F398" s="255">
        <v>1</v>
      </c>
      <c r="G398" s="255">
        <v>19</v>
      </c>
      <c r="H398" s="67">
        <v>468</v>
      </c>
      <c r="I398" s="63">
        <v>76</v>
      </c>
      <c r="J398" s="64">
        <f t="shared" si="36"/>
        <v>76</v>
      </c>
      <c r="K398" s="57">
        <f>H398/I398</f>
        <v>6.157894736842105</v>
      </c>
      <c r="L398" s="68">
        <f>29266.75+13116.25+9279.25+8463+18147.5+3121+4110+6763+926+5173.5+9461.5+192+486+2002+382+72+487.5+555+468</f>
        <v>112472.25</v>
      </c>
      <c r="M398" s="65">
        <f>2425+1257+1223+1013+2360+455+662+1253+138+745+1554+44+79+353+69+18+78+90+76</f>
        <v>13892</v>
      </c>
      <c r="N398" s="227">
        <f t="shared" si="37"/>
        <v>8.096188453786352</v>
      </c>
      <c r="O398" s="351"/>
    </row>
    <row r="399" spans="1:15" ht="15">
      <c r="A399" s="138">
        <v>396</v>
      </c>
      <c r="B399" s="229" t="s">
        <v>41</v>
      </c>
      <c r="C399" s="69">
        <v>40046</v>
      </c>
      <c r="D399" s="60" t="s">
        <v>152</v>
      </c>
      <c r="E399" s="255">
        <v>5</v>
      </c>
      <c r="F399" s="255">
        <v>1</v>
      </c>
      <c r="G399" s="255">
        <v>21</v>
      </c>
      <c r="H399" s="145">
        <v>222</v>
      </c>
      <c r="I399" s="146">
        <v>37</v>
      </c>
      <c r="J399" s="128">
        <f t="shared" si="36"/>
        <v>37</v>
      </c>
      <c r="K399" s="74">
        <f>H399/I399</f>
        <v>6</v>
      </c>
      <c r="L399" s="101">
        <f>29266.75+13116.25+9279.25+8463+18147.5+3121+4110+6763+926+5173.5+9461.5+192+486+2002+382+72+487.5+555+468+186+222</f>
        <v>112880.25</v>
      </c>
      <c r="M399" s="128">
        <f>2425+1257+1223+1013+2360+455+662+1253+138+745+1554+44+79+353+69+18+78+90+76+31+37</f>
        <v>13960</v>
      </c>
      <c r="N399" s="230">
        <f t="shared" si="37"/>
        <v>8.085977793696275</v>
      </c>
      <c r="O399" s="351"/>
    </row>
    <row r="400" spans="1:15" ht="15">
      <c r="A400" s="138">
        <v>397</v>
      </c>
      <c r="B400" s="231" t="s">
        <v>41</v>
      </c>
      <c r="C400" s="85">
        <v>40046</v>
      </c>
      <c r="D400" s="86" t="s">
        <v>152</v>
      </c>
      <c r="E400" s="256">
        <v>5</v>
      </c>
      <c r="F400" s="256">
        <v>1</v>
      </c>
      <c r="G400" s="256">
        <v>20</v>
      </c>
      <c r="H400" s="67">
        <v>186</v>
      </c>
      <c r="I400" s="63">
        <v>31</v>
      </c>
      <c r="J400" s="64">
        <f t="shared" si="36"/>
        <v>31</v>
      </c>
      <c r="K400" s="74">
        <f>+H400/I400</f>
        <v>6</v>
      </c>
      <c r="L400" s="68">
        <f>29266.75+13116.25+9279.25+8463+18147.5+3121+4110+6763+926+5173.5+9461.5+192+486+2002+382+72+487.5+555+468+186</f>
        <v>112658.25</v>
      </c>
      <c r="M400" s="65">
        <f>2425+1257+1223+1013+2360+455+662+1253+138+745+1554+44+79+353+69+18+78+90+76+31</f>
        <v>13923</v>
      </c>
      <c r="N400" s="232">
        <f t="shared" si="37"/>
        <v>8.091521223874166</v>
      </c>
      <c r="O400" s="351"/>
    </row>
    <row r="401" spans="1:15" ht="15">
      <c r="A401" s="138">
        <v>398</v>
      </c>
      <c r="B401" s="229" t="s">
        <v>41</v>
      </c>
      <c r="C401" s="69">
        <v>40046</v>
      </c>
      <c r="D401" s="71" t="s">
        <v>152</v>
      </c>
      <c r="E401" s="255">
        <v>5</v>
      </c>
      <c r="F401" s="255">
        <v>1</v>
      </c>
      <c r="G401" s="255">
        <v>16</v>
      </c>
      <c r="H401" s="54">
        <v>72</v>
      </c>
      <c r="I401" s="55">
        <v>18</v>
      </c>
      <c r="J401" s="56">
        <f t="shared" si="36"/>
        <v>18</v>
      </c>
      <c r="K401" s="57">
        <f>H401/I401</f>
        <v>4</v>
      </c>
      <c r="L401" s="58">
        <f>29266.75+13116.25+9279.25+8463+18147.5+3121+4110+6763+926+5173.5+9461.5+192+486+2002+382+72</f>
        <v>110961.75</v>
      </c>
      <c r="M401" s="59">
        <f>2425+1257+1223+1013+2360+455+662+1253+138+745+1554+44+79+353+69+18</f>
        <v>13648</v>
      </c>
      <c r="N401" s="227">
        <f t="shared" si="37"/>
        <v>8.130257180539273</v>
      </c>
      <c r="O401" s="351">
        <v>1</v>
      </c>
    </row>
    <row r="402" spans="1:15" ht="15">
      <c r="A402" s="138">
        <v>399</v>
      </c>
      <c r="B402" s="229" t="s">
        <v>104</v>
      </c>
      <c r="C402" s="69">
        <v>40144</v>
      </c>
      <c r="D402" s="70" t="s">
        <v>105</v>
      </c>
      <c r="E402" s="255">
        <v>2</v>
      </c>
      <c r="F402" s="255">
        <v>1</v>
      </c>
      <c r="G402" s="255">
        <v>3</v>
      </c>
      <c r="H402" s="72">
        <v>6827</v>
      </c>
      <c r="I402" s="73">
        <v>1058</v>
      </c>
      <c r="J402" s="90">
        <f>I402/F402</f>
        <v>1058</v>
      </c>
      <c r="K402" s="95">
        <f>H402/I402</f>
        <v>6.452741020793951</v>
      </c>
      <c r="L402" s="75">
        <v>12004</v>
      </c>
      <c r="M402" s="174">
        <v>1817</v>
      </c>
      <c r="N402" s="234">
        <f>IF(L402&lt;&gt;0,L402/M402,"")</f>
        <v>6.606494221243809</v>
      </c>
      <c r="O402" s="351"/>
    </row>
    <row r="403" spans="1:15" ht="15">
      <c r="A403" s="138">
        <v>400</v>
      </c>
      <c r="B403" s="229" t="s">
        <v>104</v>
      </c>
      <c r="C403" s="69">
        <v>40144</v>
      </c>
      <c r="D403" s="70" t="s">
        <v>105</v>
      </c>
      <c r="E403" s="255">
        <v>2</v>
      </c>
      <c r="F403" s="255">
        <v>1</v>
      </c>
      <c r="G403" s="255">
        <v>4</v>
      </c>
      <c r="H403" s="72">
        <v>1199</v>
      </c>
      <c r="I403" s="73">
        <v>221</v>
      </c>
      <c r="J403" s="90">
        <f>I403/F403</f>
        <v>221</v>
      </c>
      <c r="K403" s="95">
        <f>H403/I403</f>
        <v>5.425339366515837</v>
      </c>
      <c r="L403" s="75">
        <v>13203</v>
      </c>
      <c r="M403" s="174">
        <v>2038</v>
      </c>
      <c r="N403" s="234">
        <f>IF(L403&lt;&gt;0,L403/M403,"")</f>
        <v>6.478410206084397</v>
      </c>
      <c r="O403" s="351"/>
    </row>
    <row r="404" spans="1:15" ht="15">
      <c r="A404" s="138">
        <v>401</v>
      </c>
      <c r="B404" s="229" t="s">
        <v>193</v>
      </c>
      <c r="C404" s="169">
        <v>39717</v>
      </c>
      <c r="D404" s="60" t="s">
        <v>151</v>
      </c>
      <c r="E404" s="210">
        <v>130</v>
      </c>
      <c r="F404" s="210">
        <v>1</v>
      </c>
      <c r="G404" s="210">
        <v>76</v>
      </c>
      <c r="H404" s="171">
        <v>4480</v>
      </c>
      <c r="I404" s="172">
        <v>1120</v>
      </c>
      <c r="J404" s="174">
        <f>I404/F404</f>
        <v>1120</v>
      </c>
      <c r="K404" s="76">
        <f>H404/I404</f>
        <v>4</v>
      </c>
      <c r="L404" s="75">
        <v>1486065</v>
      </c>
      <c r="M404" s="174">
        <v>173364</v>
      </c>
      <c r="N404" s="230">
        <f aca="true" t="shared" si="38" ref="N404:N411">+L404/M404</f>
        <v>8.571935349899633</v>
      </c>
      <c r="O404" s="351">
        <v>1</v>
      </c>
    </row>
    <row r="405" spans="1:15" ht="15">
      <c r="A405" s="138">
        <v>402</v>
      </c>
      <c r="B405" s="353" t="s">
        <v>193</v>
      </c>
      <c r="C405" s="169">
        <v>39717</v>
      </c>
      <c r="D405" s="60" t="s">
        <v>151</v>
      </c>
      <c r="E405" s="210">
        <v>130</v>
      </c>
      <c r="F405" s="210">
        <v>1</v>
      </c>
      <c r="G405" s="210">
        <v>77</v>
      </c>
      <c r="H405" s="171">
        <v>5600</v>
      </c>
      <c r="I405" s="172">
        <v>1400</v>
      </c>
      <c r="J405" s="174">
        <f>I405/F405</f>
        <v>1400</v>
      </c>
      <c r="K405" s="76">
        <f>H405/I405</f>
        <v>4</v>
      </c>
      <c r="L405" s="75">
        <v>1488597</v>
      </c>
      <c r="M405" s="174">
        <v>174447</v>
      </c>
      <c r="N405" s="230">
        <f t="shared" si="38"/>
        <v>8.533233589571617</v>
      </c>
      <c r="O405" s="354"/>
    </row>
    <row r="406" spans="1:15" ht="15">
      <c r="A406" s="138">
        <v>403</v>
      </c>
      <c r="B406" s="235" t="s">
        <v>37</v>
      </c>
      <c r="C406" s="52">
        <v>40060</v>
      </c>
      <c r="D406" s="110" t="s">
        <v>127</v>
      </c>
      <c r="E406" s="257">
        <v>60</v>
      </c>
      <c r="F406" s="257">
        <v>1</v>
      </c>
      <c r="G406" s="257">
        <v>9</v>
      </c>
      <c r="H406" s="111">
        <v>722</v>
      </c>
      <c r="I406" s="112">
        <v>98</v>
      </c>
      <c r="J406" s="79">
        <f>+I406/F406</f>
        <v>98</v>
      </c>
      <c r="K406" s="80">
        <f>+H406/I406</f>
        <v>7.36734693877551</v>
      </c>
      <c r="L406" s="113">
        <v>31093</v>
      </c>
      <c r="M406" s="114">
        <v>4346</v>
      </c>
      <c r="N406" s="228">
        <f t="shared" si="38"/>
        <v>7.154394845835251</v>
      </c>
      <c r="O406" s="351"/>
    </row>
    <row r="407" spans="1:15" ht="15">
      <c r="A407" s="138">
        <v>404</v>
      </c>
      <c r="B407" s="225" t="s">
        <v>86</v>
      </c>
      <c r="C407" s="52">
        <v>40172</v>
      </c>
      <c r="D407" s="53" t="s">
        <v>150</v>
      </c>
      <c r="E407" s="254">
        <v>40</v>
      </c>
      <c r="F407" s="254">
        <v>34</v>
      </c>
      <c r="G407" s="254">
        <v>2</v>
      </c>
      <c r="H407" s="54">
        <v>15275</v>
      </c>
      <c r="I407" s="55">
        <v>1524</v>
      </c>
      <c r="J407" s="56">
        <f>I407/F407</f>
        <v>44.8235294117647</v>
      </c>
      <c r="K407" s="57">
        <f>H407/I407</f>
        <v>10.022965879265092</v>
      </c>
      <c r="L407" s="58">
        <f>74576+15275</f>
        <v>89851</v>
      </c>
      <c r="M407" s="59">
        <f>7330+1524</f>
        <v>8854</v>
      </c>
      <c r="N407" s="227">
        <f t="shared" si="38"/>
        <v>10.148068669527897</v>
      </c>
      <c r="O407" s="351">
        <v>1</v>
      </c>
    </row>
    <row r="408" spans="1:15" ht="15">
      <c r="A408" s="138">
        <v>405</v>
      </c>
      <c r="B408" s="225" t="s">
        <v>86</v>
      </c>
      <c r="C408" s="52">
        <v>40172</v>
      </c>
      <c r="D408" s="62" t="s">
        <v>150</v>
      </c>
      <c r="E408" s="254">
        <v>40</v>
      </c>
      <c r="F408" s="254">
        <v>8</v>
      </c>
      <c r="G408" s="254">
        <v>4</v>
      </c>
      <c r="H408" s="54">
        <v>5335</v>
      </c>
      <c r="I408" s="63">
        <v>870</v>
      </c>
      <c r="J408" s="64">
        <f>I408/F408</f>
        <v>108.75</v>
      </c>
      <c r="K408" s="57">
        <f>H408/I408</f>
        <v>6.132183908045977</v>
      </c>
      <c r="L408" s="58">
        <f>74576+15275+3431+38+5335</f>
        <v>98655</v>
      </c>
      <c r="M408" s="65">
        <f>7330+1524+499+4+870</f>
        <v>10227</v>
      </c>
      <c r="N408" s="227">
        <f t="shared" si="38"/>
        <v>9.646523907304195</v>
      </c>
      <c r="O408" s="351"/>
    </row>
    <row r="409" spans="1:15" ht="15">
      <c r="A409" s="138">
        <v>406</v>
      </c>
      <c r="B409" s="225" t="s">
        <v>86</v>
      </c>
      <c r="C409" s="52">
        <v>40172</v>
      </c>
      <c r="D409" s="60" t="s">
        <v>150</v>
      </c>
      <c r="E409" s="254">
        <v>40</v>
      </c>
      <c r="F409" s="254">
        <v>10</v>
      </c>
      <c r="G409" s="254">
        <v>3</v>
      </c>
      <c r="H409" s="54">
        <f>3431+38</f>
        <v>3469</v>
      </c>
      <c r="I409" s="55">
        <f>499+4</f>
        <v>503</v>
      </c>
      <c r="J409" s="56">
        <f>I409/F409</f>
        <v>50.3</v>
      </c>
      <c r="K409" s="61">
        <f>H409/I409</f>
        <v>6.89662027833002</v>
      </c>
      <c r="L409" s="58">
        <f>74576+15275+3431+38</f>
        <v>93320</v>
      </c>
      <c r="M409" s="59">
        <f>7330+1524+499+4</f>
        <v>9357</v>
      </c>
      <c r="N409" s="226">
        <f t="shared" si="38"/>
        <v>9.973282034840226</v>
      </c>
      <c r="O409" s="351"/>
    </row>
    <row r="410" spans="1:15" ht="15">
      <c r="A410" s="138">
        <v>407</v>
      </c>
      <c r="B410" s="225" t="s">
        <v>86</v>
      </c>
      <c r="C410" s="69">
        <v>40172</v>
      </c>
      <c r="D410" s="60" t="s">
        <v>150</v>
      </c>
      <c r="E410" s="255">
        <v>40</v>
      </c>
      <c r="F410" s="255">
        <v>1</v>
      </c>
      <c r="G410" s="255">
        <v>6</v>
      </c>
      <c r="H410" s="99">
        <v>292</v>
      </c>
      <c r="I410" s="100">
        <v>51</v>
      </c>
      <c r="J410" s="128">
        <f>I410/F410</f>
        <v>51</v>
      </c>
      <c r="K410" s="74">
        <f>H410/I410</f>
        <v>5.7254901960784315</v>
      </c>
      <c r="L410" s="101">
        <f>74576+15275+3431+38+5335+40+292</f>
        <v>98987</v>
      </c>
      <c r="M410" s="128">
        <f>7330+1524+499+4+870+8+51</f>
        <v>10286</v>
      </c>
      <c r="N410" s="228">
        <f t="shared" si="38"/>
        <v>9.62346879253354</v>
      </c>
      <c r="O410" s="351"/>
    </row>
    <row r="411" spans="1:15" ht="15.75" thickBot="1">
      <c r="A411" s="138">
        <v>408</v>
      </c>
      <c r="B411" s="243" t="s">
        <v>86</v>
      </c>
      <c r="C411" s="244">
        <v>40172</v>
      </c>
      <c r="D411" s="245" t="s">
        <v>150</v>
      </c>
      <c r="E411" s="260">
        <v>40</v>
      </c>
      <c r="F411" s="260">
        <v>1</v>
      </c>
      <c r="G411" s="260">
        <v>5</v>
      </c>
      <c r="H411" s="246">
        <v>40</v>
      </c>
      <c r="I411" s="247">
        <v>8</v>
      </c>
      <c r="J411" s="248">
        <f>I411/F411</f>
        <v>8</v>
      </c>
      <c r="K411" s="249">
        <f>H411/I411</f>
        <v>5</v>
      </c>
      <c r="L411" s="250">
        <f>74576+15275+3431+38+5335+40</f>
        <v>98695</v>
      </c>
      <c r="M411" s="251">
        <f>7330+1524+499+4+870+8</f>
        <v>10235</v>
      </c>
      <c r="N411" s="252">
        <f t="shared" si="38"/>
        <v>9.642892037127504</v>
      </c>
      <c r="O411" s="351">
        <v>1</v>
      </c>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H4:I36 J23:K36 J4:K8 L4:M36 N4:N18 N20:N36" unlockedFormula="1"/>
    <ignoredError sqref="J9:K22 N19" formula="1" unlockedFormula="1"/>
    <ignoredError sqref="P135:Q154 N37:N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2010-03-19T22:51:13Z</dcterms:modified>
  <cp:category/>
  <cp:version/>
  <cp:contentType/>
  <cp:contentStatus/>
</cp:coreProperties>
</file>