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1" yWindow="1230" windowWidth="19320" windowHeight="5685" tabRatio="832" activeTab="0"/>
  </bookViews>
  <sheets>
    <sheet name="26 Feb'-04 Mar' 10 (WK 09)" sheetId="1" r:id="rId1"/>
    <sheet name="01 Jan'-04 Feb'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Jan'-04 Feb' 10 (Annual)'!$A$5:$I$7</definedName>
    <definedName name="_xlnm.Print_Area" localSheetId="0">'26 Feb'-04 Mar' 10 (WK 09)'!$A$1:$N$79</definedName>
  </definedNames>
  <calcPr fullCalcOnLoad="1"/>
</workbook>
</file>

<file path=xl/sharedStrings.xml><?xml version="1.0" encoding="utf-8"?>
<sst xmlns="http://schemas.openxmlformats.org/spreadsheetml/2006/main" count="978" uniqueCount="206">
  <si>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</si>
  <si>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</si>
  <si>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</si>
  <si>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</si>
  <si>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</si>
  <si>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</si>
  <si>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</si>
  <si>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</si>
  <si>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</si>
  <si>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</si>
  <si>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</si>
  <si>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</si>
  <si>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</si>
  <si>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</si>
  <si>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</si>
  <si>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</si>
  <si>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</si>
  <si>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</si>
  <si>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</si>
  <si>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</si>
  <si>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</si>
  <si>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</si>
  <si>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</si>
  <si>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</si>
  <si>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</si>
  <si>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</si>
  <si>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t>LET THE RIGHT ONE IN</t>
  </si>
  <si>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</si>
  <si>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</si>
  <si>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</si>
  <si>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t>NORTH FACE</t>
  </si>
  <si>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</si>
  <si>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</si>
  <si>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</si>
  <si>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</si>
  <si>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r>
      <t xml:space="preserve">UZAK IHTIMAL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</si>
  <si>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</si>
  <si>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</si>
  <si>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</si>
  <si>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</si>
  <si>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</si>
  <si>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</si>
  <si>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</si>
  <si>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</si>
  <si>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</si>
  <si>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DISCO ORMENE</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</si>
  <si>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</si>
  <si>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</si>
  <si>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</si>
  <si>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</si>
  <si>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</si>
  <si>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</si>
  <si>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t>LITTLE NICHOLAS</t>
  </si>
  <si>
    <r>
      <t xml:space="preserve">YAHŞİ BATI </t>
    </r>
    <r>
      <rPr>
        <sz val="10"/>
        <color indexed="10"/>
        <rFont val="Arial Black"/>
        <family val="2"/>
      </rPr>
      <t>(LOCAL)</t>
    </r>
  </si>
  <si>
    <r>
      <t xml:space="preserve">GELECEKTEN BİR GÜN </t>
    </r>
    <r>
      <rPr>
        <sz val="10"/>
        <color indexed="10"/>
        <rFont val="Arial Black"/>
        <family val="2"/>
      </rPr>
      <t>(LOCAL)</t>
    </r>
  </si>
  <si>
    <r>
      <t>VALİ</t>
    </r>
    <r>
      <rPr>
        <sz val="10"/>
        <color indexed="10"/>
        <rFont val="Arial Black"/>
        <family val="2"/>
      </rPr>
      <t xml:space="preserve"> (LOCAL)</t>
    </r>
  </si>
  <si>
    <t>CINEGROUP</t>
  </si>
  <si>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</si>
  <si>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</si>
  <si>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</si>
  <si>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</si>
  <si>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NIGHT AT THE MUSEUM 2</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</si>
  <si>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</si>
  <si>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</si>
  <si>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</si>
  <si>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</si>
  <si>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</si>
  <si>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</si>
  <si>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</si>
  <si>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</si>
  <si>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</si>
  <si>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</si>
  <si>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</si>
  <si>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</si>
  <si>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</si>
  <si>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</si>
  <si>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</si>
  <si>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</si>
  <si>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</si>
  <si>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</si>
  <si>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</si>
  <si>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</si>
  <si>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</si>
  <si>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</si>
  <si>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</si>
  <si>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</si>
  <si>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</si>
  <si>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</si>
  <si>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</si>
  <si>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</si>
  <si>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</si>
  <si>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</si>
  <si>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</si>
  <si>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</si>
  <si>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</si>
  <si>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</si>
  <si>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</si>
  <si>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</si>
  <si>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</si>
  <si>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</si>
  <si>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</si>
  <si>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</si>
  <si>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</si>
  <si>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</si>
  <si>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</si>
  <si>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</si>
  <si>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</si>
  <si>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</si>
  <si>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</si>
  <si>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</si>
  <si>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</si>
  <si>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</si>
  <si>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</si>
  <si>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</si>
  <si>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</si>
  <si>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</si>
  <si>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</si>
  <si>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</si>
  <si>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</si>
  <si>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</si>
  <si>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</si>
  <si>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</si>
  <si>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</si>
  <si>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</si>
  <si>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</si>
  <si>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</si>
  <si>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</si>
  <si>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</si>
  <si>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</si>
  <si>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</si>
  <si>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</si>
  <si>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</si>
  <si>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</si>
  <si>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</si>
  <si>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</si>
  <si>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</si>
  <si>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</si>
  <si>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</si>
  <si>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</si>
  <si>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</si>
  <si>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</si>
  <si>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</si>
  <si>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</si>
  <si>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</si>
  <si>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</si>
  <si>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</si>
  <si>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</si>
  <si>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</si>
  <si>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</si>
  <si>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</si>
  <si>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</si>
  <si>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</si>
  <si>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</si>
  <si>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</si>
  <si>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</si>
  <si>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</si>
  <si>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</si>
  <si>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</si>
  <si>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</si>
  <si>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</si>
  <si>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t>CHANTIER F.</t>
  </si>
  <si>
    <t>9</t>
  </si>
  <si>
    <t>IMPY'S WONDERLAND</t>
  </si>
  <si>
    <t>NORTH</t>
  </si>
  <si>
    <t>HUNGER</t>
  </si>
  <si>
    <r>
      <t xml:space="preserve">EJDER KAPANI </t>
    </r>
    <r>
      <rPr>
        <sz val="10"/>
        <color indexed="10"/>
        <rFont val="Arial Black"/>
        <family val="2"/>
      </rPr>
      <t>(LOCAL)</t>
    </r>
  </si>
  <si>
    <r>
      <t xml:space="preserve">ADA: ZOMBİLERİN DÜĞÜNÜ </t>
    </r>
    <r>
      <rPr>
        <sz val="10"/>
        <color indexed="10"/>
        <rFont val="Arial Black"/>
        <family val="2"/>
      </rPr>
      <t>(LOCAL)</t>
    </r>
  </si>
  <si>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</si>
  <si>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</si>
  <si>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</si>
  <si>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KUTSAL DAMACANA 2: İTMEN </t>
    </r>
    <r>
      <rPr>
        <b/>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</si>
  <si>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</si>
  <si>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</si>
  <si>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</si>
  <si>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</si>
  <si>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</si>
  <si>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t>TROUBLED WATER</t>
  </si>
  <si>
    <r>
      <t xml:space="preserve">RECEP İVEDİK 3 </t>
    </r>
    <r>
      <rPr>
        <b/>
        <sz val="10"/>
        <color indexed="10"/>
        <rFont val="Arial Black"/>
        <family val="2"/>
      </rPr>
      <t>(LOCAL)</t>
    </r>
    <r>
      <rPr>
        <b/>
        <sz val="10"/>
        <color indexed="12"/>
        <rFont val="Arial Black"/>
        <family val="2"/>
      </rPr>
      <t xml:space="preserve"> </t>
    </r>
  </si>
  <si>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</si>
  <si>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</si>
  <si>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</si>
  <si>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</si>
  <si>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AVSAR FILM</t>
  </si>
  <si>
    <r>
      <t xml:space="preserve">VEDA </t>
    </r>
    <r>
      <rPr>
        <sz val="10"/>
        <color indexed="10"/>
        <rFont val="Arial Black"/>
        <family val="2"/>
      </rPr>
      <t xml:space="preserve">(LOCAL) </t>
    </r>
    <r>
      <rPr>
        <sz val="10"/>
        <color indexed="12"/>
        <rFont val="Arial Black"/>
        <family val="2"/>
      </rPr>
      <t>(NEW)</t>
    </r>
  </si>
  <si>
    <r>
      <t xml:space="preserve">ROMANTİK KOMEDİ </t>
    </r>
    <r>
      <rPr>
        <b/>
        <sz val="10"/>
        <color indexed="10"/>
        <rFont val="Arial Black"/>
        <family val="2"/>
      </rPr>
      <t>(LOCAL)</t>
    </r>
  </si>
  <si>
    <t>WOLFMAN, THE</t>
  </si>
  <si>
    <r>
      <t xml:space="preserve">NINE </t>
    </r>
    <r>
      <rPr>
        <sz val="10"/>
        <color indexed="12"/>
        <rFont val="Arial Black"/>
        <family val="2"/>
      </rPr>
      <t>(NEW)</t>
    </r>
  </si>
  <si>
    <t>PERCY JACKSON &amp; THE OLYMPIANS: THE LIGHTNING THIEF</t>
  </si>
  <si>
    <r>
      <t xml:space="preserve">DELİ DUMRUL KURTLAR KUŞLAR ALEMİNDE </t>
    </r>
    <r>
      <rPr>
        <sz val="10"/>
        <color indexed="10"/>
        <rFont val="Arial Black"/>
        <family val="2"/>
      </rPr>
      <t xml:space="preserve">(LOCAL) </t>
    </r>
    <r>
      <rPr>
        <sz val="10"/>
        <color indexed="12"/>
        <rFont val="Arial Black"/>
        <family val="2"/>
      </rPr>
      <t>(NEW)</t>
    </r>
  </si>
  <si>
    <t>LOVELY BONES</t>
  </si>
  <si>
    <r>
      <t xml:space="preserve">INVICTUS </t>
    </r>
    <r>
      <rPr>
        <sz val="10"/>
        <color indexed="12"/>
        <rFont val="Arial Black"/>
        <family val="2"/>
      </rPr>
      <t>(NEW)</t>
    </r>
  </si>
  <si>
    <t>ARTHUR AND THE REVENGE OF MALTAZARD</t>
  </si>
  <si>
    <t>EDUCATION, AN</t>
  </si>
  <si>
    <t>BOOK OF ELI, THE</t>
  </si>
  <si>
    <t>PRINCES AND THE FROG</t>
  </si>
  <si>
    <t xml:space="preserve">BAKJWI </t>
  </si>
  <si>
    <t>NIKO - LENTAJAN POIKA</t>
  </si>
  <si>
    <t>LOS ABRAZOS ROTOS</t>
  </si>
  <si>
    <r>
      <t>2010 Türkiye Annual Box Office Report</t>
    </r>
    <r>
      <rPr>
        <b/>
        <sz val="26"/>
        <rFont val="Garamond"/>
        <family val="1"/>
      </rPr>
      <t xml:space="preserve">  </t>
    </r>
    <r>
      <rPr>
        <b/>
        <sz val="12"/>
        <rFont val="Garamond"/>
        <family val="1"/>
      </rPr>
      <t>01 January - 04 February 2010</t>
    </r>
  </si>
  <si>
    <r>
      <t>2010 Türkiye Ex Years Releases Annual Box Office Report</t>
    </r>
    <r>
      <rPr>
        <b/>
        <sz val="26"/>
        <rFont val="Garamond"/>
        <family val="1"/>
      </rPr>
      <t xml:space="preserve">  </t>
    </r>
    <r>
      <rPr>
        <b/>
        <sz val="16"/>
        <rFont val="Garamond"/>
        <family val="1"/>
      </rPr>
      <t>01 January - 04 February 2010</t>
    </r>
  </si>
  <si>
    <r>
      <t xml:space="preserve">EYYVAH EYVAH </t>
    </r>
    <r>
      <rPr>
        <sz val="10"/>
        <color indexed="10"/>
        <rFont val="Arial Black"/>
        <family val="2"/>
      </rPr>
      <t xml:space="preserve">(LOCAL) </t>
    </r>
    <r>
      <rPr>
        <sz val="10"/>
        <color indexed="12"/>
        <rFont val="Arial Black"/>
        <family val="2"/>
      </rPr>
      <t>(NEW)</t>
    </r>
  </si>
  <si>
    <r>
      <t xml:space="preserve">VEDA </t>
    </r>
    <r>
      <rPr>
        <sz val="10"/>
        <color indexed="10"/>
        <rFont val="Arial Black"/>
        <family val="2"/>
      </rPr>
      <t>(LOCAL)</t>
    </r>
  </si>
  <si>
    <t>NINE</t>
  </si>
  <si>
    <r>
      <t xml:space="preserve">DELİ DUMRUL KURTLAR KUŞLAR ALEMİNDE </t>
    </r>
    <r>
      <rPr>
        <sz val="10"/>
        <color indexed="10"/>
        <rFont val="Arial Black"/>
        <family val="2"/>
      </rPr>
      <t>(LOCAL)</t>
    </r>
  </si>
  <si>
    <t>INVICTUS</t>
  </si>
  <si>
    <r>
      <t xml:space="preserve">EYYVAH EYVAH </t>
    </r>
    <r>
      <rPr>
        <sz val="10"/>
        <color indexed="10"/>
        <rFont val="Arial Black"/>
        <family val="2"/>
      </rPr>
      <t>(LOCAL)</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</si>
</sst>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6">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b/>
      <sz val="11"/>
      <name val="Century Gothic"/>
      <family val="2"/>
    </font>
    <font>
      <sz val="9"/>
      <name val="Trebuchet MS"/>
      <family val="2"/>
    </font>
    <font>
      <sz val="10"/>
      <color indexed="9"/>
      <name val="Arial"/>
      <family val="0"/>
    </font>
    <font>
      <b/>
      <sz val="8"/>
      <color indexed="9"/>
      <name val="Trebuchet MS"/>
      <family val="0"/>
    </font>
    <font>
      <sz val="8"/>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7"/>
      <color indexed="9"/>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sz val="10"/>
      <color indexed="12"/>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b/>
      <sz val="10"/>
      <color indexed="12"/>
      <name val="Arial Black"/>
      <family val="2"/>
    </font>
    <font>
      <sz val="8"/>
      <color indexed="9"/>
      <name val="Trebuchet MS"/>
      <family val="2"/>
    </font>
    <font>
      <sz val="11"/>
      <color indexed="9"/>
      <name val="Calibri"/>
      <family val="2"/>
    </font>
    <font>
      <sz val="10"/>
      <color indexed="9"/>
      <name val="Arial Narrow"/>
      <family val="2"/>
    </font>
    <font>
      <sz val="9"/>
      <color indexed="9"/>
      <name val="Century Gothic"/>
      <family val="2"/>
    </font>
    <font>
      <sz val="12"/>
      <color indexed="9"/>
      <name val="Trebuchet MS"/>
      <family val="2"/>
    </font>
    <font>
      <sz val="11"/>
      <color indexed="8"/>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40"/>
      <color indexed="8"/>
      <name val="Garamond"/>
      <family val="0"/>
    </font>
    <font>
      <sz val="26"/>
      <color indexed="8"/>
      <name val="Garamond"/>
      <family val="0"/>
    </font>
    <font>
      <sz val="14"/>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color indexed="63"/>
      </right>
      <top style="hair"/>
      <bottom style="hair"/>
    </border>
    <border>
      <left style="hair"/>
      <right>
        <color indexed="63"/>
      </right>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hair"/>
      <top style="hair"/>
      <bottom style="hair"/>
    </border>
    <border>
      <left style="thin"/>
      <right style="thin"/>
      <top style="thin"/>
      <bottom style="thin"/>
    </border>
    <border>
      <left style="hair"/>
      <right style="hair"/>
      <top style="hair"/>
      <bottom style="hair"/>
    </border>
    <border>
      <left style="hair"/>
      <right style="hair"/>
      <top style="hair"/>
      <bottom style="medium"/>
    </border>
    <border>
      <left style="medium"/>
      <right style="hair"/>
      <top>
        <color indexed="63"/>
      </top>
      <bottom style="hair"/>
    </border>
    <border>
      <left style="hair"/>
      <right style="medium"/>
      <top style="hair"/>
      <bottom style="medium"/>
    </border>
    <border>
      <left style="hair"/>
      <right style="medium"/>
      <top>
        <color indexed="63"/>
      </top>
      <bottom style="hair"/>
    </border>
    <border>
      <left style="hair"/>
      <right style="medium"/>
      <top style="hair"/>
      <bottom style="hair"/>
    </border>
    <border>
      <left style="medium"/>
      <right>
        <color indexed="63"/>
      </right>
      <top>
        <color indexed="63"/>
      </top>
      <bottom style="hair"/>
    </border>
    <border>
      <left style="medium"/>
      <right style="hair"/>
      <top style="hair"/>
      <bottom style="medium"/>
    </border>
    <border>
      <left>
        <color indexed="63"/>
      </left>
      <right style="thin"/>
      <top style="thin"/>
      <bottom style="thin"/>
    </border>
    <border>
      <left style="medium"/>
      <right>
        <color indexed="63"/>
      </right>
      <top style="hair"/>
      <bottom style="hair"/>
    </border>
    <border>
      <left style="medium"/>
      <right>
        <color indexed="63"/>
      </right>
      <top style="hair"/>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hair"/>
      <top>
        <color indexed="63"/>
      </top>
      <bottom style="hair"/>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171" fontId="0" fillId="0" borderId="0" applyFont="0" applyFill="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380">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6" fillId="0" borderId="0" xfId="0" applyNumberFormat="1" applyFont="1" applyFill="1" applyBorder="1" applyAlignment="1" applyProtection="1">
      <alignment horizontal="center" vertical="center"/>
      <protection locked="0"/>
    </xf>
    <xf numFmtId="184" fontId="5"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10" fillId="0" borderId="0" xfId="0" applyFont="1" applyFill="1" applyBorder="1" applyAlignment="1">
      <alignment horizontal="center" vertical="center"/>
    </xf>
    <xf numFmtId="0" fontId="0" fillId="0" borderId="0" xfId="0" applyBorder="1" applyAlignment="1">
      <alignment vertical="center"/>
    </xf>
    <xf numFmtId="184" fontId="9" fillId="33" borderId="10" xfId="0" applyNumberFormat="1" applyFont="1" applyFill="1" applyBorder="1" applyAlignment="1">
      <alignment horizontal="center" vertical="center"/>
    </xf>
    <xf numFmtId="0" fontId="13" fillId="0" borderId="0" xfId="0" applyFont="1" applyFill="1" applyBorder="1" applyAlignment="1" applyProtection="1">
      <alignment vertical="center"/>
      <protection locked="0"/>
    </xf>
    <xf numFmtId="184" fontId="0" fillId="0" borderId="0" xfId="0" applyNumberFormat="1" applyAlignment="1">
      <alignment horizontal="center" vertical="center"/>
    </xf>
    <xf numFmtId="3" fontId="0" fillId="0" borderId="0" xfId="0" applyNumberFormat="1" applyBorder="1" applyAlignment="1">
      <alignment vertical="center"/>
    </xf>
    <xf numFmtId="4" fontId="0" fillId="0" borderId="0" xfId="0" applyNumberFormat="1" applyBorder="1" applyAlignment="1">
      <alignment vertical="center"/>
    </xf>
    <xf numFmtId="184" fontId="0" fillId="0" borderId="0" xfId="0" applyNumberFormat="1" applyAlignment="1">
      <alignment horizontal="center"/>
    </xf>
    <xf numFmtId="3"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0" fontId="9" fillId="33" borderId="10"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0" xfId="0" applyFont="1" applyFill="1" applyAlignment="1">
      <alignment/>
    </xf>
    <xf numFmtId="4" fontId="12" fillId="0" borderId="0" xfId="0" applyNumberFormat="1" applyFont="1" applyFill="1" applyBorder="1" applyAlignment="1">
      <alignment horizontal="right" vertical="center"/>
    </xf>
    <xf numFmtId="1" fontId="21" fillId="0" borderId="0" xfId="0" applyNumberFormat="1" applyFont="1" applyFill="1" applyBorder="1" applyAlignment="1" applyProtection="1">
      <alignment horizontal="right" vertical="center"/>
      <protection/>
    </xf>
    <xf numFmtId="0" fontId="21" fillId="0" borderId="11" xfId="0" applyFont="1" applyBorder="1" applyAlignment="1" applyProtection="1">
      <alignment vertical="center"/>
      <protection locked="0"/>
    </xf>
    <xf numFmtId="0" fontId="21" fillId="0" borderId="12" xfId="0" applyFont="1" applyBorder="1" applyAlignment="1" applyProtection="1">
      <alignment vertical="center"/>
      <protection locked="0"/>
    </xf>
    <xf numFmtId="1" fontId="21" fillId="0" borderId="0" xfId="0" applyNumberFormat="1" applyFont="1" applyFill="1" applyBorder="1" applyAlignment="1" applyProtection="1">
      <alignment horizontal="right" vertical="center"/>
      <protection locked="0"/>
    </xf>
    <xf numFmtId="200" fontId="25" fillId="0" borderId="0" xfId="0" applyNumberFormat="1" applyFont="1" applyFill="1" applyBorder="1" applyAlignment="1" applyProtection="1">
      <alignment horizontal="right" vertical="center"/>
      <protection/>
    </xf>
    <xf numFmtId="200" fontId="26" fillId="33" borderId="10" xfId="0" applyNumberFormat="1" applyFont="1" applyFill="1" applyBorder="1" applyAlignment="1">
      <alignment horizontal="right" vertical="center"/>
    </xf>
    <xf numFmtId="200" fontId="27" fillId="0" borderId="0" xfId="0" applyNumberFormat="1" applyFont="1" applyFill="1" applyBorder="1" applyAlignment="1" applyProtection="1">
      <alignment horizontal="right" vertical="center"/>
      <protection locked="0"/>
    </xf>
    <xf numFmtId="200" fontId="21" fillId="0" borderId="0" xfId="0" applyNumberFormat="1" applyFont="1" applyAlignment="1">
      <alignment horizontal="right" vertical="center"/>
    </xf>
    <xf numFmtId="200" fontId="25" fillId="0" borderId="0" xfId="0" applyNumberFormat="1" applyFont="1" applyFill="1" applyBorder="1" applyAlignment="1" applyProtection="1">
      <alignment horizontal="right" vertical="center"/>
      <protection locked="0"/>
    </xf>
    <xf numFmtId="193" fontId="28" fillId="0" borderId="0" xfId="0" applyNumberFormat="1" applyFont="1" applyFill="1" applyBorder="1" applyAlignment="1" applyProtection="1">
      <alignment horizontal="right" vertical="center"/>
      <protection/>
    </xf>
    <xf numFmtId="193" fontId="26" fillId="33" borderId="10" xfId="0" applyNumberFormat="1" applyFont="1" applyFill="1" applyBorder="1" applyAlignment="1">
      <alignment horizontal="right" vertical="center"/>
    </xf>
    <xf numFmtId="193" fontId="24" fillId="0" borderId="0" xfId="0" applyNumberFormat="1" applyFont="1" applyFill="1" applyBorder="1" applyAlignment="1" applyProtection="1">
      <alignment horizontal="right" vertical="center"/>
      <protection locked="0"/>
    </xf>
    <xf numFmtId="193" fontId="21" fillId="0" borderId="0" xfId="0" applyNumberFormat="1" applyFont="1" applyAlignment="1">
      <alignment horizontal="right" vertical="center"/>
    </xf>
    <xf numFmtId="193" fontId="28" fillId="0" borderId="0"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Alignment="1">
      <alignment/>
    </xf>
    <xf numFmtId="171" fontId="31" fillId="0" borderId="0" xfId="43" applyFont="1" applyFill="1" applyBorder="1" applyAlignment="1" applyProtection="1">
      <alignment vertical="center"/>
      <protection/>
    </xf>
    <xf numFmtId="0" fontId="33" fillId="0" borderId="0" xfId="0" applyFont="1" applyFill="1" applyBorder="1" applyAlignment="1" applyProtection="1">
      <alignment vertical="center"/>
      <protection locked="0"/>
    </xf>
    <xf numFmtId="0" fontId="32" fillId="0" borderId="0" xfId="0" applyFont="1" applyAlignment="1">
      <alignment/>
    </xf>
    <xf numFmtId="0" fontId="32" fillId="0" borderId="0" xfId="0" applyFont="1" applyAlignment="1">
      <alignment vertical="center" readingOrder="1"/>
    </xf>
    <xf numFmtId="0" fontId="31" fillId="0" borderId="0" xfId="0" applyFont="1" applyFill="1" applyBorder="1" applyAlignment="1" applyProtection="1">
      <alignment vertical="center"/>
      <protection locked="0"/>
    </xf>
    <xf numFmtId="1" fontId="18" fillId="0" borderId="13" xfId="0" applyNumberFormat="1"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locked="0"/>
    </xf>
    <xf numFmtId="1" fontId="35" fillId="0" borderId="14" xfId="0" applyNumberFormat="1" applyFont="1" applyFill="1" applyBorder="1" applyAlignment="1" applyProtection="1">
      <alignment horizontal="center" vertical="center" wrapText="1"/>
      <protection/>
    </xf>
    <xf numFmtId="200" fontId="18" fillId="0" borderId="15" xfId="0" applyNumberFormat="1" applyFont="1" applyFill="1" applyBorder="1" applyAlignment="1" applyProtection="1">
      <alignment horizontal="center" wrapText="1"/>
      <protection/>
    </xf>
    <xf numFmtId="193" fontId="18" fillId="0" borderId="15" xfId="0" applyNumberFormat="1" applyFont="1" applyFill="1" applyBorder="1" applyAlignment="1" applyProtection="1">
      <alignment horizontal="center" wrapText="1"/>
      <protection/>
    </xf>
    <xf numFmtId="192" fontId="18" fillId="0" borderId="15" xfId="0" applyNumberFormat="1" applyFont="1" applyFill="1" applyBorder="1" applyAlignment="1" applyProtection="1">
      <alignment horizontal="center" wrapText="1"/>
      <protection/>
    </xf>
    <xf numFmtId="192" fontId="18" fillId="0" borderId="16" xfId="0" applyNumberFormat="1" applyFont="1" applyFill="1" applyBorder="1" applyAlignment="1" applyProtection="1">
      <alignment horizontal="center" wrapText="1"/>
      <protection/>
    </xf>
    <xf numFmtId="193" fontId="36" fillId="0" borderId="0" xfId="0" applyNumberFormat="1" applyFont="1" applyFill="1" applyBorder="1" applyAlignment="1" applyProtection="1">
      <alignment horizontal="right" vertical="center"/>
      <protection/>
    </xf>
    <xf numFmtId="192" fontId="37" fillId="0" borderId="0" xfId="0" applyNumberFormat="1" applyFont="1" applyFill="1" applyBorder="1" applyAlignment="1" applyProtection="1">
      <alignment horizontal="right" vertical="center"/>
      <protection/>
    </xf>
    <xf numFmtId="200" fontId="37" fillId="0" borderId="0" xfId="0" applyNumberFormat="1" applyFont="1" applyFill="1" applyBorder="1" applyAlignment="1" applyProtection="1">
      <alignment horizontal="right" vertical="center"/>
      <protection/>
    </xf>
    <xf numFmtId="193" fontId="37" fillId="0" borderId="0" xfId="0" applyNumberFormat="1" applyFont="1" applyFill="1" applyBorder="1" applyAlignment="1" applyProtection="1">
      <alignment horizontal="right" vertical="center"/>
      <protection/>
    </xf>
    <xf numFmtId="193" fontId="38" fillId="33" borderId="10" xfId="0" applyNumberFormat="1" applyFont="1" applyFill="1" applyBorder="1" applyAlignment="1">
      <alignment horizontal="right" vertical="center"/>
    </xf>
    <xf numFmtId="192" fontId="39" fillId="33" borderId="10" xfId="0" applyNumberFormat="1" applyFont="1" applyFill="1" applyBorder="1" applyAlignment="1">
      <alignment horizontal="right" vertical="center"/>
    </xf>
    <xf numFmtId="200" fontId="39" fillId="33" borderId="10" xfId="0" applyNumberFormat="1" applyFont="1" applyFill="1" applyBorder="1" applyAlignment="1">
      <alignment horizontal="right" vertical="center"/>
    </xf>
    <xf numFmtId="193" fontId="39" fillId="33" borderId="10" xfId="0" applyNumberFormat="1" applyFont="1" applyFill="1" applyBorder="1" applyAlignment="1">
      <alignment horizontal="right" vertical="center"/>
    </xf>
    <xf numFmtId="193" fontId="36" fillId="0" borderId="0" xfId="0" applyNumberFormat="1" applyFont="1" applyFill="1" applyBorder="1" applyAlignment="1" applyProtection="1">
      <alignment horizontal="right" vertical="center"/>
      <protection locked="0"/>
    </xf>
    <xf numFmtId="192" fontId="37" fillId="0" borderId="0" xfId="0" applyNumberFormat="1" applyFont="1" applyFill="1" applyBorder="1" applyAlignment="1" applyProtection="1">
      <alignment horizontal="right" vertical="center"/>
      <protection locked="0"/>
    </xf>
    <xf numFmtId="200" fontId="37" fillId="0" borderId="0" xfId="43" applyNumberFormat="1" applyFont="1" applyFill="1" applyBorder="1" applyAlignment="1" applyProtection="1">
      <alignment horizontal="right" vertical="center"/>
      <protection/>
    </xf>
    <xf numFmtId="193" fontId="37" fillId="0" borderId="0" xfId="0" applyNumberFormat="1" applyFont="1" applyFill="1" applyBorder="1" applyAlignment="1" applyProtection="1">
      <alignment horizontal="right" vertical="center"/>
      <protection locked="0"/>
    </xf>
    <xf numFmtId="193" fontId="36" fillId="0" borderId="0" xfId="0" applyNumberFormat="1" applyFont="1" applyAlignment="1">
      <alignment horizontal="right" vertical="center"/>
    </xf>
    <xf numFmtId="192" fontId="37" fillId="0" borderId="0" xfId="0" applyNumberFormat="1" applyFont="1" applyAlignment="1">
      <alignment horizontal="right" vertical="center"/>
    </xf>
    <xf numFmtId="200" fontId="37" fillId="0" borderId="0" xfId="0" applyNumberFormat="1" applyFont="1" applyAlignment="1">
      <alignment horizontal="right" vertical="center"/>
    </xf>
    <xf numFmtId="193" fontId="37" fillId="0" borderId="0" xfId="0" applyNumberFormat="1" applyFont="1" applyAlignment="1">
      <alignment horizontal="right" vertical="center"/>
    </xf>
    <xf numFmtId="200" fontId="37" fillId="0" borderId="0" xfId="0" applyNumberFormat="1" applyFont="1" applyFill="1" applyBorder="1" applyAlignment="1" applyProtection="1">
      <alignment horizontal="right" vertical="center"/>
      <protection locked="0"/>
    </xf>
    <xf numFmtId="0" fontId="20" fillId="0" borderId="0" xfId="0" applyFont="1" applyAlignment="1">
      <alignment horizontal="center"/>
    </xf>
    <xf numFmtId="4" fontId="22" fillId="0" borderId="0" xfId="0" applyNumberFormat="1" applyFont="1" applyAlignment="1">
      <alignment horizontal="right"/>
    </xf>
    <xf numFmtId="3" fontId="22" fillId="0" borderId="0" xfId="0" applyNumberFormat="1" applyFont="1" applyAlignment="1">
      <alignment horizontal="right"/>
    </xf>
    <xf numFmtId="0" fontId="22" fillId="0" borderId="0" xfId="0" applyFont="1" applyAlignment="1">
      <alignment/>
    </xf>
    <xf numFmtId="3" fontId="37" fillId="0" borderId="0" xfId="0" applyNumberFormat="1" applyFont="1" applyAlignment="1">
      <alignment horizontal="right"/>
    </xf>
    <xf numFmtId="2" fontId="37" fillId="0" borderId="0" xfId="0" applyNumberFormat="1" applyFont="1" applyAlignment="1">
      <alignment/>
    </xf>
    <xf numFmtId="4" fontId="37" fillId="0" borderId="0" xfId="0" applyNumberFormat="1" applyFont="1" applyAlignment="1">
      <alignment horizontal="right"/>
    </xf>
    <xf numFmtId="200" fontId="21" fillId="0" borderId="0" xfId="0" applyNumberFormat="1" applyFont="1" applyBorder="1" applyAlignment="1">
      <alignment horizontal="right" vertical="center"/>
    </xf>
    <xf numFmtId="193" fontId="21" fillId="0" borderId="0" xfId="0" applyNumberFormat="1" applyFont="1" applyBorder="1" applyAlignment="1">
      <alignment horizontal="right" vertical="center" indent="1"/>
    </xf>
    <xf numFmtId="192" fontId="22" fillId="0" borderId="0" xfId="0" applyNumberFormat="1" applyFont="1" applyBorder="1" applyAlignment="1">
      <alignment horizontal="right" vertical="center" indent="1"/>
    </xf>
    <xf numFmtId="0" fontId="14" fillId="0" borderId="0" xfId="0" applyFont="1" applyBorder="1" applyAlignment="1">
      <alignment horizontal="center" vertical="center"/>
    </xf>
    <xf numFmtId="0" fontId="20" fillId="0" borderId="0" xfId="0" applyFont="1" applyBorder="1" applyAlignment="1">
      <alignment vertical="center"/>
    </xf>
    <xf numFmtId="4" fontId="30" fillId="0" borderId="0" xfId="0" applyNumberFormat="1" applyFont="1" applyFill="1" applyBorder="1" applyAlignment="1">
      <alignment horizontal="right" vertical="center"/>
    </xf>
    <xf numFmtId="3" fontId="20" fillId="0" borderId="0" xfId="0" applyNumberFormat="1" applyFont="1" applyBorder="1" applyAlignment="1">
      <alignment vertical="center"/>
    </xf>
    <xf numFmtId="4" fontId="20" fillId="0" borderId="0" xfId="0" applyNumberFormat="1" applyFont="1" applyBorder="1" applyAlignment="1">
      <alignment vertical="center"/>
    </xf>
    <xf numFmtId="4" fontId="35"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00" fontId="18" fillId="0" borderId="15" xfId="0" applyNumberFormat="1" applyFont="1" applyFill="1" applyBorder="1" applyAlignment="1" applyProtection="1">
      <alignment horizontal="center" vertical="center" wrapText="1"/>
      <protection/>
    </xf>
    <xf numFmtId="193" fontId="18" fillId="0" borderId="15" xfId="0" applyNumberFormat="1" applyFont="1" applyFill="1" applyBorder="1" applyAlignment="1" applyProtection="1">
      <alignment horizontal="center" vertical="center" wrapText="1"/>
      <protection/>
    </xf>
    <xf numFmtId="0" fontId="32" fillId="0" borderId="17" xfId="0" applyFont="1" applyFill="1" applyBorder="1" applyAlignment="1">
      <alignment horizontal="left" vertical="center"/>
    </xf>
    <xf numFmtId="0" fontId="39" fillId="0" borderId="0" xfId="0" applyFont="1" applyFill="1" applyBorder="1" applyAlignment="1">
      <alignment horizontal="right"/>
    </xf>
    <xf numFmtId="184" fontId="19" fillId="0" borderId="18" xfId="0" applyNumberFormat="1" applyFont="1" applyFill="1" applyBorder="1" applyAlignment="1" applyProtection="1">
      <alignment horizontal="center" vertical="center"/>
      <protection locked="0"/>
    </xf>
    <xf numFmtId="184" fontId="19" fillId="0" borderId="18" xfId="0" applyNumberFormat="1" applyFont="1" applyFill="1" applyBorder="1" applyAlignment="1" applyProtection="1">
      <alignment vertical="center"/>
      <protection locked="0"/>
    </xf>
    <xf numFmtId="4" fontId="21" fillId="0" borderId="18" xfId="40" applyNumberFormat="1" applyFont="1" applyFill="1" applyBorder="1" applyAlignment="1" applyProtection="1">
      <alignment horizontal="right" vertical="center"/>
      <protection locked="0"/>
    </xf>
    <xf numFmtId="3" fontId="21" fillId="0" borderId="18" xfId="40" applyNumberFormat="1" applyFont="1" applyFill="1" applyBorder="1" applyAlignment="1" applyProtection="1">
      <alignment horizontal="right" vertical="center"/>
      <protection locked="0"/>
    </xf>
    <xf numFmtId="3" fontId="37" fillId="0" borderId="18" xfId="40" applyNumberFormat="1" applyFont="1" applyFill="1" applyBorder="1" applyAlignment="1" applyProtection="1">
      <alignment horizontal="right" vertical="center"/>
      <protection/>
    </xf>
    <xf numFmtId="2" fontId="37" fillId="0" borderId="18" xfId="40" applyNumberFormat="1" applyFont="1" applyFill="1" applyBorder="1" applyAlignment="1" applyProtection="1">
      <alignment vertical="center"/>
      <protection/>
    </xf>
    <xf numFmtId="4" fontId="37" fillId="0" borderId="18" xfId="40" applyNumberFormat="1" applyFont="1" applyFill="1" applyBorder="1" applyAlignment="1" applyProtection="1">
      <alignment horizontal="right" vertical="center"/>
      <protection locked="0"/>
    </xf>
    <xf numFmtId="3" fontId="37" fillId="0" borderId="18" xfId="40" applyNumberFormat="1" applyFont="1" applyFill="1" applyBorder="1" applyAlignment="1" applyProtection="1">
      <alignment horizontal="right" vertical="center"/>
      <protection locked="0"/>
    </xf>
    <xf numFmtId="0" fontId="19" fillId="0" borderId="18" xfId="0" applyFont="1" applyFill="1" applyBorder="1" applyAlignment="1" applyProtection="1">
      <alignment horizontal="left" vertical="center"/>
      <protection locked="0"/>
    </xf>
    <xf numFmtId="2" fontId="37" fillId="0" borderId="18" xfId="40" applyNumberFormat="1" applyFont="1" applyFill="1" applyBorder="1" applyAlignment="1" applyProtection="1">
      <alignment horizontal="right" vertical="center"/>
      <protection/>
    </xf>
    <xf numFmtId="184" fontId="19" fillId="0" borderId="18" xfId="0" applyNumberFormat="1" applyFont="1" applyFill="1" applyBorder="1" applyAlignment="1" applyProtection="1">
      <alignment horizontal="left" vertical="center"/>
      <protection locked="0"/>
    </xf>
    <xf numFmtId="3" fontId="21" fillId="0" borderId="18" xfId="40" applyNumberFormat="1" applyFont="1" applyFill="1" applyBorder="1" applyAlignment="1" applyProtection="1">
      <alignment vertical="center"/>
      <protection locked="0"/>
    </xf>
    <xf numFmtId="3" fontId="37" fillId="0" borderId="18" xfId="40" applyNumberFormat="1" applyFont="1" applyFill="1" applyBorder="1" applyAlignment="1" applyProtection="1">
      <alignment vertical="center"/>
      <protection/>
    </xf>
    <xf numFmtId="3" fontId="37" fillId="0" borderId="18" xfId="40" applyNumberFormat="1" applyFont="1" applyFill="1" applyBorder="1" applyAlignment="1" applyProtection="1">
      <alignment vertical="center"/>
      <protection locked="0"/>
    </xf>
    <xf numFmtId="0" fontId="19" fillId="0" borderId="18" xfId="0" applyFont="1" applyFill="1" applyBorder="1" applyAlignment="1" applyProtection="1">
      <alignment vertical="center"/>
      <protection locked="0"/>
    </xf>
    <xf numFmtId="4" fontId="21" fillId="0" borderId="18" xfId="40" applyNumberFormat="1" applyFont="1" applyFill="1" applyBorder="1" applyAlignment="1" applyProtection="1">
      <alignment vertical="center"/>
      <protection locked="0"/>
    </xf>
    <xf numFmtId="4" fontId="37" fillId="0" borderId="18" xfId="40" applyNumberFormat="1" applyFont="1" applyFill="1" applyBorder="1" applyAlignment="1" applyProtection="1">
      <alignment vertical="center"/>
      <protection locked="0"/>
    </xf>
    <xf numFmtId="184" fontId="19" fillId="0" borderId="18" xfId="0" applyNumberFormat="1" applyFont="1" applyFill="1" applyBorder="1" applyAlignment="1">
      <alignment horizontal="center" vertical="center"/>
    </xf>
    <xf numFmtId="0" fontId="19" fillId="0" borderId="18" xfId="0" applyFont="1" applyFill="1" applyBorder="1" applyAlignment="1">
      <alignment horizontal="left" vertical="center"/>
    </xf>
    <xf numFmtId="0" fontId="19" fillId="0" borderId="18" xfId="0" applyFont="1" applyFill="1" applyBorder="1" applyAlignment="1">
      <alignment vertical="center"/>
    </xf>
    <xf numFmtId="4" fontId="21" fillId="0" borderId="18" xfId="0" applyNumberFormat="1" applyFont="1" applyFill="1" applyBorder="1" applyAlignment="1">
      <alignment horizontal="right" vertical="center"/>
    </xf>
    <xf numFmtId="3" fontId="21" fillId="0" borderId="18" xfId="0" applyNumberFormat="1" applyFont="1" applyFill="1" applyBorder="1" applyAlignment="1">
      <alignment horizontal="right" vertical="center"/>
    </xf>
    <xf numFmtId="2" fontId="37" fillId="0" borderId="18" xfId="0" applyNumberFormat="1" applyFont="1" applyFill="1" applyBorder="1" applyAlignment="1">
      <alignment vertical="center"/>
    </xf>
    <xf numFmtId="4" fontId="37" fillId="0" borderId="18" xfId="0" applyNumberFormat="1" applyFont="1" applyFill="1" applyBorder="1" applyAlignment="1">
      <alignment horizontal="right" vertical="center"/>
    </xf>
    <xf numFmtId="2" fontId="37" fillId="0" borderId="18" xfId="0" applyNumberFormat="1" applyFont="1" applyFill="1" applyBorder="1" applyAlignment="1">
      <alignment horizontal="right" vertical="center"/>
    </xf>
    <xf numFmtId="4" fontId="21" fillId="0" borderId="18" xfId="43" applyNumberFormat="1" applyFont="1" applyFill="1" applyBorder="1" applyAlignment="1" applyProtection="1">
      <alignment horizontal="right" vertical="center"/>
      <protection/>
    </xf>
    <xf numFmtId="3" fontId="21" fillId="0" borderId="18" xfId="43" applyNumberFormat="1" applyFont="1" applyFill="1" applyBorder="1" applyAlignment="1" applyProtection="1">
      <alignment vertical="center"/>
      <protection/>
    </xf>
    <xf numFmtId="3" fontId="37" fillId="0" borderId="18" xfId="61" applyNumberFormat="1" applyFont="1" applyFill="1" applyBorder="1" applyAlignment="1" applyProtection="1">
      <alignment vertical="center"/>
      <protection/>
    </xf>
    <xf numFmtId="2" fontId="37" fillId="0" borderId="18" xfId="61" applyNumberFormat="1" applyFont="1" applyFill="1" applyBorder="1" applyAlignment="1" applyProtection="1">
      <alignment vertical="center"/>
      <protection/>
    </xf>
    <xf numFmtId="4" fontId="37" fillId="0" borderId="18" xfId="43" applyNumberFormat="1" applyFont="1" applyFill="1" applyBorder="1" applyAlignment="1" applyProtection="1">
      <alignment horizontal="right" vertical="center"/>
      <protection/>
    </xf>
    <xf numFmtId="3" fontId="21" fillId="0" borderId="18" xfId="43" applyNumberFormat="1" applyFont="1" applyFill="1" applyBorder="1" applyAlignment="1" applyProtection="1">
      <alignment horizontal="right" vertical="center"/>
      <protection/>
    </xf>
    <xf numFmtId="3" fontId="37" fillId="0" borderId="18" xfId="61" applyNumberFormat="1" applyFont="1" applyFill="1" applyBorder="1" applyAlignment="1" applyProtection="1">
      <alignment horizontal="right" vertical="center"/>
      <protection/>
    </xf>
    <xf numFmtId="2" fontId="37" fillId="0" borderId="18" xfId="61" applyNumberFormat="1" applyFont="1" applyFill="1" applyBorder="1" applyAlignment="1" applyProtection="1">
      <alignment horizontal="right" vertical="center"/>
      <protection/>
    </xf>
    <xf numFmtId="184" fontId="19" fillId="34" borderId="18" xfId="0" applyNumberFormat="1" applyFont="1" applyFill="1" applyBorder="1" applyAlignment="1">
      <alignment horizontal="center" vertical="center"/>
    </xf>
    <xf numFmtId="0" fontId="19" fillId="34" borderId="18" xfId="0" applyFont="1" applyFill="1" applyBorder="1" applyAlignment="1">
      <alignment horizontal="left" vertical="center"/>
    </xf>
    <xf numFmtId="0" fontId="19" fillId="0" borderId="18" xfId="0" applyNumberFormat="1" applyFont="1" applyFill="1" applyBorder="1" applyAlignment="1" applyProtection="1">
      <alignment vertical="center"/>
      <protection locked="0"/>
    </xf>
    <xf numFmtId="4" fontId="21" fillId="0" borderId="18" xfId="45" applyNumberFormat="1" applyFont="1" applyFill="1" applyBorder="1" applyAlignment="1" applyProtection="1">
      <alignment horizontal="right" vertical="center"/>
      <protection locked="0"/>
    </xf>
    <xf numFmtId="3" fontId="21" fillId="0" borderId="18" xfId="45" applyNumberFormat="1" applyFont="1" applyFill="1" applyBorder="1" applyAlignment="1" applyProtection="1">
      <alignment horizontal="right" vertical="center"/>
      <protection locked="0"/>
    </xf>
    <xf numFmtId="3" fontId="37" fillId="0" borderId="18" xfId="45" applyNumberFormat="1" applyFont="1" applyFill="1" applyBorder="1" applyAlignment="1" applyProtection="1">
      <alignment horizontal="right" vertical="center"/>
      <protection/>
    </xf>
    <xf numFmtId="2" fontId="37" fillId="0" borderId="18" xfId="45" applyNumberFormat="1" applyFont="1" applyFill="1" applyBorder="1" applyAlignment="1" applyProtection="1">
      <alignment vertical="center"/>
      <protection/>
    </xf>
    <xf numFmtId="4" fontId="37" fillId="0" borderId="18" xfId="45" applyNumberFormat="1" applyFont="1" applyFill="1" applyBorder="1" applyAlignment="1" applyProtection="1">
      <alignment horizontal="right" vertical="center"/>
      <protection locked="0"/>
    </xf>
    <xf numFmtId="3" fontId="37" fillId="0" borderId="18" xfId="45" applyNumberFormat="1" applyFont="1" applyFill="1" applyBorder="1" applyAlignment="1" applyProtection="1">
      <alignment horizontal="right" vertical="center"/>
      <protection locked="0"/>
    </xf>
    <xf numFmtId="0" fontId="19" fillId="0" borderId="18" xfId="0" applyNumberFormat="1" applyFont="1" applyFill="1" applyBorder="1" applyAlignment="1" applyProtection="1">
      <alignment horizontal="left" vertical="center"/>
      <protection locked="0"/>
    </xf>
    <xf numFmtId="2" fontId="37" fillId="0" borderId="18" xfId="45" applyNumberFormat="1" applyFont="1" applyFill="1" applyBorder="1" applyAlignment="1" applyProtection="1">
      <alignment horizontal="right" vertical="center"/>
      <protection/>
    </xf>
    <xf numFmtId="3" fontId="21" fillId="0" borderId="18" xfId="45" applyNumberFormat="1" applyFont="1" applyFill="1" applyBorder="1" applyAlignment="1" applyProtection="1">
      <alignment vertical="center"/>
      <protection locked="0"/>
    </xf>
    <xf numFmtId="3" fontId="37" fillId="0" borderId="18" xfId="45" applyNumberFormat="1" applyFont="1" applyFill="1" applyBorder="1" applyAlignment="1" applyProtection="1">
      <alignment vertical="center"/>
      <protection/>
    </xf>
    <xf numFmtId="3" fontId="37" fillId="0" borderId="18" xfId="45" applyNumberFormat="1" applyFont="1" applyFill="1" applyBorder="1" applyAlignment="1" applyProtection="1">
      <alignment vertical="center"/>
      <protection locked="0"/>
    </xf>
    <xf numFmtId="4" fontId="21" fillId="0" borderId="18" xfId="0" applyNumberFormat="1" applyFont="1" applyFill="1" applyBorder="1" applyAlignment="1">
      <alignment vertical="center"/>
    </xf>
    <xf numFmtId="3" fontId="21" fillId="0" borderId="18" xfId="0" applyNumberFormat="1" applyFont="1" applyFill="1" applyBorder="1" applyAlignment="1">
      <alignment vertical="center"/>
    </xf>
    <xf numFmtId="4" fontId="37" fillId="0" borderId="18" xfId="0" applyNumberFormat="1" applyFont="1" applyFill="1" applyBorder="1" applyAlignment="1">
      <alignment vertical="center"/>
    </xf>
    <xf numFmtId="14" fontId="19" fillId="0" borderId="18" xfId="0" applyNumberFormat="1" applyFont="1" applyFill="1" applyBorder="1" applyAlignment="1">
      <alignment horizontal="left" vertical="center"/>
    </xf>
    <xf numFmtId="184" fontId="19" fillId="35" borderId="18" xfId="0" applyNumberFormat="1" applyFont="1" applyFill="1" applyBorder="1" applyAlignment="1">
      <alignment horizontal="center" vertical="center"/>
    </xf>
    <xf numFmtId="14" fontId="19" fillId="35" borderId="18" xfId="0" applyNumberFormat="1" applyFont="1" applyFill="1" applyBorder="1" applyAlignment="1">
      <alignment vertical="center"/>
    </xf>
    <xf numFmtId="4" fontId="21" fillId="35" borderId="18" xfId="0" applyNumberFormat="1" applyFont="1" applyFill="1" applyBorder="1" applyAlignment="1">
      <alignment horizontal="right" vertical="center"/>
    </xf>
    <xf numFmtId="3" fontId="37" fillId="35" borderId="18" xfId="0" applyNumberFormat="1" applyFont="1" applyFill="1" applyBorder="1" applyAlignment="1">
      <alignment horizontal="right" vertical="center"/>
    </xf>
    <xf numFmtId="4" fontId="37" fillId="35" borderId="18" xfId="0" applyNumberFormat="1" applyFont="1" applyFill="1" applyBorder="1" applyAlignment="1">
      <alignment horizontal="right" vertical="center"/>
    </xf>
    <xf numFmtId="2" fontId="37" fillId="35" borderId="18" xfId="0" applyNumberFormat="1" applyFont="1" applyFill="1" applyBorder="1" applyAlignment="1">
      <alignment vertical="center"/>
    </xf>
    <xf numFmtId="14" fontId="19" fillId="0" borderId="18" xfId="0" applyNumberFormat="1" applyFont="1" applyFill="1" applyBorder="1" applyAlignment="1">
      <alignment vertical="center"/>
    </xf>
    <xf numFmtId="49" fontId="19" fillId="0" borderId="18" xfId="0" applyNumberFormat="1" applyFont="1" applyFill="1" applyBorder="1" applyAlignment="1" applyProtection="1">
      <alignment horizontal="left" vertical="center"/>
      <protection locked="0"/>
    </xf>
    <xf numFmtId="4" fontId="21" fillId="0" borderId="18" xfId="43" applyNumberFormat="1" applyFont="1" applyFill="1" applyBorder="1" applyAlignment="1" applyProtection="1">
      <alignment horizontal="right" vertical="center"/>
      <protection locked="0"/>
    </xf>
    <xf numFmtId="3" fontId="21" fillId="0" borderId="18" xfId="43" applyNumberFormat="1" applyFont="1" applyFill="1" applyBorder="1" applyAlignment="1" applyProtection="1">
      <alignment vertical="center"/>
      <protection locked="0"/>
    </xf>
    <xf numFmtId="4" fontId="37" fillId="0" borderId="18" xfId="43" applyNumberFormat="1" applyFont="1" applyFill="1" applyBorder="1" applyAlignment="1" applyProtection="1">
      <alignment horizontal="right" vertical="center"/>
      <protection locked="0"/>
    </xf>
    <xf numFmtId="3" fontId="37" fillId="0" borderId="18" xfId="43" applyNumberFormat="1" applyFont="1" applyFill="1" applyBorder="1" applyAlignment="1" applyProtection="1">
      <alignment vertical="center"/>
      <protection locked="0"/>
    </xf>
    <xf numFmtId="3" fontId="21" fillId="0" borderId="18" xfId="43" applyNumberFormat="1" applyFont="1" applyFill="1" applyBorder="1" applyAlignment="1" applyProtection="1">
      <alignment horizontal="right" vertical="center"/>
      <protection locked="0"/>
    </xf>
    <xf numFmtId="3" fontId="37" fillId="0" borderId="18" xfId="43" applyNumberFormat="1" applyFont="1" applyFill="1" applyBorder="1" applyAlignment="1" applyProtection="1">
      <alignment horizontal="right" vertical="center"/>
      <protection/>
    </xf>
    <xf numFmtId="3" fontId="37" fillId="0" borderId="18" xfId="43" applyNumberFormat="1" applyFont="1" applyFill="1" applyBorder="1" applyAlignment="1" applyProtection="1">
      <alignment horizontal="right" vertical="center"/>
      <protection locked="0"/>
    </xf>
    <xf numFmtId="3" fontId="37" fillId="0" borderId="18" xfId="43" applyNumberFormat="1" applyFont="1" applyFill="1" applyBorder="1" applyAlignment="1" applyProtection="1">
      <alignment vertical="center"/>
      <protection/>
    </xf>
    <xf numFmtId="2" fontId="37" fillId="0" borderId="18" xfId="43" applyNumberFormat="1" applyFont="1" applyFill="1" applyBorder="1" applyAlignment="1" applyProtection="1">
      <alignment vertical="center"/>
      <protection/>
    </xf>
    <xf numFmtId="49" fontId="19" fillId="0" borderId="18" xfId="0" applyNumberFormat="1" applyFont="1" applyFill="1" applyBorder="1" applyAlignment="1" applyProtection="1">
      <alignment vertical="center"/>
      <protection locked="0"/>
    </xf>
    <xf numFmtId="3" fontId="21" fillId="35" borderId="18" xfId="0" applyNumberFormat="1" applyFont="1" applyFill="1" applyBorder="1" applyAlignment="1">
      <alignment horizontal="right" vertical="center"/>
    </xf>
    <xf numFmtId="2" fontId="37" fillId="0" borderId="18" xfId="43" applyNumberFormat="1" applyFont="1" applyFill="1" applyBorder="1" applyAlignment="1" applyProtection="1">
      <alignment horizontal="right" vertical="center"/>
      <protection/>
    </xf>
    <xf numFmtId="0" fontId="19" fillId="0" borderId="19" xfId="0" applyFont="1" applyFill="1" applyBorder="1" applyAlignment="1" applyProtection="1">
      <alignment horizontal="left" vertical="center"/>
      <protection locked="0"/>
    </xf>
    <xf numFmtId="0" fontId="19" fillId="0" borderId="20" xfId="0" applyFont="1" applyFill="1" applyBorder="1" applyAlignment="1" applyProtection="1">
      <alignment horizontal="left" vertical="center"/>
      <protection locked="0"/>
    </xf>
    <xf numFmtId="0" fontId="32" fillId="0" borderId="21" xfId="0" applyFont="1" applyFill="1" applyBorder="1" applyAlignment="1">
      <alignment horizontal="left" vertical="center"/>
    </xf>
    <xf numFmtId="0" fontId="19" fillId="0" borderId="10" xfId="0" applyFont="1" applyFill="1" applyBorder="1" applyAlignment="1" applyProtection="1">
      <alignment horizontal="left" vertical="center"/>
      <protection locked="0"/>
    </xf>
    <xf numFmtId="2" fontId="37" fillId="0" borderId="22" xfId="0" applyNumberFormat="1" applyFont="1" applyFill="1" applyBorder="1" applyAlignment="1">
      <alignment horizontal="right" vertical="center"/>
    </xf>
    <xf numFmtId="2" fontId="37" fillId="0" borderId="23" xfId="0" applyNumberFormat="1" applyFont="1" applyFill="1" applyBorder="1" applyAlignment="1">
      <alignment horizontal="right" vertical="center"/>
    </xf>
    <xf numFmtId="2" fontId="37" fillId="0" borderId="24" xfId="0" applyNumberFormat="1" applyFont="1" applyFill="1" applyBorder="1" applyAlignment="1">
      <alignment horizontal="right" vertical="center"/>
    </xf>
    <xf numFmtId="3" fontId="37" fillId="0" borderId="18" xfId="0" applyNumberFormat="1" applyFont="1" applyFill="1" applyBorder="1" applyAlignment="1">
      <alignment vertical="center"/>
    </xf>
    <xf numFmtId="0" fontId="2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4" fontId="46" fillId="0" borderId="0" xfId="0" applyNumberFormat="1" applyFont="1" applyFill="1" applyBorder="1" applyAlignment="1">
      <alignment horizontal="right" vertical="center"/>
    </xf>
    <xf numFmtId="3" fontId="47" fillId="0" borderId="0" xfId="0" applyNumberFormat="1" applyFont="1" applyFill="1" applyBorder="1" applyAlignment="1">
      <alignment vertical="center"/>
    </xf>
    <xf numFmtId="4" fontId="47" fillId="0" borderId="0" xfId="0" applyNumberFormat="1" applyFont="1" applyFill="1" applyBorder="1" applyAlignment="1">
      <alignment vertical="center"/>
    </xf>
    <xf numFmtId="0" fontId="47" fillId="0" borderId="0" xfId="0" applyFont="1" applyBorder="1" applyAlignment="1">
      <alignment vertical="center"/>
    </xf>
    <xf numFmtId="1" fontId="20" fillId="0" borderId="13" xfId="0" applyNumberFormat="1" applyFont="1" applyFill="1" applyBorder="1" applyAlignment="1" applyProtection="1">
      <alignment horizontal="center" vertical="center" wrapText="1"/>
      <protection/>
    </xf>
    <xf numFmtId="1" fontId="30" fillId="0" borderId="14" xfId="0" applyNumberFormat="1" applyFont="1" applyFill="1" applyBorder="1" applyAlignment="1" applyProtection="1">
      <alignment horizontal="center" vertical="center" wrapText="1"/>
      <protection/>
    </xf>
    <xf numFmtId="0" fontId="22" fillId="0" borderId="25" xfId="0" applyFont="1" applyFill="1" applyBorder="1" applyAlignment="1" applyProtection="1">
      <alignment horizontal="right" vertical="center"/>
      <protection/>
    </xf>
    <xf numFmtId="0" fontId="38" fillId="0" borderId="0" xfId="0" applyFont="1" applyFill="1" applyBorder="1" applyAlignment="1">
      <alignment horizontal="right"/>
    </xf>
    <xf numFmtId="0" fontId="48" fillId="0" borderId="0" xfId="0" applyFont="1" applyFill="1" applyAlignment="1">
      <alignment/>
    </xf>
    <xf numFmtId="0" fontId="49" fillId="0" borderId="0" xfId="0" applyFont="1" applyAlignment="1">
      <alignment/>
    </xf>
    <xf numFmtId="0" fontId="32" fillId="0" borderId="26" xfId="0" applyFont="1" applyFill="1" applyBorder="1" applyAlignment="1">
      <alignment horizontal="left" vertical="center"/>
    </xf>
    <xf numFmtId="0" fontId="23" fillId="0" borderId="0" xfId="0" applyNumberFormat="1" applyFont="1" applyFill="1" applyBorder="1" applyAlignment="1" applyProtection="1">
      <alignment horizontal="right" vertical="center"/>
      <protection/>
    </xf>
    <xf numFmtId="0" fontId="34" fillId="33" borderId="10" xfId="0" applyFont="1" applyFill="1" applyBorder="1" applyAlignment="1">
      <alignment horizontal="right" vertical="center"/>
    </xf>
    <xf numFmtId="3" fontId="34" fillId="33" borderId="10" xfId="0" applyNumberFormat="1" applyFont="1" applyFill="1" applyBorder="1" applyAlignment="1">
      <alignment horizontal="right" vertical="center"/>
    </xf>
    <xf numFmtId="0" fontId="23" fillId="0" borderId="0" xfId="0" applyNumberFormat="1" applyFont="1" applyFill="1" applyBorder="1" applyAlignment="1" applyProtection="1">
      <alignment horizontal="right" vertical="center"/>
      <protection locked="0"/>
    </xf>
    <xf numFmtId="0" fontId="23" fillId="0" borderId="0" xfId="0" applyFont="1" applyAlignment="1">
      <alignment horizontal="right"/>
    </xf>
    <xf numFmtId="0" fontId="24" fillId="0" borderId="0" xfId="0" applyFont="1" applyBorder="1" applyAlignment="1">
      <alignment horizontal="right" vertical="center"/>
    </xf>
    <xf numFmtId="187" fontId="24" fillId="0" borderId="0" xfId="0" applyNumberFormat="1" applyFont="1" applyFill="1" applyBorder="1" applyAlignment="1" applyProtection="1">
      <alignment horizontal="right" vertical="center"/>
      <protection locked="0"/>
    </xf>
    <xf numFmtId="0" fontId="23" fillId="0" borderId="0" xfId="0" applyFont="1" applyBorder="1" applyAlignment="1">
      <alignment horizontal="right"/>
    </xf>
    <xf numFmtId="0" fontId="23" fillId="0" borderId="0" xfId="0" applyFont="1" applyAlignment="1">
      <alignment horizontal="right" vertical="center"/>
    </xf>
    <xf numFmtId="4" fontId="21" fillId="0" borderId="18" xfId="0" applyNumberFormat="1" applyFont="1" applyFill="1" applyBorder="1" applyAlignment="1">
      <alignment vertical="center"/>
    </xf>
    <xf numFmtId="3" fontId="21" fillId="0" borderId="18" xfId="0" applyNumberFormat="1" applyFont="1" applyFill="1" applyBorder="1" applyAlignment="1">
      <alignment vertical="center"/>
    </xf>
    <xf numFmtId="0" fontId="39" fillId="0" borderId="27" xfId="0" applyFont="1" applyFill="1" applyBorder="1" applyAlignment="1" applyProtection="1">
      <alignment horizontal="right" vertical="center"/>
      <protection locked="0"/>
    </xf>
    <xf numFmtId="0" fontId="39" fillId="0" borderId="27" xfId="0" applyFont="1" applyFill="1" applyBorder="1" applyAlignment="1">
      <alignment horizontal="right" vertical="center"/>
    </xf>
    <xf numFmtId="0" fontId="39" fillId="0" borderId="27" xfId="0" applyFont="1" applyFill="1" applyBorder="1" applyAlignment="1" applyProtection="1">
      <alignment vertical="center"/>
      <protection locked="0"/>
    </xf>
    <xf numFmtId="0" fontId="34" fillId="0" borderId="27" xfId="0" applyFont="1" applyFill="1" applyBorder="1" applyAlignment="1">
      <alignment vertical="center"/>
    </xf>
    <xf numFmtId="0" fontId="34" fillId="0" borderId="27" xfId="0" applyFont="1" applyFill="1" applyBorder="1" applyAlignment="1" applyProtection="1">
      <alignment vertical="center"/>
      <protection locked="0"/>
    </xf>
    <xf numFmtId="0" fontId="23" fillId="0" borderId="0" xfId="0" applyFont="1" applyBorder="1" applyAlignment="1">
      <alignment vertical="center"/>
    </xf>
    <xf numFmtId="184" fontId="19" fillId="0" borderId="19" xfId="0" applyNumberFormat="1" applyFont="1" applyBorder="1" applyAlignment="1">
      <alignment horizontal="center" vertical="center"/>
    </xf>
    <xf numFmtId="0" fontId="19" fillId="0" borderId="19" xfId="0" applyFont="1" applyBorder="1" applyAlignment="1">
      <alignment horizontal="left" vertical="center"/>
    </xf>
    <xf numFmtId="0" fontId="23" fillId="0" borderId="19" xfId="0" applyFont="1" applyBorder="1" applyAlignment="1">
      <alignment horizontal="right" vertical="center"/>
    </xf>
    <xf numFmtId="4" fontId="21" fillId="0" borderId="19" xfId="0" applyNumberFormat="1" applyFont="1" applyBorder="1" applyAlignment="1">
      <alignment horizontal="right" vertical="center"/>
    </xf>
    <xf numFmtId="3" fontId="21" fillId="0" borderId="19" xfId="0" applyNumberFormat="1" applyFont="1" applyBorder="1" applyAlignment="1">
      <alignment horizontal="right" vertical="center"/>
    </xf>
    <xf numFmtId="3" fontId="37" fillId="0" borderId="19" xfId="0" applyNumberFormat="1" applyFont="1" applyFill="1" applyBorder="1" applyAlignment="1">
      <alignment horizontal="right" vertical="center"/>
    </xf>
    <xf numFmtId="2" fontId="37" fillId="0" borderId="19" xfId="0" applyNumberFormat="1" applyFont="1" applyFill="1" applyBorder="1" applyAlignment="1">
      <alignment horizontal="right" vertical="center"/>
    </xf>
    <xf numFmtId="4" fontId="37" fillId="0" borderId="19" xfId="0" applyNumberFormat="1" applyFont="1" applyFill="1" applyBorder="1" applyAlignment="1">
      <alignment horizontal="right" vertical="center"/>
    </xf>
    <xf numFmtId="3" fontId="37" fillId="0" borderId="20" xfId="0" applyNumberFormat="1" applyFont="1" applyFill="1" applyBorder="1" applyAlignment="1">
      <alignment horizontal="right" vertical="center"/>
    </xf>
    <xf numFmtId="2" fontId="37" fillId="0" borderId="20" xfId="0" applyNumberFormat="1" applyFont="1" applyFill="1" applyBorder="1" applyAlignment="1">
      <alignment horizontal="right" vertical="center"/>
    </xf>
    <xf numFmtId="4" fontId="37" fillId="0" borderId="20" xfId="0" applyNumberFormat="1" applyFont="1" applyFill="1" applyBorder="1" applyAlignment="1">
      <alignment horizontal="right" vertical="center"/>
    </xf>
    <xf numFmtId="3" fontId="37" fillId="0" borderId="10" xfId="0" applyNumberFormat="1" applyFont="1" applyFill="1" applyBorder="1" applyAlignment="1">
      <alignment horizontal="right" vertical="center"/>
    </xf>
    <xf numFmtId="2" fontId="37" fillId="0" borderId="10" xfId="0" applyNumberFormat="1" applyFont="1" applyFill="1" applyBorder="1" applyAlignment="1">
      <alignment horizontal="right" vertical="center"/>
    </xf>
    <xf numFmtId="4" fontId="37" fillId="0" borderId="10" xfId="0" applyNumberFormat="1" applyFont="1" applyFill="1" applyBorder="1" applyAlignment="1">
      <alignment horizontal="right" vertical="center"/>
    </xf>
    <xf numFmtId="4" fontId="21" fillId="0" borderId="18" xfId="0" applyNumberFormat="1" applyFont="1" applyFill="1" applyBorder="1" applyAlignment="1">
      <alignment horizontal="right" vertical="center"/>
    </xf>
    <xf numFmtId="3" fontId="21" fillId="0" borderId="18" xfId="0" applyNumberFormat="1" applyFont="1" applyFill="1" applyBorder="1" applyAlignment="1">
      <alignment horizontal="right" vertical="center"/>
    </xf>
    <xf numFmtId="184" fontId="19" fillId="0" borderId="18" xfId="0" applyNumberFormat="1" applyFont="1" applyBorder="1" applyAlignment="1">
      <alignment horizontal="center" vertical="center"/>
    </xf>
    <xf numFmtId="0" fontId="19" fillId="0" borderId="18" xfId="0" applyFont="1" applyBorder="1" applyAlignment="1">
      <alignment horizontal="left" vertical="center"/>
    </xf>
    <xf numFmtId="4" fontId="21" fillId="0" borderId="18" xfId="0" applyNumberFormat="1" applyFont="1" applyBorder="1" applyAlignment="1">
      <alignment horizontal="right" vertical="center"/>
    </xf>
    <xf numFmtId="3" fontId="21" fillId="0" borderId="18" xfId="0" applyNumberFormat="1" applyFont="1" applyBorder="1" applyAlignment="1">
      <alignment horizontal="right" vertical="center"/>
    </xf>
    <xf numFmtId="4" fontId="37" fillId="0" borderId="18" xfId="0" applyNumberFormat="1" applyFont="1" applyBorder="1" applyAlignment="1">
      <alignment horizontal="right" vertical="center"/>
    </xf>
    <xf numFmtId="3" fontId="37" fillId="0" borderId="18" xfId="0" applyNumberFormat="1" applyFont="1" applyFill="1" applyBorder="1" applyAlignment="1">
      <alignment horizontal="right" vertical="center"/>
    </xf>
    <xf numFmtId="0" fontId="22" fillId="0" borderId="14" xfId="0" applyFont="1" applyFill="1" applyBorder="1" applyAlignment="1">
      <alignment horizontal="right" vertical="center"/>
    </xf>
    <xf numFmtId="3" fontId="37" fillId="0" borderId="18" xfId="0" applyNumberFormat="1" applyFont="1" applyBorder="1" applyAlignment="1">
      <alignment horizontal="right" vertical="center"/>
    </xf>
    <xf numFmtId="0" fontId="55" fillId="0" borderId="27" xfId="0" applyFont="1" applyFill="1" applyBorder="1" applyAlignment="1" applyProtection="1">
      <alignment vertical="center"/>
      <protection locked="0"/>
    </xf>
    <xf numFmtId="0" fontId="56" fillId="0" borderId="27" xfId="0" applyFont="1" applyFill="1" applyBorder="1" applyAlignment="1">
      <alignment/>
    </xf>
    <xf numFmtId="0" fontId="57" fillId="0" borderId="27" xfId="0" applyFont="1" applyFill="1" applyBorder="1" applyAlignment="1">
      <alignment/>
    </xf>
    <xf numFmtId="0" fontId="58" fillId="0" borderId="27" xfId="0" applyFont="1" applyFill="1" applyBorder="1" applyAlignment="1" applyProtection="1">
      <alignment vertical="center"/>
      <protection locked="0"/>
    </xf>
    <xf numFmtId="0" fontId="9" fillId="0" borderId="27" xfId="0" applyNumberFormat="1" applyFont="1" applyFill="1" applyBorder="1" applyAlignment="1" applyProtection="1">
      <alignment horizontal="center" vertical="center"/>
      <protection locked="0"/>
    </xf>
    <xf numFmtId="0" fontId="34" fillId="0" borderId="27" xfId="0" applyFont="1" applyFill="1" applyBorder="1" applyAlignment="1">
      <alignment horizontal="right" vertical="center"/>
    </xf>
    <xf numFmtId="0" fontId="59" fillId="0" borderId="27" xfId="0" applyFont="1" applyFill="1" applyBorder="1" applyAlignment="1" applyProtection="1">
      <alignment vertical="center"/>
      <protection locked="0"/>
    </xf>
    <xf numFmtId="3" fontId="39" fillId="0" borderId="27" xfId="0" applyNumberFormat="1" applyFont="1" applyFill="1" applyBorder="1" applyAlignment="1">
      <alignment horizontal="right" vertical="center"/>
    </xf>
    <xf numFmtId="0" fontId="56" fillId="0" borderId="27" xfId="0" applyFont="1" applyFill="1" applyBorder="1" applyAlignment="1">
      <alignment/>
    </xf>
    <xf numFmtId="192" fontId="39" fillId="33" borderId="12" xfId="0" applyNumberFormat="1" applyFont="1" applyFill="1" applyBorder="1" applyAlignment="1">
      <alignment horizontal="right" vertical="center"/>
    </xf>
    <xf numFmtId="0" fontId="9" fillId="0" borderId="0" xfId="0" applyNumberFormat="1" applyFont="1" applyFill="1" applyBorder="1" applyAlignment="1" applyProtection="1">
      <alignment horizontal="center" vertical="center"/>
      <protection locked="0"/>
    </xf>
    <xf numFmtId="0" fontId="21" fillId="0" borderId="28" xfId="0" applyFont="1" applyBorder="1" applyAlignment="1" applyProtection="1">
      <alignment vertical="center"/>
      <protection locked="0"/>
    </xf>
    <xf numFmtId="0" fontId="21" fillId="0" borderId="29" xfId="0" applyFont="1" applyBorder="1" applyAlignment="1" applyProtection="1">
      <alignment vertical="center"/>
      <protection locked="0"/>
    </xf>
    <xf numFmtId="0" fontId="21" fillId="0" borderId="30" xfId="0" applyFont="1" applyFill="1" applyBorder="1" applyAlignment="1" applyProtection="1">
      <alignment vertical="center"/>
      <protection locked="0"/>
    </xf>
    <xf numFmtId="184" fontId="19" fillId="0" borderId="10" xfId="0" applyNumberFormat="1" applyFont="1" applyBorder="1" applyAlignment="1">
      <alignment horizontal="center" vertical="center"/>
    </xf>
    <xf numFmtId="0" fontId="19" fillId="0" borderId="10" xfId="0" applyFont="1" applyBorder="1" applyAlignment="1">
      <alignment horizontal="left" vertical="center"/>
    </xf>
    <xf numFmtId="0" fontId="23" fillId="0" borderId="10" xfId="0" applyFont="1" applyBorder="1" applyAlignment="1">
      <alignment horizontal="right" vertical="center"/>
    </xf>
    <xf numFmtId="4" fontId="21" fillId="0" borderId="10" xfId="0" applyNumberFormat="1" applyFont="1" applyBorder="1" applyAlignment="1">
      <alignment horizontal="right" vertical="center"/>
    </xf>
    <xf numFmtId="3" fontId="21" fillId="0" borderId="10" xfId="0" applyNumberFormat="1" applyFont="1" applyBorder="1" applyAlignment="1">
      <alignment horizontal="right" vertical="center"/>
    </xf>
    <xf numFmtId="184" fontId="19" fillId="0" borderId="20" xfId="0" applyNumberFormat="1" applyFont="1" applyBorder="1" applyAlignment="1">
      <alignment horizontal="center" vertical="center"/>
    </xf>
    <xf numFmtId="0" fontId="19" fillId="0" borderId="20" xfId="0" applyFont="1" applyBorder="1" applyAlignment="1">
      <alignment horizontal="left" vertical="center"/>
    </xf>
    <xf numFmtId="0" fontId="23" fillId="0" borderId="20" xfId="0" applyFont="1" applyBorder="1" applyAlignment="1">
      <alignment horizontal="right" vertical="center"/>
    </xf>
    <xf numFmtId="4" fontId="21" fillId="0" borderId="20" xfId="0" applyNumberFormat="1" applyFont="1" applyBorder="1" applyAlignment="1">
      <alignment horizontal="right" vertical="center"/>
    </xf>
    <xf numFmtId="3" fontId="21" fillId="0" borderId="20" xfId="0" applyNumberFormat="1" applyFont="1" applyBorder="1" applyAlignment="1">
      <alignment horizontal="right" vertical="center"/>
    </xf>
    <xf numFmtId="0" fontId="20" fillId="0" borderId="13" xfId="0" applyFont="1" applyBorder="1" applyAlignment="1">
      <alignment horizontal="right" vertical="center"/>
    </xf>
    <xf numFmtId="0" fontId="20" fillId="0" borderId="31" xfId="0" applyFont="1" applyBorder="1" applyAlignment="1">
      <alignment vertical="center"/>
    </xf>
    <xf numFmtId="0" fontId="20" fillId="0" borderId="31" xfId="0" applyFont="1" applyBorder="1" applyAlignment="1">
      <alignment horizontal="center" vertical="center"/>
    </xf>
    <xf numFmtId="200" fontId="18" fillId="0" borderId="31" xfId="0" applyNumberFormat="1" applyFont="1" applyBorder="1" applyAlignment="1">
      <alignment horizontal="right" vertical="center"/>
    </xf>
    <xf numFmtId="193" fontId="18" fillId="0" borderId="31" xfId="0" applyNumberFormat="1" applyFont="1" applyBorder="1" applyAlignment="1">
      <alignment horizontal="right" vertical="center" indent="1"/>
    </xf>
    <xf numFmtId="192" fontId="20" fillId="0" borderId="32" xfId="0" applyNumberFormat="1" applyFont="1" applyBorder="1" applyAlignment="1">
      <alignment horizontal="right" vertical="center" indent="1"/>
    </xf>
    <xf numFmtId="0" fontId="22" fillId="0" borderId="33" xfId="0" applyFont="1" applyFill="1" applyBorder="1" applyAlignment="1">
      <alignment horizontal="right" vertical="center"/>
    </xf>
    <xf numFmtId="0" fontId="20" fillId="0" borderId="13" xfId="0" applyFont="1" applyBorder="1" applyAlignment="1">
      <alignment vertical="center"/>
    </xf>
    <xf numFmtId="0" fontId="22" fillId="0" borderId="19" xfId="0" applyFont="1" applyFill="1" applyBorder="1" applyAlignment="1" applyProtection="1">
      <alignment horizontal="left" vertical="center"/>
      <protection locked="0"/>
    </xf>
    <xf numFmtId="0" fontId="22" fillId="0" borderId="19" xfId="0" applyFont="1" applyFill="1" applyBorder="1" applyAlignment="1">
      <alignment horizontal="left" vertical="center"/>
    </xf>
    <xf numFmtId="0" fontId="22" fillId="0" borderId="19" xfId="0" applyFont="1" applyFill="1" applyBorder="1" applyAlignment="1">
      <alignment horizontal="left"/>
    </xf>
    <xf numFmtId="0" fontId="22" fillId="0" borderId="34" xfId="0" applyFont="1" applyFill="1" applyBorder="1" applyAlignment="1" applyProtection="1">
      <alignment horizontal="left" vertical="center"/>
      <protection locked="0"/>
    </xf>
    <xf numFmtId="0" fontId="22" fillId="0" borderId="34" xfId="0" applyFont="1" applyFill="1" applyBorder="1" applyAlignment="1">
      <alignment horizontal="left" vertical="center"/>
    </xf>
    <xf numFmtId="0" fontId="22" fillId="0" borderId="34" xfId="0" applyFont="1" applyFill="1" applyBorder="1" applyAlignment="1">
      <alignment horizontal="left"/>
    </xf>
    <xf numFmtId="0" fontId="23" fillId="0" borderId="18" xfId="0" applyFont="1" applyBorder="1" applyAlignment="1">
      <alignment horizontal="right" vertical="center"/>
    </xf>
    <xf numFmtId="0" fontId="32" fillId="0" borderId="35" xfId="0" applyFont="1" applyFill="1" applyBorder="1" applyAlignment="1">
      <alignment horizontal="left" vertical="center"/>
    </xf>
    <xf numFmtId="184" fontId="19" fillId="0" borderId="36" xfId="0" applyNumberFormat="1" applyFont="1" applyBorder="1" applyAlignment="1">
      <alignment horizontal="center" vertical="center"/>
    </xf>
    <xf numFmtId="0" fontId="19" fillId="0" borderId="36" xfId="0" applyFont="1" applyFill="1" applyBorder="1" applyAlignment="1" applyProtection="1">
      <alignment horizontal="left" vertical="center"/>
      <protection locked="0"/>
    </xf>
    <xf numFmtId="0" fontId="23" fillId="0" borderId="36" xfId="0" applyFont="1" applyBorder="1" applyAlignment="1">
      <alignment horizontal="right" vertical="center"/>
    </xf>
    <xf numFmtId="4" fontId="21" fillId="0" borderId="36" xfId="0" applyNumberFormat="1" applyFont="1" applyBorder="1" applyAlignment="1">
      <alignment horizontal="right" vertical="center"/>
    </xf>
    <xf numFmtId="3" fontId="21" fillId="0" borderId="36" xfId="0" applyNumberFormat="1" applyFont="1" applyBorder="1" applyAlignment="1">
      <alignment horizontal="right" vertical="center"/>
    </xf>
    <xf numFmtId="3" fontId="37" fillId="0" borderId="36" xfId="0" applyNumberFormat="1" applyFont="1" applyFill="1" applyBorder="1" applyAlignment="1">
      <alignment horizontal="right" vertical="center"/>
    </xf>
    <xf numFmtId="2" fontId="37" fillId="0" borderId="36" xfId="0" applyNumberFormat="1" applyFont="1" applyFill="1" applyBorder="1" applyAlignment="1">
      <alignment horizontal="right" vertical="center"/>
    </xf>
    <xf numFmtId="4" fontId="37" fillId="0" borderId="36" xfId="0" applyNumberFormat="1" applyFont="1" applyFill="1" applyBorder="1" applyAlignment="1">
      <alignment horizontal="right" vertical="center"/>
    </xf>
    <xf numFmtId="2" fontId="37" fillId="0" borderId="37" xfId="0" applyNumberFormat="1" applyFont="1" applyFill="1" applyBorder="1" applyAlignment="1">
      <alignment horizontal="right" vertical="center"/>
    </xf>
    <xf numFmtId="4" fontId="18" fillId="0" borderId="15" xfId="0" applyNumberFormat="1" applyFont="1" applyFill="1" applyBorder="1" applyAlignment="1" applyProtection="1">
      <alignment horizontal="center" wrapText="1"/>
      <protection/>
    </xf>
    <xf numFmtId="3" fontId="18" fillId="0" borderId="15" xfId="0" applyNumberFormat="1" applyFont="1" applyFill="1" applyBorder="1" applyAlignment="1" applyProtection="1">
      <alignment horizontal="center" wrapText="1"/>
      <protection/>
    </xf>
    <xf numFmtId="2" fontId="18" fillId="0" borderId="15" xfId="0" applyNumberFormat="1" applyFont="1" applyFill="1" applyBorder="1" applyAlignment="1" applyProtection="1">
      <alignment horizontal="center" wrapText="1"/>
      <protection/>
    </xf>
    <xf numFmtId="0" fontId="32" fillId="0" borderId="38" xfId="0" applyFont="1" applyFill="1" applyBorder="1" applyAlignment="1" applyProtection="1">
      <alignment horizontal="left" vertical="center"/>
      <protection locked="0"/>
    </xf>
    <xf numFmtId="184" fontId="19" fillId="0" borderId="39" xfId="0" applyNumberFormat="1" applyFont="1" applyFill="1" applyBorder="1" applyAlignment="1" applyProtection="1">
      <alignment horizontal="center" vertical="center"/>
      <protection locked="0"/>
    </xf>
    <xf numFmtId="184" fontId="19" fillId="0" borderId="39" xfId="0" applyNumberFormat="1" applyFont="1" applyFill="1" applyBorder="1" applyAlignment="1" applyProtection="1">
      <alignment vertical="center"/>
      <protection locked="0"/>
    </xf>
    <xf numFmtId="4" fontId="21" fillId="0" borderId="39" xfId="40" applyNumberFormat="1" applyFont="1" applyFill="1" applyBorder="1" applyAlignment="1" applyProtection="1">
      <alignment horizontal="right" vertical="center"/>
      <protection locked="0"/>
    </xf>
    <xf numFmtId="3" fontId="21" fillId="0" borderId="39" xfId="40" applyNumberFormat="1" applyFont="1" applyFill="1" applyBorder="1" applyAlignment="1" applyProtection="1">
      <alignment horizontal="right" vertical="center"/>
      <protection locked="0"/>
    </xf>
    <xf numFmtId="3" fontId="37" fillId="0" borderId="39" xfId="40" applyNumberFormat="1" applyFont="1" applyFill="1" applyBorder="1" applyAlignment="1" applyProtection="1">
      <alignment horizontal="right" vertical="center"/>
      <protection/>
    </xf>
    <xf numFmtId="2" fontId="37" fillId="0" borderId="39" xfId="40" applyNumberFormat="1" applyFont="1" applyFill="1" applyBorder="1" applyAlignment="1" applyProtection="1">
      <alignment vertical="center"/>
      <protection/>
    </xf>
    <xf numFmtId="4" fontId="37" fillId="0" borderId="39" xfId="40" applyNumberFormat="1" applyFont="1" applyFill="1" applyBorder="1" applyAlignment="1" applyProtection="1">
      <alignment horizontal="right" vertical="center"/>
      <protection locked="0"/>
    </xf>
    <xf numFmtId="3" fontId="37" fillId="0" borderId="39" xfId="40" applyNumberFormat="1" applyFont="1" applyFill="1" applyBorder="1" applyAlignment="1" applyProtection="1">
      <alignment horizontal="right" vertical="center"/>
      <protection locked="0"/>
    </xf>
    <xf numFmtId="2" fontId="37" fillId="0" borderId="40" xfId="40" applyNumberFormat="1" applyFont="1" applyFill="1" applyBorder="1" applyAlignment="1" applyProtection="1">
      <alignment vertical="center"/>
      <protection/>
    </xf>
    <xf numFmtId="0" fontId="32" fillId="0" borderId="41" xfId="0" applyFont="1" applyFill="1" applyBorder="1" applyAlignment="1" applyProtection="1">
      <alignment horizontal="left" vertical="center"/>
      <protection locked="0"/>
    </xf>
    <xf numFmtId="2" fontId="37" fillId="0" borderId="42" xfId="40" applyNumberFormat="1" applyFont="1" applyFill="1" applyBorder="1" applyAlignment="1" applyProtection="1">
      <alignment horizontal="right" vertical="center"/>
      <protection/>
    </xf>
    <xf numFmtId="2" fontId="37" fillId="0" borderId="42" xfId="40" applyNumberFormat="1" applyFont="1" applyFill="1" applyBorder="1" applyAlignment="1" applyProtection="1">
      <alignment vertical="center"/>
      <protection/>
    </xf>
    <xf numFmtId="2" fontId="37" fillId="0" borderId="42" xfId="0" applyNumberFormat="1" applyFont="1" applyFill="1" applyBorder="1" applyAlignment="1">
      <alignment vertical="center"/>
    </xf>
    <xf numFmtId="0" fontId="32" fillId="0" borderId="41" xfId="0" applyFont="1" applyFill="1" applyBorder="1" applyAlignment="1">
      <alignment horizontal="left" vertical="center"/>
    </xf>
    <xf numFmtId="2" fontId="37" fillId="0" borderId="42" xfId="0" applyNumberFormat="1" applyFont="1" applyFill="1" applyBorder="1" applyAlignment="1">
      <alignment horizontal="right" vertical="center"/>
    </xf>
    <xf numFmtId="0" fontId="32" fillId="34" borderId="41" xfId="0" applyFont="1" applyFill="1" applyBorder="1" applyAlignment="1">
      <alignment horizontal="left" vertical="center"/>
    </xf>
    <xf numFmtId="192" fontId="37" fillId="0" borderId="42" xfId="40" applyNumberFormat="1" applyFont="1" applyFill="1" applyBorder="1" applyAlignment="1" applyProtection="1">
      <alignment vertical="center"/>
      <protection/>
    </xf>
    <xf numFmtId="2" fontId="37" fillId="0" borderId="42" xfId="61" applyNumberFormat="1" applyFont="1" applyFill="1" applyBorder="1" applyAlignment="1" applyProtection="1">
      <alignment vertical="center"/>
      <protection/>
    </xf>
    <xf numFmtId="2" fontId="37" fillId="0" borderId="42" xfId="61" applyNumberFormat="1" applyFont="1" applyFill="1" applyBorder="1" applyAlignment="1" applyProtection="1">
      <alignment horizontal="right" vertical="center"/>
      <protection/>
    </xf>
    <xf numFmtId="0" fontId="32" fillId="0" borderId="41" xfId="0" applyNumberFormat="1" applyFont="1" applyFill="1" applyBorder="1" applyAlignment="1" applyProtection="1">
      <alignment horizontal="left" vertical="center"/>
      <protection locked="0"/>
    </xf>
    <xf numFmtId="2" fontId="37" fillId="0" borderId="42" xfId="45" applyNumberFormat="1" applyFont="1" applyFill="1" applyBorder="1" applyAlignment="1" applyProtection="1">
      <alignment vertical="center"/>
      <protection/>
    </xf>
    <xf numFmtId="0" fontId="32" fillId="35" borderId="41" xfId="0" applyFont="1" applyFill="1" applyBorder="1" applyAlignment="1">
      <alignment horizontal="left" vertical="center"/>
    </xf>
    <xf numFmtId="2" fontId="37" fillId="35" borderId="42" xfId="0" applyNumberFormat="1" applyFont="1" applyFill="1" applyBorder="1" applyAlignment="1">
      <alignment vertical="center"/>
    </xf>
    <xf numFmtId="0" fontId="52" fillId="0" borderId="41" xfId="0" applyFont="1" applyBorder="1" applyAlignment="1">
      <alignment horizontal="left" vertical="center"/>
    </xf>
    <xf numFmtId="49" fontId="32" fillId="0" borderId="41" xfId="0" applyNumberFormat="1" applyFont="1" applyFill="1" applyBorder="1" applyAlignment="1" applyProtection="1">
      <alignment horizontal="left" vertical="center"/>
      <protection locked="0"/>
    </xf>
    <xf numFmtId="2" fontId="37" fillId="0" borderId="42" xfId="43" applyNumberFormat="1" applyFont="1" applyFill="1" applyBorder="1" applyAlignment="1" applyProtection="1">
      <alignment vertical="center"/>
      <protection/>
    </xf>
    <xf numFmtId="2" fontId="37" fillId="0" borderId="42" xfId="43" applyNumberFormat="1" applyFont="1" applyFill="1" applyBorder="1" applyAlignment="1" applyProtection="1">
      <alignment horizontal="right" vertical="center"/>
      <protection/>
    </xf>
    <xf numFmtId="0" fontId="32" fillId="0" borderId="43" xfId="0" applyFont="1" applyFill="1" applyBorder="1" applyAlignment="1" applyProtection="1">
      <alignment horizontal="left" vertical="center"/>
      <protection locked="0"/>
    </xf>
    <xf numFmtId="184" fontId="19" fillId="0" borderId="44" xfId="0" applyNumberFormat="1" applyFont="1" applyFill="1" applyBorder="1" applyAlignment="1" applyProtection="1">
      <alignment horizontal="center" vertical="center"/>
      <protection locked="0"/>
    </xf>
    <xf numFmtId="0" fontId="19" fillId="0" borderId="44" xfId="0" applyFont="1" applyFill="1" applyBorder="1" applyAlignment="1" applyProtection="1">
      <alignment vertical="center"/>
      <protection locked="0"/>
    </xf>
    <xf numFmtId="4" fontId="21" fillId="0" borderId="44" xfId="40" applyNumberFormat="1" applyFont="1" applyFill="1" applyBorder="1" applyAlignment="1" applyProtection="1">
      <alignment vertical="center"/>
      <protection locked="0"/>
    </xf>
    <xf numFmtId="3" fontId="21" fillId="0" borderId="44" xfId="40" applyNumberFormat="1" applyFont="1" applyFill="1" applyBorder="1" applyAlignment="1" applyProtection="1">
      <alignment vertical="center"/>
      <protection locked="0"/>
    </xf>
    <xf numFmtId="3" fontId="37" fillId="0" borderId="44" xfId="40" applyNumberFormat="1" applyFont="1" applyFill="1" applyBorder="1" applyAlignment="1" applyProtection="1">
      <alignment vertical="center"/>
      <protection/>
    </xf>
    <xf numFmtId="2" fontId="37" fillId="0" borderId="44" xfId="40" applyNumberFormat="1" applyFont="1" applyFill="1" applyBorder="1" applyAlignment="1" applyProtection="1">
      <alignment vertical="center"/>
      <protection/>
    </xf>
    <xf numFmtId="4" fontId="37" fillId="0" borderId="44" xfId="40" applyNumberFormat="1" applyFont="1" applyFill="1" applyBorder="1" applyAlignment="1" applyProtection="1">
      <alignment vertical="center"/>
      <protection locked="0"/>
    </xf>
    <xf numFmtId="3" fontId="37" fillId="0" borderId="44" xfId="40" applyNumberFormat="1" applyFont="1" applyFill="1" applyBorder="1" applyAlignment="1" applyProtection="1">
      <alignment vertical="center"/>
      <protection locked="0"/>
    </xf>
    <xf numFmtId="2" fontId="37" fillId="0" borderId="45" xfId="40" applyNumberFormat="1" applyFont="1" applyFill="1" applyBorder="1" applyAlignment="1" applyProtection="1">
      <alignment vertical="center"/>
      <protection/>
    </xf>
    <xf numFmtId="0" fontId="23" fillId="0" borderId="39" xfId="0" applyFont="1" applyFill="1" applyBorder="1" applyAlignment="1" applyProtection="1">
      <alignment horizontal="right" vertical="center"/>
      <protection locked="0"/>
    </xf>
    <xf numFmtId="0" fontId="23" fillId="0" borderId="18" xfId="0" applyFont="1" applyFill="1" applyBorder="1" applyAlignment="1" applyProtection="1">
      <alignment horizontal="right" vertical="center"/>
      <protection locked="0"/>
    </xf>
    <xf numFmtId="0" fontId="23" fillId="0" borderId="18" xfId="0" applyFont="1" applyFill="1" applyBorder="1" applyAlignment="1">
      <alignment horizontal="right" vertical="center"/>
    </xf>
    <xf numFmtId="0" fontId="23" fillId="34" borderId="18" xfId="0" applyFont="1" applyFill="1" applyBorder="1" applyAlignment="1">
      <alignment horizontal="right" vertical="center"/>
    </xf>
    <xf numFmtId="0" fontId="23" fillId="0" borderId="18" xfId="0" applyNumberFormat="1" applyFont="1" applyFill="1" applyBorder="1" applyAlignment="1" applyProtection="1">
      <alignment horizontal="right" vertical="center"/>
      <protection locked="0"/>
    </xf>
    <xf numFmtId="0" fontId="23" fillId="35" borderId="18" xfId="0" applyFont="1" applyFill="1" applyBorder="1" applyAlignment="1">
      <alignment horizontal="right" vertical="center"/>
    </xf>
    <xf numFmtId="49" fontId="23" fillId="0" borderId="18" xfId="0" applyNumberFormat="1" applyFont="1" applyFill="1" applyBorder="1" applyAlignment="1" applyProtection="1">
      <alignment horizontal="right" vertical="center"/>
      <protection locked="0"/>
    </xf>
    <xf numFmtId="0" fontId="23" fillId="0" borderId="44" xfId="0" applyFont="1" applyFill="1" applyBorder="1" applyAlignment="1" applyProtection="1">
      <alignment horizontal="right" vertical="center"/>
      <protection locked="0"/>
    </xf>
    <xf numFmtId="200" fontId="24" fillId="0" borderId="0" xfId="0" applyNumberFormat="1" applyFont="1" applyAlignment="1">
      <alignment horizontal="right" vertical="center"/>
    </xf>
    <xf numFmtId="193" fontId="24" fillId="0" borderId="0" xfId="0" applyNumberFormat="1" applyFont="1" applyAlignment="1">
      <alignment horizontal="right" vertical="center"/>
    </xf>
    <xf numFmtId="0" fontId="38" fillId="0" borderId="0" xfId="0" applyFont="1" applyFill="1" applyBorder="1" applyAlignment="1" applyProtection="1">
      <alignment horizontal="center" vertical="center" wrapText="1"/>
      <protection locked="0"/>
    </xf>
    <xf numFmtId="0" fontId="19" fillId="0" borderId="36" xfId="0" applyFont="1" applyBorder="1" applyAlignment="1">
      <alignment horizontal="left" vertical="center"/>
    </xf>
    <xf numFmtId="0" fontId="6" fillId="0" borderId="0" xfId="0" applyNumberFormat="1" applyFont="1" applyFill="1" applyBorder="1" applyAlignment="1" applyProtection="1">
      <alignment horizontal="right" vertical="center" wrapText="1"/>
      <protection locked="0"/>
    </xf>
    <xf numFmtId="0" fontId="0" fillId="0" borderId="0" xfId="0" applyAlignment="1">
      <alignment/>
    </xf>
    <xf numFmtId="0" fontId="6" fillId="0" borderId="0" xfId="0" applyFont="1" applyAlignment="1">
      <alignment horizontal="right" vertical="center" wrapText="1"/>
    </xf>
    <xf numFmtId="0" fontId="30" fillId="33" borderId="25" xfId="0" applyFont="1" applyFill="1" applyBorder="1" applyAlignment="1">
      <alignment horizontal="center" vertical="center"/>
    </xf>
    <xf numFmtId="0" fontId="20" fillId="0" borderId="46" xfId="0" applyFont="1" applyBorder="1" applyAlignment="1">
      <alignment horizontal="center"/>
    </xf>
    <xf numFmtId="0" fontId="40" fillId="0" borderId="0" xfId="0" applyFont="1" applyBorder="1" applyAlignment="1" applyProtection="1">
      <alignment horizontal="right" vertical="center" wrapText="1"/>
      <protection locked="0"/>
    </xf>
    <xf numFmtId="0" fontId="17" fillId="0" borderId="0" xfId="0" applyFont="1" applyAlignment="1">
      <alignment/>
    </xf>
    <xf numFmtId="0" fontId="41" fillId="0" borderId="0" xfId="0" applyFont="1" applyBorder="1" applyAlignment="1" applyProtection="1">
      <alignment horizontal="right" vertical="center" wrapText="1"/>
      <protection locked="0"/>
    </xf>
    <xf numFmtId="0" fontId="15" fillId="33" borderId="47" xfId="0" applyFont="1" applyFill="1" applyBorder="1" applyAlignment="1" applyProtection="1">
      <alignment horizontal="center" vertical="center"/>
      <protection/>
    </xf>
    <xf numFmtId="0" fontId="16" fillId="0" borderId="47" xfId="0" applyFont="1" applyBorder="1" applyAlignment="1">
      <alignment/>
    </xf>
    <xf numFmtId="181" fontId="18" fillId="0" borderId="48" xfId="0" applyNumberFormat="1" applyFont="1" applyFill="1" applyBorder="1" applyAlignment="1" applyProtection="1">
      <alignment horizontal="center" vertical="center" wrapText="1"/>
      <protection/>
    </xf>
    <xf numFmtId="0" fontId="20" fillId="0" borderId="49" xfId="0" applyFont="1" applyBorder="1" applyAlignment="1">
      <alignment horizontal="center"/>
    </xf>
    <xf numFmtId="0" fontId="20" fillId="0" borderId="50" xfId="0" applyFont="1" applyBorder="1" applyAlignment="1">
      <alignment horizontal="center"/>
    </xf>
    <xf numFmtId="0" fontId="18" fillId="0" borderId="51" xfId="0" applyNumberFormat="1" applyFont="1" applyFill="1" applyBorder="1" applyAlignment="1" applyProtection="1">
      <alignment horizontal="center" vertical="center" wrapText="1"/>
      <protection/>
    </xf>
    <xf numFmtId="0" fontId="20" fillId="0" borderId="52" xfId="0" applyFont="1" applyBorder="1" applyAlignment="1">
      <alignment horizontal="center"/>
    </xf>
    <xf numFmtId="171" fontId="18" fillId="0" borderId="53" xfId="43" applyFont="1" applyFill="1" applyBorder="1" applyAlignment="1" applyProtection="1">
      <alignment horizontal="center" vertical="center" wrapText="1"/>
      <protection/>
    </xf>
    <xf numFmtId="0" fontId="20" fillId="0" borderId="54" xfId="0" applyFont="1" applyBorder="1" applyAlignment="1">
      <alignment horizontal="center"/>
    </xf>
    <xf numFmtId="0" fontId="18" fillId="0" borderId="51" xfId="0" applyFont="1" applyFill="1" applyBorder="1" applyAlignment="1" applyProtection="1">
      <alignment horizontal="center" vertical="center" wrapText="1"/>
      <protection/>
    </xf>
    <xf numFmtId="4" fontId="18" fillId="0" borderId="48" xfId="0" applyNumberFormat="1" applyFont="1" applyFill="1" applyBorder="1" applyAlignment="1" applyProtection="1">
      <alignment horizontal="center" vertical="center" wrapText="1"/>
      <protection/>
    </xf>
    <xf numFmtId="4" fontId="18" fillId="0" borderId="49" xfId="0" applyNumberFormat="1" applyFont="1" applyFill="1" applyBorder="1" applyAlignment="1" applyProtection="1">
      <alignment horizontal="center" vertical="center" wrapText="1"/>
      <protection/>
    </xf>
    <xf numFmtId="4" fontId="18" fillId="0" borderId="55" xfId="0" applyNumberFormat="1" applyFont="1" applyFill="1" applyBorder="1" applyAlignment="1" applyProtection="1">
      <alignment horizontal="center" vertical="center" wrapText="1"/>
      <protection/>
    </xf>
    <xf numFmtId="184" fontId="18" fillId="0" borderId="51" xfId="0" applyNumberFormat="1" applyFont="1" applyFill="1" applyBorder="1" applyAlignment="1" applyProtection="1">
      <alignment horizontal="center" vertical="center" wrapText="1"/>
      <protection/>
    </xf>
    <xf numFmtId="0" fontId="50" fillId="36" borderId="47" xfId="0" applyFont="1" applyFill="1" applyBorder="1" applyAlignment="1">
      <alignment horizontal="center" vertical="center" wrapText="1"/>
    </xf>
    <xf numFmtId="0" fontId="45" fillId="36" borderId="47" xfId="0" applyFont="1" applyFill="1" applyBorder="1" applyAlignment="1">
      <alignment horizontal="center" vertical="center" wrapText="1"/>
    </xf>
    <xf numFmtId="0" fontId="18" fillId="0" borderId="53" xfId="0" applyNumberFormat="1" applyFont="1" applyFill="1" applyBorder="1" applyAlignment="1">
      <alignment horizontal="center" vertical="center" wrapText="1"/>
    </xf>
    <xf numFmtId="0" fontId="18" fillId="0" borderId="54" xfId="0" applyNumberFormat="1" applyFont="1" applyFill="1" applyBorder="1" applyAlignment="1">
      <alignment horizontal="center" vertical="center" wrapText="1"/>
    </xf>
    <xf numFmtId="0" fontId="18" fillId="0" borderId="51" xfId="0" applyNumberFormat="1" applyFont="1" applyFill="1" applyBorder="1" applyAlignment="1">
      <alignment horizontal="center" vertical="center" wrapText="1"/>
    </xf>
    <xf numFmtId="0" fontId="18" fillId="0" borderId="52" xfId="0" applyNumberFormat="1" applyFont="1" applyFill="1" applyBorder="1" applyAlignment="1">
      <alignment horizontal="center" vertical="center" wrapText="1"/>
    </xf>
    <xf numFmtId="0" fontId="18" fillId="0" borderId="51" xfId="0" applyNumberFormat="1" applyFont="1" applyFill="1" applyBorder="1" applyAlignment="1" applyProtection="1">
      <alignment vertical="center" wrapText="1"/>
      <protection/>
    </xf>
    <xf numFmtId="0" fontId="18" fillId="0" borderId="52" xfId="0" applyNumberFormat="1" applyFont="1" applyFill="1" applyBorder="1" applyAlignment="1" applyProtection="1">
      <alignment vertical="center" wrapText="1"/>
      <protection/>
    </xf>
    <xf numFmtId="0" fontId="18" fillId="0" borderId="48" xfId="0" applyNumberFormat="1" applyFont="1" applyFill="1" applyBorder="1" applyAlignment="1" applyProtection="1">
      <alignment horizontal="center" vertical="center" wrapText="1"/>
      <protection/>
    </xf>
    <xf numFmtId="0" fontId="18" fillId="0" borderId="55" xfId="0" applyNumberFormat="1" applyFont="1" applyFill="1" applyBorder="1" applyAlignment="1" applyProtection="1">
      <alignment horizontal="center" vertical="center" wrapText="1"/>
      <protection/>
    </xf>
    <xf numFmtId="192" fontId="18" fillId="0" borderId="56" xfId="0" applyNumberFormat="1" applyFont="1" applyFill="1" applyBorder="1" applyAlignment="1" applyProtection="1">
      <alignment horizontal="center" vertical="center" wrapText="1"/>
      <protection/>
    </xf>
    <xf numFmtId="192" fontId="18" fillId="0" borderId="5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8" fillId="0" borderId="15" xfId="0" applyFont="1" applyBorder="1" applyAlignment="1">
      <alignment horizontal="center" vertical="center"/>
    </xf>
    <xf numFmtId="2" fontId="42" fillId="36" borderId="47" xfId="0" applyNumberFormat="1" applyFont="1" applyFill="1" applyBorder="1" applyAlignment="1">
      <alignment horizontal="center" vertical="center" wrapText="1"/>
    </xf>
    <xf numFmtId="2" fontId="45" fillId="36" borderId="0" xfId="0" applyNumberFormat="1" applyFont="1" applyFill="1" applyBorder="1" applyAlignment="1">
      <alignment vertical="center" wrapText="1"/>
    </xf>
    <xf numFmtId="2" fontId="18" fillId="36" borderId="0" xfId="0" applyNumberFormat="1" applyFont="1" applyFill="1" applyBorder="1" applyAlignment="1">
      <alignment wrapText="1"/>
    </xf>
    <xf numFmtId="171" fontId="20" fillId="0" borderId="18" xfId="43" applyFont="1" applyFill="1" applyBorder="1" applyAlignment="1" applyProtection="1">
      <alignment horizontal="center" vertical="center" wrapText="1"/>
      <protection/>
    </xf>
    <xf numFmtId="0" fontId="20" fillId="0" borderId="15" xfId="0" applyFont="1" applyBorder="1" applyAlignment="1">
      <alignment horizontal="center" vertical="center"/>
    </xf>
    <xf numFmtId="184" fontId="18" fillId="0" borderId="18" xfId="0" applyNumberFormat="1" applyFont="1" applyFill="1" applyBorder="1" applyAlignment="1" applyProtection="1">
      <alignment horizontal="center" vertical="center" wrapText="1"/>
      <protection/>
    </xf>
    <xf numFmtId="184" fontId="18" fillId="0" borderId="15" xfId="0" applyNumberFormat="1" applyFont="1" applyBorder="1" applyAlignment="1">
      <alignment horizontal="center" vertical="center"/>
    </xf>
    <xf numFmtId="0" fontId="18" fillId="0" borderId="18" xfId="0" applyFont="1" applyFill="1" applyBorder="1" applyAlignment="1" applyProtection="1">
      <alignment horizontal="center" vertical="center" wrapText="1"/>
      <protection/>
    </xf>
    <xf numFmtId="0" fontId="18" fillId="0" borderId="15" xfId="0" applyFont="1" applyBorder="1" applyAlignment="1">
      <alignment horizontal="center" vertical="center" wrapText="1"/>
    </xf>
    <xf numFmtId="2" fontId="18" fillId="0" borderId="18"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0</xdr:colOff>
      <xdr:row>0</xdr:row>
      <xdr:rowOff>1171575</xdr:rowOff>
    </xdr:to>
    <xdr:sp>
      <xdr:nvSpPr>
        <xdr:cNvPr id="1" name="Text Box 1"/>
        <xdr:cNvSpPr txBox="1">
          <a:spLocks noChangeArrowheads="1"/>
        </xdr:cNvSpPr>
      </xdr:nvSpPr>
      <xdr:spPr>
        <a:xfrm>
          <a:off x="0" y="9525"/>
          <a:ext cx="14049375" cy="1162050"/>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314325</xdr:colOff>
      <xdr:row>0</xdr:row>
      <xdr:rowOff>600075</xdr:rowOff>
    </xdr:from>
    <xdr:to>
      <xdr:col>13</xdr:col>
      <xdr:colOff>400050</xdr:colOff>
      <xdr:row>0</xdr:row>
      <xdr:rowOff>1066800</xdr:rowOff>
    </xdr:to>
    <xdr:sp fLocksText="0">
      <xdr:nvSpPr>
        <xdr:cNvPr id="2" name="Text Box 2"/>
        <xdr:cNvSpPr txBox="1">
          <a:spLocks noChangeArrowheads="1"/>
        </xdr:cNvSpPr>
      </xdr:nvSpPr>
      <xdr:spPr>
        <a:xfrm>
          <a:off x="10791825" y="600075"/>
          <a:ext cx="3190875" cy="466725"/>
        </a:xfrm>
        <a:prstGeom prst="rect">
          <a:avLst/>
        </a:prstGeom>
        <a:solidFill>
          <a:srgbClr val="FFCC99"/>
        </a:solidFill>
        <a:ln w="9525" cmpd="sng">
          <a:noFill/>
        </a:ln>
      </xdr:spPr>
      <xdr:txBody>
        <a:bodyPr vertOverflow="clip" wrap="square" lIns="0" tIns="27432" rIns="36576" bIns="0"/>
        <a:p>
          <a:pPr algn="r">
            <a:defRPr/>
          </a:pPr>
          <a:r>
            <a:rPr lang="en-US" cap="none" sz="1400" b="0" i="0" u="none" baseline="0">
              <a:solidFill>
                <a:srgbClr val="000000"/>
              </a:solidFill>
              <a:latin typeface="Bookman Old Style"/>
              <a:ea typeface="Bookman Old Style"/>
              <a:cs typeface="Bookman Old Style"/>
            </a:rPr>
            <a:t>WEEK: 09
</a:t>
          </a:r>
          <a:r>
            <a:rPr lang="en-US" cap="none" sz="1400" b="0" i="0" u="none" baseline="0">
              <a:solidFill>
                <a:srgbClr val="000000"/>
              </a:solidFill>
              <a:latin typeface="Bookman Old Style"/>
              <a:ea typeface="Bookman Old Style"/>
              <a:cs typeface="Bookman Old Style"/>
            </a:rPr>
            <a:t>  26 FEBRUARY - 04 MARCH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5"/>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A9" sqref="A9:IV9"/>
    </sheetView>
  </sheetViews>
  <sheetFormatPr defaultColWidth="9.140625" defaultRowHeight="12.75"/>
  <cols>
    <col min="1" max="1" width="3.8515625" style="31" bestFit="1" customWidth="1"/>
    <col min="2" max="2" width="77.421875" style="49" bestFit="1" customWidth="1"/>
    <col min="3" max="3" width="7.7109375" style="8" bestFit="1" customWidth="1"/>
    <col min="4" max="4" width="13.7109375" style="11" bestFit="1" customWidth="1"/>
    <col min="5" max="5" width="6.8515625" style="194" bestFit="1" customWidth="1"/>
    <col min="6" max="6" width="7.7109375" style="194" bestFit="1" customWidth="1"/>
    <col min="7" max="7" width="7.7109375" style="194" customWidth="1"/>
    <col min="8" max="8" width="18.7109375" style="36" bestFit="1" customWidth="1"/>
    <col min="9" max="9" width="13.421875" style="41" bestFit="1" customWidth="1"/>
    <col min="10" max="10" width="10.7109375" style="65" bestFit="1" customWidth="1"/>
    <col min="11" max="11" width="8.140625" style="66" bestFit="1" customWidth="1"/>
    <col min="12" max="12" width="16.28125" style="73" bestFit="1" customWidth="1"/>
    <col min="13" max="13" width="11.421875" style="68" bestFit="1" customWidth="1"/>
    <col min="14" max="14" width="7.00390625" style="66" bestFit="1" customWidth="1"/>
    <col min="15" max="15" width="2.57421875" style="42" bestFit="1" customWidth="1"/>
    <col min="16" max="16384" width="9.140625" style="3" customWidth="1"/>
  </cols>
  <sheetData>
    <row r="1" spans="1:15" s="1" customFormat="1" ht="99" customHeight="1">
      <c r="A1" s="28"/>
      <c r="B1" s="45"/>
      <c r="C1" s="6"/>
      <c r="D1" s="9"/>
      <c r="E1" s="191"/>
      <c r="F1" s="191"/>
      <c r="G1" s="191"/>
      <c r="H1" s="32"/>
      <c r="I1" s="37"/>
      <c r="J1" s="57"/>
      <c r="K1" s="58"/>
      <c r="L1" s="59"/>
      <c r="M1" s="60"/>
      <c r="N1" s="58"/>
      <c r="O1" s="42"/>
    </row>
    <row r="2" spans="1:15" s="5" customFormat="1" ht="27.75" thickBot="1">
      <c r="A2" s="342" t="s">
        <v>151</v>
      </c>
      <c r="B2" s="343"/>
      <c r="C2" s="343"/>
      <c r="D2" s="343"/>
      <c r="E2" s="343"/>
      <c r="F2" s="343"/>
      <c r="G2" s="343"/>
      <c r="H2" s="343"/>
      <c r="I2" s="343"/>
      <c r="J2" s="343"/>
      <c r="K2" s="343"/>
      <c r="L2" s="343"/>
      <c r="M2" s="343"/>
      <c r="N2" s="343"/>
      <c r="O2" s="42"/>
    </row>
    <row r="3" spans="1:15" s="43" customFormat="1" ht="12.75">
      <c r="A3" s="50"/>
      <c r="B3" s="349" t="s">
        <v>129</v>
      </c>
      <c r="C3" s="355" t="s">
        <v>141</v>
      </c>
      <c r="D3" s="351" t="s">
        <v>152</v>
      </c>
      <c r="E3" s="347" t="s">
        <v>142</v>
      </c>
      <c r="F3" s="347" t="s">
        <v>149</v>
      </c>
      <c r="G3" s="347" t="s">
        <v>150</v>
      </c>
      <c r="H3" s="352" t="s">
        <v>143</v>
      </c>
      <c r="I3" s="353"/>
      <c r="J3" s="353"/>
      <c r="K3" s="354"/>
      <c r="L3" s="344" t="s">
        <v>144</v>
      </c>
      <c r="M3" s="345"/>
      <c r="N3" s="346"/>
      <c r="O3" s="51"/>
    </row>
    <row r="4" spans="1:15" s="43" customFormat="1" ht="48" customHeight="1" thickBot="1">
      <c r="A4" s="52"/>
      <c r="B4" s="350"/>
      <c r="C4" s="348"/>
      <c r="D4" s="348"/>
      <c r="E4" s="348"/>
      <c r="F4" s="348"/>
      <c r="G4" s="348"/>
      <c r="H4" s="53" t="s">
        <v>145</v>
      </c>
      <c r="I4" s="54" t="s">
        <v>146</v>
      </c>
      <c r="J4" s="54" t="s">
        <v>135</v>
      </c>
      <c r="K4" s="55" t="s">
        <v>147</v>
      </c>
      <c r="L4" s="53" t="s">
        <v>145</v>
      </c>
      <c r="M4" s="54" t="s">
        <v>146</v>
      </c>
      <c r="N4" s="56" t="s">
        <v>148</v>
      </c>
      <c r="O4" s="51"/>
    </row>
    <row r="5" spans="1:15" s="2" customFormat="1" ht="15">
      <c r="A5" s="243">
        <v>1</v>
      </c>
      <c r="B5" s="271" t="s">
        <v>200</v>
      </c>
      <c r="C5" s="272">
        <v>40235</v>
      </c>
      <c r="D5" s="273" t="s">
        <v>154</v>
      </c>
      <c r="E5" s="274">
        <v>256</v>
      </c>
      <c r="F5" s="274">
        <v>350</v>
      </c>
      <c r="G5" s="274">
        <v>1</v>
      </c>
      <c r="H5" s="275">
        <v>4098473</v>
      </c>
      <c r="I5" s="276">
        <v>463491</v>
      </c>
      <c r="J5" s="277">
        <f>I5/F5</f>
        <v>1324.26</v>
      </c>
      <c r="K5" s="278">
        <f>+H5/I5</f>
        <v>8.842616145728828</v>
      </c>
      <c r="L5" s="279">
        <v>4098473</v>
      </c>
      <c r="M5" s="277">
        <v>463491</v>
      </c>
      <c r="N5" s="280">
        <f>+L5/M5</f>
        <v>8.842616145728828</v>
      </c>
      <c r="O5" s="242">
        <v>1</v>
      </c>
    </row>
    <row r="6" spans="1:15" s="2" customFormat="1" ht="15">
      <c r="A6" s="244">
        <v>2</v>
      </c>
      <c r="B6" s="95" t="s">
        <v>183</v>
      </c>
      <c r="C6" s="208">
        <v>40235</v>
      </c>
      <c r="D6" s="168" t="s">
        <v>155</v>
      </c>
      <c r="E6" s="210">
        <v>227</v>
      </c>
      <c r="F6" s="210">
        <v>300</v>
      </c>
      <c r="G6" s="210">
        <v>1</v>
      </c>
      <c r="H6" s="211">
        <v>3023418.25</v>
      </c>
      <c r="I6" s="212">
        <v>341528</v>
      </c>
      <c r="J6" s="213">
        <f>(I6/F6)</f>
        <v>1138.4266666666667</v>
      </c>
      <c r="K6" s="214">
        <f>H6/I6</f>
        <v>8.85262189337331</v>
      </c>
      <c r="L6" s="215">
        <f>3023418.25</f>
        <v>3023418.25</v>
      </c>
      <c r="M6" s="213">
        <f>341528</f>
        <v>341528</v>
      </c>
      <c r="N6" s="174">
        <f>L6/M6</f>
        <v>8.85262189337331</v>
      </c>
      <c r="O6" s="242">
        <v>1</v>
      </c>
    </row>
    <row r="7" spans="1:15" s="2" customFormat="1" ht="15.75" thickBot="1">
      <c r="A7" s="245">
        <v>3</v>
      </c>
      <c r="B7" s="190" t="s">
        <v>177</v>
      </c>
      <c r="C7" s="251">
        <v>40221</v>
      </c>
      <c r="D7" s="252" t="s">
        <v>76</v>
      </c>
      <c r="E7" s="253">
        <v>378</v>
      </c>
      <c r="F7" s="253">
        <v>323</v>
      </c>
      <c r="G7" s="253">
        <v>3</v>
      </c>
      <c r="H7" s="254">
        <v>2847763.25</v>
      </c>
      <c r="I7" s="255">
        <v>333771</v>
      </c>
      <c r="J7" s="216">
        <f>I7/F7</f>
        <v>1033.3467492260063</v>
      </c>
      <c r="K7" s="217">
        <f>H7/I7</f>
        <v>8.53208711961195</v>
      </c>
      <c r="L7" s="218">
        <f>15262368+6874188.5+2847763.25-223</f>
        <v>24984096.75</v>
      </c>
      <c r="M7" s="216">
        <f>1752204+788243+333771</f>
        <v>2874218</v>
      </c>
      <c r="N7" s="172">
        <f>+L7/M7</f>
        <v>8.692484964606026</v>
      </c>
      <c r="O7" s="242">
        <v>1</v>
      </c>
    </row>
    <row r="8" spans="1:15" s="2" customFormat="1" ht="15">
      <c r="A8" s="30">
        <v>4</v>
      </c>
      <c r="B8" s="170" t="s">
        <v>184</v>
      </c>
      <c r="C8" s="246">
        <v>40214</v>
      </c>
      <c r="D8" s="247" t="s">
        <v>130</v>
      </c>
      <c r="E8" s="248">
        <v>144</v>
      </c>
      <c r="F8" s="248">
        <v>144</v>
      </c>
      <c r="G8" s="248">
        <v>4</v>
      </c>
      <c r="H8" s="249">
        <v>604091</v>
      </c>
      <c r="I8" s="250">
        <v>68661</v>
      </c>
      <c r="J8" s="219">
        <f>+I8/F8</f>
        <v>476.8125</v>
      </c>
      <c r="K8" s="220">
        <f>+H8/I8</f>
        <v>8.7981678099649</v>
      </c>
      <c r="L8" s="221">
        <v>5555312</v>
      </c>
      <c r="M8" s="219">
        <v>592466</v>
      </c>
      <c r="N8" s="173">
        <f>+L8/M8</f>
        <v>9.376592074481911</v>
      </c>
      <c r="O8" s="242">
        <v>1</v>
      </c>
    </row>
    <row r="9" spans="1:15" s="4" customFormat="1" ht="15">
      <c r="A9" s="29">
        <v>5</v>
      </c>
      <c r="B9" s="95" t="s">
        <v>87</v>
      </c>
      <c r="C9" s="208">
        <v>40165</v>
      </c>
      <c r="D9" s="168" t="s">
        <v>155</v>
      </c>
      <c r="E9" s="210">
        <v>125</v>
      </c>
      <c r="F9" s="210">
        <v>64</v>
      </c>
      <c r="G9" s="210">
        <v>11</v>
      </c>
      <c r="H9" s="211">
        <v>348660.5</v>
      </c>
      <c r="I9" s="212">
        <v>29496</v>
      </c>
      <c r="J9" s="213">
        <f>(I9/F9)</f>
        <v>460.875</v>
      </c>
      <c r="K9" s="214">
        <f>H9/I9</f>
        <v>11.820602793599132</v>
      </c>
      <c r="L9" s="215">
        <f>4033069.5+3582182.5+3469556.5+3099545+3107521.5+2751160+2297667.5+1520298+788693.5+562184.5+348660.5</f>
        <v>25560539</v>
      </c>
      <c r="M9" s="213">
        <f>383242+338340+309119+280170+290777+261753+222617+140396+74659+50484+29496</f>
        <v>2381053</v>
      </c>
      <c r="N9" s="174">
        <f>L9/M9</f>
        <v>10.73497272005285</v>
      </c>
      <c r="O9" s="242"/>
    </row>
    <row r="10" spans="1:15" s="4" customFormat="1" ht="15">
      <c r="A10" s="29">
        <v>6</v>
      </c>
      <c r="B10" s="95" t="s">
        <v>185</v>
      </c>
      <c r="C10" s="208">
        <v>40228</v>
      </c>
      <c r="D10" s="168" t="s">
        <v>154</v>
      </c>
      <c r="E10" s="210">
        <v>87</v>
      </c>
      <c r="F10" s="210">
        <v>87</v>
      </c>
      <c r="G10" s="210">
        <v>2</v>
      </c>
      <c r="H10" s="211">
        <v>332539</v>
      </c>
      <c r="I10" s="212">
        <v>32555</v>
      </c>
      <c r="J10" s="213">
        <f>I10/F10</f>
        <v>374.1954022988506</v>
      </c>
      <c r="K10" s="214">
        <f>+H10/I10</f>
        <v>10.21468284441714</v>
      </c>
      <c r="L10" s="215">
        <v>917354</v>
      </c>
      <c r="M10" s="213">
        <v>88540</v>
      </c>
      <c r="N10" s="174">
        <f>+L10/M10</f>
        <v>10.3608990286876</v>
      </c>
      <c r="O10" s="242"/>
    </row>
    <row r="11" spans="1:15" s="4" customFormat="1" ht="15">
      <c r="A11" s="29">
        <v>7</v>
      </c>
      <c r="B11" s="95" t="s">
        <v>186</v>
      </c>
      <c r="C11" s="208">
        <v>40235</v>
      </c>
      <c r="D11" s="168" t="s">
        <v>157</v>
      </c>
      <c r="E11" s="210">
        <v>29</v>
      </c>
      <c r="F11" s="210">
        <v>29</v>
      </c>
      <c r="G11" s="210">
        <v>1</v>
      </c>
      <c r="H11" s="211">
        <v>311790.5</v>
      </c>
      <c r="I11" s="212">
        <v>24643</v>
      </c>
      <c r="J11" s="213">
        <f>I11/F11</f>
        <v>849.7586206896551</v>
      </c>
      <c r="K11" s="214">
        <f>H11/I11</f>
        <v>12.652294769305685</v>
      </c>
      <c r="L11" s="215">
        <v>311790.5</v>
      </c>
      <c r="M11" s="213">
        <v>24643</v>
      </c>
      <c r="N11" s="174">
        <f>+L11/M11</f>
        <v>12.652294769305685</v>
      </c>
      <c r="O11" s="242"/>
    </row>
    <row r="12" spans="1:15" s="4" customFormat="1" ht="15">
      <c r="A12" s="29">
        <v>8</v>
      </c>
      <c r="B12" s="95" t="s">
        <v>187</v>
      </c>
      <c r="C12" s="208">
        <v>40228</v>
      </c>
      <c r="D12" s="168" t="s">
        <v>155</v>
      </c>
      <c r="E12" s="210">
        <v>88</v>
      </c>
      <c r="F12" s="210">
        <v>88</v>
      </c>
      <c r="G12" s="210">
        <v>2</v>
      </c>
      <c r="H12" s="211">
        <v>242913.25</v>
      </c>
      <c r="I12" s="212">
        <v>25741</v>
      </c>
      <c r="J12" s="213">
        <f>(I12/F12)</f>
        <v>292.5113636363636</v>
      </c>
      <c r="K12" s="214">
        <f>H12/I12</f>
        <v>9.436822578765394</v>
      </c>
      <c r="L12" s="215">
        <f>398810.5+242913.25</f>
        <v>641723.75</v>
      </c>
      <c r="M12" s="213">
        <f>40763+25741</f>
        <v>66504</v>
      </c>
      <c r="N12" s="174">
        <f>L12/M12</f>
        <v>9.64940078792253</v>
      </c>
      <c r="O12" s="242"/>
    </row>
    <row r="13" spans="1:15" s="4" customFormat="1" ht="15">
      <c r="A13" s="29">
        <v>9</v>
      </c>
      <c r="B13" s="95" t="s">
        <v>188</v>
      </c>
      <c r="C13" s="208">
        <v>40235</v>
      </c>
      <c r="D13" s="168" t="s">
        <v>153</v>
      </c>
      <c r="E13" s="210">
        <v>91</v>
      </c>
      <c r="F13" s="210">
        <v>91</v>
      </c>
      <c r="G13" s="210">
        <v>1</v>
      </c>
      <c r="H13" s="211">
        <v>150520</v>
      </c>
      <c r="I13" s="212">
        <v>18446</v>
      </c>
      <c r="J13" s="213">
        <f aca="true" t="shared" si="0" ref="J13:J18">I13/F13</f>
        <v>202.7032967032967</v>
      </c>
      <c r="K13" s="214">
        <f>H13/I13</f>
        <v>8.160034695869022</v>
      </c>
      <c r="L13" s="215">
        <v>150520</v>
      </c>
      <c r="M13" s="213">
        <v>18446</v>
      </c>
      <c r="N13" s="174">
        <f aca="true" t="shared" si="1" ref="N13:N18">+L13/M13</f>
        <v>8.160034695869022</v>
      </c>
      <c r="O13" s="242">
        <v>1</v>
      </c>
    </row>
    <row r="14" spans="1:15" s="4" customFormat="1" ht="15">
      <c r="A14" s="29">
        <v>10</v>
      </c>
      <c r="B14" s="95" t="s">
        <v>189</v>
      </c>
      <c r="C14" s="208">
        <v>40235</v>
      </c>
      <c r="D14" s="168" t="s">
        <v>154</v>
      </c>
      <c r="E14" s="210">
        <v>46</v>
      </c>
      <c r="F14" s="210">
        <v>45</v>
      </c>
      <c r="G14" s="210">
        <v>1</v>
      </c>
      <c r="H14" s="211">
        <v>125625</v>
      </c>
      <c r="I14" s="212">
        <v>11959</v>
      </c>
      <c r="J14" s="213">
        <f t="shared" si="0"/>
        <v>265.75555555555553</v>
      </c>
      <c r="K14" s="214">
        <f>+H14/I14</f>
        <v>10.504640856258884</v>
      </c>
      <c r="L14" s="215">
        <v>130999</v>
      </c>
      <c r="M14" s="213">
        <v>12509</v>
      </c>
      <c r="N14" s="174">
        <f t="shared" si="1"/>
        <v>10.472379886481733</v>
      </c>
      <c r="O14" s="242"/>
    </row>
    <row r="15" spans="1:15" s="4" customFormat="1" ht="15">
      <c r="A15" s="29">
        <v>11</v>
      </c>
      <c r="B15" s="95" t="s">
        <v>175</v>
      </c>
      <c r="C15" s="208">
        <v>40221</v>
      </c>
      <c r="D15" s="168" t="s">
        <v>153</v>
      </c>
      <c r="E15" s="210">
        <v>85</v>
      </c>
      <c r="F15" s="210">
        <v>73</v>
      </c>
      <c r="G15" s="210">
        <v>3</v>
      </c>
      <c r="H15" s="211">
        <v>116209</v>
      </c>
      <c r="I15" s="212">
        <v>11148</v>
      </c>
      <c r="J15" s="213">
        <f t="shared" si="0"/>
        <v>152.7123287671233</v>
      </c>
      <c r="K15" s="214">
        <f>H15/I15</f>
        <v>10.424201650520272</v>
      </c>
      <c r="L15" s="215">
        <v>1044209</v>
      </c>
      <c r="M15" s="213">
        <v>97086</v>
      </c>
      <c r="N15" s="174">
        <f t="shared" si="1"/>
        <v>10.75550542817708</v>
      </c>
      <c r="O15" s="242"/>
    </row>
    <row r="16" spans="1:15" s="4" customFormat="1" ht="15">
      <c r="A16" s="29">
        <v>12</v>
      </c>
      <c r="B16" s="95" t="s">
        <v>190</v>
      </c>
      <c r="C16" s="208">
        <v>40235</v>
      </c>
      <c r="D16" s="168" t="s">
        <v>153</v>
      </c>
      <c r="E16" s="210">
        <v>27</v>
      </c>
      <c r="F16" s="210">
        <v>27</v>
      </c>
      <c r="G16" s="210">
        <v>1</v>
      </c>
      <c r="H16" s="211">
        <v>98211</v>
      </c>
      <c r="I16" s="212">
        <v>8036</v>
      </c>
      <c r="J16" s="213">
        <f t="shared" si="0"/>
        <v>297.6296296296296</v>
      </c>
      <c r="K16" s="214">
        <f>H16/I16</f>
        <v>12.221378795420607</v>
      </c>
      <c r="L16" s="215">
        <v>98211</v>
      </c>
      <c r="M16" s="213">
        <v>8036</v>
      </c>
      <c r="N16" s="174">
        <f t="shared" si="1"/>
        <v>12.221378795420607</v>
      </c>
      <c r="O16" s="242"/>
    </row>
    <row r="17" spans="1:15" s="4" customFormat="1" ht="15">
      <c r="A17" s="29">
        <v>13</v>
      </c>
      <c r="B17" s="95" t="s">
        <v>191</v>
      </c>
      <c r="C17" s="208">
        <v>40228</v>
      </c>
      <c r="D17" s="168" t="s">
        <v>154</v>
      </c>
      <c r="E17" s="210">
        <v>70</v>
      </c>
      <c r="F17" s="210">
        <v>70</v>
      </c>
      <c r="G17" s="210">
        <v>2</v>
      </c>
      <c r="H17" s="211">
        <v>91252</v>
      </c>
      <c r="I17" s="212">
        <v>9122</v>
      </c>
      <c r="J17" s="213">
        <f t="shared" si="0"/>
        <v>130.31428571428572</v>
      </c>
      <c r="K17" s="214">
        <f>+H17/I17</f>
        <v>10.003508002631001</v>
      </c>
      <c r="L17" s="215">
        <v>230166</v>
      </c>
      <c r="M17" s="213">
        <v>22533</v>
      </c>
      <c r="N17" s="174">
        <f t="shared" si="1"/>
        <v>10.214618559446146</v>
      </c>
      <c r="O17" s="242"/>
    </row>
    <row r="18" spans="1:15" s="4" customFormat="1" ht="15">
      <c r="A18" s="29">
        <v>14</v>
      </c>
      <c r="B18" s="95" t="s">
        <v>170</v>
      </c>
      <c r="C18" s="208">
        <v>40200</v>
      </c>
      <c r="D18" s="209" t="s">
        <v>76</v>
      </c>
      <c r="E18" s="210">
        <v>203</v>
      </c>
      <c r="F18" s="210">
        <v>14</v>
      </c>
      <c r="G18" s="210">
        <v>6</v>
      </c>
      <c r="H18" s="211">
        <v>58554</v>
      </c>
      <c r="I18" s="212">
        <v>8404</v>
      </c>
      <c r="J18" s="213">
        <f t="shared" si="0"/>
        <v>600.2857142857143</v>
      </c>
      <c r="K18" s="214">
        <f>H18/I18</f>
        <v>6.967396477867682</v>
      </c>
      <c r="L18" s="215">
        <f>3375939.75+2025612.25+1005793.75+228158+129822-591+58554</f>
        <v>6823288.75</v>
      </c>
      <c r="M18" s="213">
        <f>390291+234725-168+117153-100+30011-18+18391+466+8404</f>
        <v>799155</v>
      </c>
      <c r="N18" s="174">
        <f t="shared" si="1"/>
        <v>8.538129336611796</v>
      </c>
      <c r="O18" s="242">
        <v>1</v>
      </c>
    </row>
    <row r="19" spans="1:15" s="4" customFormat="1" ht="15">
      <c r="A19" s="29">
        <v>15</v>
      </c>
      <c r="B19" s="95" t="s">
        <v>192</v>
      </c>
      <c r="C19" s="208">
        <v>40228</v>
      </c>
      <c r="D19" s="168" t="s">
        <v>155</v>
      </c>
      <c r="E19" s="210">
        <v>17</v>
      </c>
      <c r="F19" s="210">
        <v>14</v>
      </c>
      <c r="G19" s="210">
        <v>2</v>
      </c>
      <c r="H19" s="211">
        <v>36356.5</v>
      </c>
      <c r="I19" s="212">
        <v>2877</v>
      </c>
      <c r="J19" s="213">
        <f>(I19/F19)</f>
        <v>205.5</v>
      </c>
      <c r="K19" s="214">
        <f>H19/I19</f>
        <v>12.636948209940911</v>
      </c>
      <c r="L19" s="215">
        <f>123803.5+36356.5</f>
        <v>160160</v>
      </c>
      <c r="M19" s="213">
        <f>9724+2877</f>
        <v>12601</v>
      </c>
      <c r="N19" s="174">
        <f>L19/M19</f>
        <v>12.710102372827553</v>
      </c>
      <c r="O19" s="242"/>
    </row>
    <row r="20" spans="1:15" s="4" customFormat="1" ht="15">
      <c r="A20" s="29">
        <v>16</v>
      </c>
      <c r="B20" s="95" t="s">
        <v>165</v>
      </c>
      <c r="C20" s="208">
        <v>40200</v>
      </c>
      <c r="D20" s="168" t="s">
        <v>154</v>
      </c>
      <c r="E20" s="210">
        <v>227</v>
      </c>
      <c r="F20" s="210">
        <v>33</v>
      </c>
      <c r="G20" s="210">
        <v>6</v>
      </c>
      <c r="H20" s="211">
        <v>28438</v>
      </c>
      <c r="I20" s="212">
        <v>6049</v>
      </c>
      <c r="J20" s="213">
        <f>I20/F20</f>
        <v>183.3030303030303</v>
      </c>
      <c r="K20" s="214">
        <f>+H20/I20</f>
        <v>4.701272937675649</v>
      </c>
      <c r="L20" s="215">
        <v>6680079</v>
      </c>
      <c r="M20" s="213">
        <v>741911</v>
      </c>
      <c r="N20" s="174">
        <f>+L20/M20</f>
        <v>9.003881867232053</v>
      </c>
      <c r="O20" s="242">
        <v>1</v>
      </c>
    </row>
    <row r="21" spans="1:15" s="4" customFormat="1" ht="15">
      <c r="A21" s="29">
        <v>17</v>
      </c>
      <c r="B21" s="95" t="s">
        <v>193</v>
      </c>
      <c r="C21" s="208">
        <v>40214</v>
      </c>
      <c r="D21" s="168" t="s">
        <v>153</v>
      </c>
      <c r="E21" s="210">
        <v>72</v>
      </c>
      <c r="F21" s="210">
        <v>12</v>
      </c>
      <c r="G21" s="210">
        <v>4</v>
      </c>
      <c r="H21" s="211">
        <v>17978</v>
      </c>
      <c r="I21" s="212">
        <v>2483</v>
      </c>
      <c r="J21" s="213">
        <f>I21/F21</f>
        <v>206.91666666666666</v>
      </c>
      <c r="K21" s="214">
        <f>H21/I21</f>
        <v>7.240434957712445</v>
      </c>
      <c r="L21" s="215">
        <v>1183138</v>
      </c>
      <c r="M21" s="213">
        <v>117197</v>
      </c>
      <c r="N21" s="174">
        <f>+L21/M21</f>
        <v>10.09529254161796</v>
      </c>
      <c r="O21" s="242"/>
    </row>
    <row r="22" spans="1:15" s="4" customFormat="1" ht="15">
      <c r="A22" s="29">
        <v>18</v>
      </c>
      <c r="B22" s="95" t="s">
        <v>90</v>
      </c>
      <c r="C22" s="208">
        <v>39849</v>
      </c>
      <c r="D22" s="168" t="s">
        <v>155</v>
      </c>
      <c r="E22" s="210">
        <v>60</v>
      </c>
      <c r="F22" s="210">
        <v>24</v>
      </c>
      <c r="G22" s="210">
        <v>10</v>
      </c>
      <c r="H22" s="211">
        <v>14942.5</v>
      </c>
      <c r="I22" s="212">
        <v>3069</v>
      </c>
      <c r="J22" s="213">
        <f>(I22/F22)</f>
        <v>127.875</v>
      </c>
      <c r="K22" s="214">
        <f>H22/I22</f>
        <v>4.868849788204627</v>
      </c>
      <c r="L22" s="215">
        <f>421775.5+397095.5+287050+215248.5+189819.5+180729.5+86816.5+23840+19148+14942.5</f>
        <v>1836465.5</v>
      </c>
      <c r="M22" s="213">
        <f>43739+40732+31780+27356+25902+24895+12153+4496+3179+3069</f>
        <v>217301</v>
      </c>
      <c r="N22" s="174">
        <f>L22/M22</f>
        <v>8.451251950060055</v>
      </c>
      <c r="O22" s="242"/>
    </row>
    <row r="23" spans="1:15" s="4" customFormat="1" ht="15">
      <c r="A23" s="29">
        <v>19</v>
      </c>
      <c r="B23" s="95" t="s">
        <v>194</v>
      </c>
      <c r="C23" s="208">
        <v>40200</v>
      </c>
      <c r="D23" s="168" t="s">
        <v>154</v>
      </c>
      <c r="E23" s="210">
        <v>95</v>
      </c>
      <c r="F23" s="210">
        <v>21</v>
      </c>
      <c r="G23" s="210">
        <v>6</v>
      </c>
      <c r="H23" s="211">
        <v>14633</v>
      </c>
      <c r="I23" s="212">
        <v>2933</v>
      </c>
      <c r="J23" s="213">
        <f>I23/F23</f>
        <v>139.66666666666666</v>
      </c>
      <c r="K23" s="214">
        <f>+H23/I23</f>
        <v>4.9890896692806</v>
      </c>
      <c r="L23" s="215">
        <v>1898734</v>
      </c>
      <c r="M23" s="213">
        <v>207407</v>
      </c>
      <c r="N23" s="174">
        <f>+L23/M23</f>
        <v>9.154628339448523</v>
      </c>
      <c r="O23" s="242"/>
    </row>
    <row r="24" spans="1:15" s="4" customFormat="1" ht="15">
      <c r="A24" s="29">
        <v>20</v>
      </c>
      <c r="B24" s="95" t="s">
        <v>20</v>
      </c>
      <c r="C24" s="208">
        <v>40165</v>
      </c>
      <c r="D24" s="168" t="s">
        <v>157</v>
      </c>
      <c r="E24" s="210">
        <v>38</v>
      </c>
      <c r="F24" s="210">
        <v>7</v>
      </c>
      <c r="G24" s="210">
        <v>11</v>
      </c>
      <c r="H24" s="211">
        <v>9346</v>
      </c>
      <c r="I24" s="212">
        <v>2029</v>
      </c>
      <c r="J24" s="213">
        <f>I24/F24</f>
        <v>289.85714285714283</v>
      </c>
      <c r="K24" s="214">
        <f>H24/I24</f>
        <v>4.606209955643174</v>
      </c>
      <c r="L24" s="215">
        <v>1102807</v>
      </c>
      <c r="M24" s="213">
        <v>132921</v>
      </c>
      <c r="N24" s="174">
        <f>+L24/M24</f>
        <v>8.29671007590975</v>
      </c>
      <c r="O24" s="242">
        <v>1</v>
      </c>
    </row>
    <row r="25" spans="1:15" s="4" customFormat="1" ht="15">
      <c r="A25" s="29">
        <v>21</v>
      </c>
      <c r="B25" s="95" t="s">
        <v>51</v>
      </c>
      <c r="C25" s="208">
        <v>40193</v>
      </c>
      <c r="D25" s="168" t="s">
        <v>157</v>
      </c>
      <c r="E25" s="210">
        <v>86</v>
      </c>
      <c r="F25" s="210">
        <v>7</v>
      </c>
      <c r="G25" s="210">
        <v>7</v>
      </c>
      <c r="H25" s="211">
        <v>7371</v>
      </c>
      <c r="I25" s="212">
        <v>1259</v>
      </c>
      <c r="J25" s="213">
        <f>I25/F25</f>
        <v>179.85714285714286</v>
      </c>
      <c r="K25" s="214">
        <f>H25/I25</f>
        <v>5.8546465448768865</v>
      </c>
      <c r="L25" s="215">
        <v>1658249.5</v>
      </c>
      <c r="M25" s="213">
        <v>180494</v>
      </c>
      <c r="N25" s="174">
        <f>+L25/M25</f>
        <v>9.187283233791705</v>
      </c>
      <c r="O25" s="242"/>
    </row>
    <row r="26" spans="1:15" s="4" customFormat="1" ht="15">
      <c r="A26" s="29">
        <v>22</v>
      </c>
      <c r="B26" s="95" t="s">
        <v>10</v>
      </c>
      <c r="C26" s="208">
        <v>40207</v>
      </c>
      <c r="D26" s="168" t="s">
        <v>157</v>
      </c>
      <c r="E26" s="210">
        <v>47</v>
      </c>
      <c r="F26" s="210">
        <v>5</v>
      </c>
      <c r="G26" s="210">
        <v>5</v>
      </c>
      <c r="H26" s="211">
        <v>6596</v>
      </c>
      <c r="I26" s="212">
        <v>892</v>
      </c>
      <c r="J26" s="213">
        <f>I26/F26</f>
        <v>178.4</v>
      </c>
      <c r="K26" s="214">
        <f>H26/I26</f>
        <v>7.394618834080718</v>
      </c>
      <c r="L26" s="215">
        <v>1846216.5</v>
      </c>
      <c r="M26" s="213">
        <v>156371</v>
      </c>
      <c r="N26" s="174">
        <f>+L26/M26</f>
        <v>11.806642536020107</v>
      </c>
      <c r="O26" s="242"/>
    </row>
    <row r="27" spans="1:15" s="4" customFormat="1" ht="15">
      <c r="A27" s="29">
        <v>23</v>
      </c>
      <c r="B27" s="95" t="s">
        <v>195</v>
      </c>
      <c r="C27" s="208">
        <v>40228</v>
      </c>
      <c r="D27" s="168" t="s">
        <v>182</v>
      </c>
      <c r="E27" s="210">
        <v>15</v>
      </c>
      <c r="F27" s="210">
        <v>4</v>
      </c>
      <c r="G27" s="210">
        <v>2</v>
      </c>
      <c r="H27" s="211">
        <v>6425</v>
      </c>
      <c r="I27" s="212">
        <v>631</v>
      </c>
      <c r="J27" s="213">
        <f>I27/F27</f>
        <v>157.75</v>
      </c>
      <c r="K27" s="214">
        <f>H27/I27</f>
        <v>10.182250396196514</v>
      </c>
      <c r="L27" s="215">
        <v>31374</v>
      </c>
      <c r="M27" s="213">
        <v>2906</v>
      </c>
      <c r="N27" s="174">
        <f>+L27/M27</f>
        <v>10.796283551273227</v>
      </c>
      <c r="O27" s="242"/>
    </row>
    <row r="28" spans="1:15" s="4" customFormat="1" ht="15">
      <c r="A28" s="29">
        <v>24</v>
      </c>
      <c r="B28" s="95" t="s">
        <v>34</v>
      </c>
      <c r="C28" s="208">
        <v>39920</v>
      </c>
      <c r="D28" s="168" t="s">
        <v>155</v>
      </c>
      <c r="E28" s="210">
        <v>43</v>
      </c>
      <c r="F28" s="210">
        <v>4</v>
      </c>
      <c r="G28" s="210">
        <v>30</v>
      </c>
      <c r="H28" s="211">
        <v>6292</v>
      </c>
      <c r="I28" s="212">
        <v>1573</v>
      </c>
      <c r="J28" s="213">
        <f>(I28/F28)</f>
        <v>393.25</v>
      </c>
      <c r="K28" s="214">
        <f>H28/I28</f>
        <v>4</v>
      </c>
      <c r="L28" s="215">
        <f>71921.5+55489+28896+23842.5+13474.5+19552.5+14027+10409+7091.5+1088.5+1046+1608+982+3368+433+2156+3870+2362+588+3564+2376+1424+1780+1424+1512+1188+952+952+952+6292</f>
        <v>284621</v>
      </c>
      <c r="M28" s="213">
        <f>9131+7791+4520+4728+2735+3857+3026+2110+1463+203+226+324+239+809+81+469+941+537+95+891+594+356+445+356+378+297+238+238+238+1573</f>
        <v>48889</v>
      </c>
      <c r="N28" s="174">
        <f>L28/M28</f>
        <v>5.821779950500113</v>
      </c>
      <c r="O28" s="242">
        <v>1</v>
      </c>
    </row>
    <row r="29" spans="1:15" s="4" customFormat="1" ht="15">
      <c r="A29" s="29">
        <v>25</v>
      </c>
      <c r="B29" s="95" t="s">
        <v>73</v>
      </c>
      <c r="C29" s="208">
        <v>40102</v>
      </c>
      <c r="D29" s="168" t="s">
        <v>154</v>
      </c>
      <c r="E29" s="210">
        <v>99</v>
      </c>
      <c r="F29" s="210">
        <v>1</v>
      </c>
      <c r="G29" s="210">
        <v>20</v>
      </c>
      <c r="H29" s="211">
        <v>5600</v>
      </c>
      <c r="I29" s="212">
        <v>1400</v>
      </c>
      <c r="J29" s="213">
        <f>I29/F29</f>
        <v>1400</v>
      </c>
      <c r="K29" s="214">
        <f>+H29/I29</f>
        <v>4</v>
      </c>
      <c r="L29" s="215">
        <v>2607682</v>
      </c>
      <c r="M29" s="213">
        <v>279590</v>
      </c>
      <c r="N29" s="174">
        <f>+L29/M29</f>
        <v>9.326807110411675</v>
      </c>
      <c r="O29" s="242"/>
    </row>
    <row r="30" spans="1:15" s="4" customFormat="1" ht="15">
      <c r="A30" s="29">
        <v>26</v>
      </c>
      <c r="B30" s="95" t="s">
        <v>50</v>
      </c>
      <c r="C30" s="208">
        <v>40193</v>
      </c>
      <c r="D30" s="168" t="s">
        <v>153</v>
      </c>
      <c r="E30" s="210">
        <v>83</v>
      </c>
      <c r="F30" s="210">
        <v>5</v>
      </c>
      <c r="G30" s="210">
        <v>7</v>
      </c>
      <c r="H30" s="211">
        <v>4291</v>
      </c>
      <c r="I30" s="212">
        <v>1095</v>
      </c>
      <c r="J30" s="213">
        <f>I30/F30</f>
        <v>219</v>
      </c>
      <c r="K30" s="214">
        <f>H30/I30</f>
        <v>3.9187214611872148</v>
      </c>
      <c r="L30" s="215">
        <v>2803222</v>
      </c>
      <c r="M30" s="213">
        <v>264946</v>
      </c>
      <c r="N30" s="174">
        <f>+L30/M30</f>
        <v>10.580352222717082</v>
      </c>
      <c r="O30" s="242"/>
    </row>
    <row r="31" spans="1:15" s="4" customFormat="1" ht="15">
      <c r="A31" s="29">
        <v>27</v>
      </c>
      <c r="B31" s="95" t="s">
        <v>52</v>
      </c>
      <c r="C31" s="208">
        <v>40193</v>
      </c>
      <c r="D31" s="168" t="s">
        <v>155</v>
      </c>
      <c r="E31" s="210">
        <v>55</v>
      </c>
      <c r="F31" s="210">
        <v>5</v>
      </c>
      <c r="G31" s="210">
        <v>7</v>
      </c>
      <c r="H31" s="211">
        <v>4175</v>
      </c>
      <c r="I31" s="212">
        <v>697</v>
      </c>
      <c r="J31" s="213">
        <f>(I31/F31)</f>
        <v>139.4</v>
      </c>
      <c r="K31" s="214">
        <f>H31/I31</f>
        <v>5.989956958393114</v>
      </c>
      <c r="L31" s="215">
        <f>197266+158498+94472.5+25746.5+5341+4975+4175</f>
        <v>490474</v>
      </c>
      <c r="M31" s="213">
        <f>19567+17056+12441+3194+866+909+697</f>
        <v>54730</v>
      </c>
      <c r="N31" s="174">
        <f>L31/M31</f>
        <v>8.961702905170839</v>
      </c>
      <c r="O31" s="242"/>
    </row>
    <row r="32" spans="1:15" s="4" customFormat="1" ht="15">
      <c r="A32" s="29">
        <v>28</v>
      </c>
      <c r="B32" s="95" t="s">
        <v>93</v>
      </c>
      <c r="C32" s="208">
        <v>40179</v>
      </c>
      <c r="D32" s="168" t="s">
        <v>153</v>
      </c>
      <c r="E32" s="210">
        <v>60</v>
      </c>
      <c r="F32" s="210">
        <v>1</v>
      </c>
      <c r="G32" s="210">
        <v>9</v>
      </c>
      <c r="H32" s="211">
        <v>3571</v>
      </c>
      <c r="I32" s="212">
        <v>892</v>
      </c>
      <c r="J32" s="213">
        <f>I32/F32</f>
        <v>892</v>
      </c>
      <c r="K32" s="214">
        <f>H32/I32</f>
        <v>4.003363228699552</v>
      </c>
      <c r="L32" s="215">
        <f>471455+3571</f>
        <v>475026</v>
      </c>
      <c r="M32" s="213">
        <f>46173+892</f>
        <v>47065</v>
      </c>
      <c r="N32" s="174">
        <f>+L32/M32</f>
        <v>10.092977796664188</v>
      </c>
      <c r="O32" s="242"/>
    </row>
    <row r="33" spans="1:15" s="4" customFormat="1" ht="15">
      <c r="A33" s="29">
        <v>29</v>
      </c>
      <c r="B33" s="95" t="s">
        <v>80</v>
      </c>
      <c r="C33" s="208">
        <v>40137</v>
      </c>
      <c r="D33" s="168" t="s">
        <v>155</v>
      </c>
      <c r="E33" s="210">
        <v>147</v>
      </c>
      <c r="F33" s="210">
        <v>3</v>
      </c>
      <c r="G33" s="210">
        <v>15</v>
      </c>
      <c r="H33" s="211">
        <v>3362</v>
      </c>
      <c r="I33" s="212">
        <v>840</v>
      </c>
      <c r="J33" s="213">
        <f>(I33/F33)</f>
        <v>280</v>
      </c>
      <c r="K33" s="214">
        <f>H33/I33</f>
        <v>4.002380952380952</v>
      </c>
      <c r="L33" s="215">
        <f>4499732.5+3362984.5+1262292.25+664013.75+490740.5+244990+87796+33908+25213+8908+4440+435+625+2349+3362</f>
        <v>10691789.5</v>
      </c>
      <c r="M33" s="213">
        <f>493806+365411+142937+78728+74756+40294+15922+6247+4692+1746+904+107+157+579+840</f>
        <v>1227126</v>
      </c>
      <c r="N33" s="174">
        <f>L33/M33</f>
        <v>8.712870153513169</v>
      </c>
      <c r="O33" s="242"/>
    </row>
    <row r="34" spans="1:15" s="4" customFormat="1" ht="15">
      <c r="A34" s="29">
        <v>30</v>
      </c>
      <c r="B34" s="95" t="s">
        <v>92</v>
      </c>
      <c r="C34" s="208">
        <v>40179</v>
      </c>
      <c r="D34" s="168" t="s">
        <v>155</v>
      </c>
      <c r="E34" s="210">
        <v>42</v>
      </c>
      <c r="F34" s="210">
        <v>4</v>
      </c>
      <c r="G34" s="210">
        <v>9</v>
      </c>
      <c r="H34" s="211">
        <v>3122</v>
      </c>
      <c r="I34" s="212">
        <v>663</v>
      </c>
      <c r="J34" s="213">
        <f>(I34/F34)</f>
        <v>165.75</v>
      </c>
      <c r="K34" s="214">
        <f>H34/I34</f>
        <v>4.708898944193062</v>
      </c>
      <c r="L34" s="215">
        <f>310442.5+275157.5+119153+26271.5+19971.5+13231+6468+3094+3122</f>
        <v>776911</v>
      </c>
      <c r="M34" s="213">
        <f>26771+24068+11328+2954+1983+1309+737+492+663</f>
        <v>70305</v>
      </c>
      <c r="N34" s="174">
        <f>L34/M34</f>
        <v>11.050579617381409</v>
      </c>
      <c r="O34" s="242"/>
    </row>
    <row r="35" spans="1:15" s="4" customFormat="1" ht="15">
      <c r="A35" s="29">
        <v>31</v>
      </c>
      <c r="B35" s="95" t="s">
        <v>11</v>
      </c>
      <c r="C35" s="208">
        <v>40207</v>
      </c>
      <c r="D35" s="209" t="s">
        <v>130</v>
      </c>
      <c r="E35" s="210">
        <v>87</v>
      </c>
      <c r="F35" s="210">
        <v>9</v>
      </c>
      <c r="G35" s="210">
        <v>5</v>
      </c>
      <c r="H35" s="211">
        <v>3105</v>
      </c>
      <c r="I35" s="212">
        <v>502</v>
      </c>
      <c r="J35" s="213">
        <f>+I35/F35</f>
        <v>55.77777777777778</v>
      </c>
      <c r="K35" s="214">
        <f>+H35/I35</f>
        <v>6.185258964143427</v>
      </c>
      <c r="L35" s="215">
        <v>1050642</v>
      </c>
      <c r="M35" s="213">
        <v>99499</v>
      </c>
      <c r="N35" s="174">
        <f>+L35/M35</f>
        <v>10.559322204243259</v>
      </c>
      <c r="O35" s="242"/>
    </row>
    <row r="36" spans="1:15" s="4" customFormat="1" ht="15">
      <c r="A36" s="29">
        <v>32</v>
      </c>
      <c r="B36" s="95" t="s">
        <v>53</v>
      </c>
      <c r="C36" s="208">
        <v>40179</v>
      </c>
      <c r="D36" s="168" t="s">
        <v>154</v>
      </c>
      <c r="E36" s="210">
        <v>370</v>
      </c>
      <c r="F36" s="210">
        <v>10</v>
      </c>
      <c r="G36" s="210">
        <v>9</v>
      </c>
      <c r="H36" s="211">
        <v>2896</v>
      </c>
      <c r="I36" s="212">
        <v>514</v>
      </c>
      <c r="J36" s="213">
        <f>I36/F36</f>
        <v>51.4</v>
      </c>
      <c r="K36" s="214">
        <f>+H36/I36</f>
        <v>5.634241245136187</v>
      </c>
      <c r="L36" s="215">
        <v>20843055</v>
      </c>
      <c r="M36" s="213">
        <v>2320540</v>
      </c>
      <c r="N36" s="174">
        <f>+L36/M36</f>
        <v>8.98198479664216</v>
      </c>
      <c r="O36" s="242">
        <v>1</v>
      </c>
    </row>
    <row r="37" spans="1:15" s="4" customFormat="1" ht="15">
      <c r="A37" s="29">
        <v>33</v>
      </c>
      <c r="B37" s="95" t="s">
        <v>54</v>
      </c>
      <c r="C37" s="208">
        <v>40193</v>
      </c>
      <c r="D37" s="168" t="s">
        <v>157</v>
      </c>
      <c r="E37" s="210">
        <v>124</v>
      </c>
      <c r="F37" s="210">
        <v>2</v>
      </c>
      <c r="G37" s="210">
        <v>7</v>
      </c>
      <c r="H37" s="211">
        <v>2617</v>
      </c>
      <c r="I37" s="212">
        <v>717</v>
      </c>
      <c r="J37" s="213">
        <f>I37/F37</f>
        <v>358.5</v>
      </c>
      <c r="K37" s="214">
        <f aca="true" t="shared" si="2" ref="K37:K48">H37/I37</f>
        <v>3.6499302649930265</v>
      </c>
      <c r="L37" s="215">
        <v>449606.75</v>
      </c>
      <c r="M37" s="213">
        <v>56241</v>
      </c>
      <c r="N37" s="174">
        <f>+L37/M37</f>
        <v>7.994287974964883</v>
      </c>
      <c r="O37" s="242">
        <v>1</v>
      </c>
    </row>
    <row r="38" spans="1:15" s="4" customFormat="1" ht="15">
      <c r="A38" s="29">
        <v>34</v>
      </c>
      <c r="B38" s="95" t="s">
        <v>26</v>
      </c>
      <c r="C38" s="208">
        <v>40186</v>
      </c>
      <c r="D38" s="168" t="s">
        <v>155</v>
      </c>
      <c r="E38" s="210">
        <v>4</v>
      </c>
      <c r="F38" s="210">
        <v>4</v>
      </c>
      <c r="G38" s="210">
        <v>8</v>
      </c>
      <c r="H38" s="211">
        <v>2392</v>
      </c>
      <c r="I38" s="212">
        <v>553</v>
      </c>
      <c r="J38" s="213">
        <f>(I38/F38)</f>
        <v>138.25</v>
      </c>
      <c r="K38" s="214">
        <f t="shared" si="2"/>
        <v>4.325497287522604</v>
      </c>
      <c r="L38" s="215">
        <f>19677.25+6138.5+538+2308.5+3432+4106+4545+2392</f>
        <v>43137.25</v>
      </c>
      <c r="M38" s="213">
        <f>1627+845+84+359+556+884+725+553</f>
        <v>5633</v>
      </c>
      <c r="N38" s="174">
        <f>L38/M38</f>
        <v>7.657953133321499</v>
      </c>
      <c r="O38" s="242"/>
    </row>
    <row r="39" spans="1:15" s="4" customFormat="1" ht="15">
      <c r="A39" s="29">
        <v>35</v>
      </c>
      <c r="B39" s="95" t="s">
        <v>180</v>
      </c>
      <c r="C39" s="208">
        <v>40074</v>
      </c>
      <c r="D39" s="168" t="s">
        <v>157</v>
      </c>
      <c r="E39" s="210">
        <v>142</v>
      </c>
      <c r="F39" s="210">
        <v>2</v>
      </c>
      <c r="G39" s="210">
        <v>13</v>
      </c>
      <c r="H39" s="211">
        <v>2077</v>
      </c>
      <c r="I39" s="212">
        <v>415</v>
      </c>
      <c r="J39" s="213">
        <f>I39/F39</f>
        <v>207.5</v>
      </c>
      <c r="K39" s="214">
        <f t="shared" si="2"/>
        <v>5.004819277108433</v>
      </c>
      <c r="L39" s="215">
        <v>812953.5</v>
      </c>
      <c r="M39" s="213">
        <v>102837</v>
      </c>
      <c r="N39" s="174">
        <f>+L39/M39</f>
        <v>7.905262697278217</v>
      </c>
      <c r="O39" s="242">
        <v>1</v>
      </c>
    </row>
    <row r="40" spans="1:15" s="4" customFormat="1" ht="15">
      <c r="A40" s="29">
        <v>36</v>
      </c>
      <c r="B40" s="95" t="s">
        <v>3</v>
      </c>
      <c r="C40" s="208">
        <v>40453</v>
      </c>
      <c r="D40" s="168" t="s">
        <v>86</v>
      </c>
      <c r="E40" s="210">
        <v>25</v>
      </c>
      <c r="F40" s="210">
        <v>1</v>
      </c>
      <c r="G40" s="210">
        <v>10</v>
      </c>
      <c r="H40" s="211">
        <v>1782</v>
      </c>
      <c r="I40" s="212">
        <v>356</v>
      </c>
      <c r="J40" s="213">
        <f>I40/F40</f>
        <v>356</v>
      </c>
      <c r="K40" s="214">
        <f t="shared" si="2"/>
        <v>5.00561797752809</v>
      </c>
      <c r="L40" s="215">
        <v>43178.25</v>
      </c>
      <c r="M40" s="213">
        <v>7220</v>
      </c>
      <c r="N40" s="174">
        <f>+L40/M40</f>
        <v>5.9803670360110806</v>
      </c>
      <c r="O40" s="242">
        <v>1</v>
      </c>
    </row>
    <row r="41" spans="1:15" s="4" customFormat="1" ht="15">
      <c r="A41" s="29">
        <v>37</v>
      </c>
      <c r="B41" s="95" t="s">
        <v>196</v>
      </c>
      <c r="C41" s="208">
        <v>39864</v>
      </c>
      <c r="D41" s="168" t="s">
        <v>155</v>
      </c>
      <c r="E41" s="210">
        <v>55</v>
      </c>
      <c r="F41" s="210">
        <v>1</v>
      </c>
      <c r="G41" s="210">
        <v>26</v>
      </c>
      <c r="H41" s="211">
        <v>1780</v>
      </c>
      <c r="I41" s="212">
        <v>445</v>
      </c>
      <c r="J41" s="213">
        <f aca="true" t="shared" si="3" ref="J41:J46">(I41/F41)</f>
        <v>445</v>
      </c>
      <c r="K41" s="214">
        <f t="shared" si="2"/>
        <v>4</v>
      </c>
      <c r="L41" s="215">
        <f>190777.5+154065+60826.5+20820+23589+29712+19396.5+16102+12940+11034+3005+981+1140+40+98.25+284+1000+300+220+1211.5+155+156+63+1780+5228+1780</f>
        <v>556704.25</v>
      </c>
      <c r="M41" s="213">
        <f>20518+17650+7809+3283+4115+5826+3911+3770+2981+2505+653+199+194+8+18+60+100+75+44+292+22+22+19+445+1307+445</f>
        <v>76271</v>
      </c>
      <c r="N41" s="174">
        <f aca="true" t="shared" si="4" ref="N41:N46">L41/M41</f>
        <v>7.299029119848959</v>
      </c>
      <c r="O41" s="242"/>
    </row>
    <row r="42" spans="1:15" s="4" customFormat="1" ht="15">
      <c r="A42" s="29">
        <v>38</v>
      </c>
      <c r="B42" s="95" t="s">
        <v>5</v>
      </c>
      <c r="C42" s="208">
        <v>39920</v>
      </c>
      <c r="D42" s="168" t="s">
        <v>155</v>
      </c>
      <c r="E42" s="210">
        <v>133</v>
      </c>
      <c r="F42" s="210">
        <v>1</v>
      </c>
      <c r="G42" s="210">
        <v>21</v>
      </c>
      <c r="H42" s="211">
        <v>1780</v>
      </c>
      <c r="I42" s="212">
        <v>445</v>
      </c>
      <c r="J42" s="213">
        <f t="shared" si="3"/>
        <v>445</v>
      </c>
      <c r="K42" s="214">
        <f t="shared" si="2"/>
        <v>4</v>
      </c>
      <c r="L42" s="215">
        <f>814797.5+158602+44526+7105.5+1443+731+330+3273+1356+388+2317+2290.5+138+112.5+37+1136+51+98+1424+1780+1780</f>
        <v>1043716</v>
      </c>
      <c r="M42" s="213">
        <f>100614+19257+6285+1176+234+205+67+783+301+48+521+500+23+18+9+170+23+30+356+445+445</f>
        <v>131510</v>
      </c>
      <c r="N42" s="174">
        <f t="shared" si="4"/>
        <v>7.936400273743441</v>
      </c>
      <c r="O42" s="242"/>
    </row>
    <row r="43" spans="1:15" s="4" customFormat="1" ht="15">
      <c r="A43" s="29">
        <v>39</v>
      </c>
      <c r="B43" s="95" t="s">
        <v>163</v>
      </c>
      <c r="C43" s="208">
        <v>39976</v>
      </c>
      <c r="D43" s="168" t="s">
        <v>155</v>
      </c>
      <c r="E43" s="210">
        <v>2</v>
      </c>
      <c r="F43" s="210">
        <v>1</v>
      </c>
      <c r="G43" s="210">
        <v>15</v>
      </c>
      <c r="H43" s="211">
        <v>1780</v>
      </c>
      <c r="I43" s="212">
        <v>445</v>
      </c>
      <c r="J43" s="213">
        <f t="shared" si="3"/>
        <v>445</v>
      </c>
      <c r="K43" s="214">
        <f t="shared" si="2"/>
        <v>4</v>
      </c>
      <c r="L43" s="215">
        <f>4047+2102+1183+288+2185+769.5+1362.5+929+117+25+266+133+952+1424+1780</f>
        <v>17563</v>
      </c>
      <c r="M43" s="213">
        <f>502+366+177+30+537+130+151+131+15+2+54+19+238+356+445</f>
        <v>3153</v>
      </c>
      <c r="N43" s="174">
        <f t="shared" si="4"/>
        <v>5.570250555026958</v>
      </c>
      <c r="O43" s="242"/>
    </row>
    <row r="44" spans="1:15" s="4" customFormat="1" ht="15">
      <c r="A44" s="29">
        <v>40</v>
      </c>
      <c r="B44" s="95" t="s">
        <v>35</v>
      </c>
      <c r="C44" s="208">
        <v>40095</v>
      </c>
      <c r="D44" s="168" t="s">
        <v>155</v>
      </c>
      <c r="E44" s="210">
        <v>52</v>
      </c>
      <c r="F44" s="210">
        <v>1</v>
      </c>
      <c r="G44" s="210">
        <v>10</v>
      </c>
      <c r="H44" s="211">
        <v>1780</v>
      </c>
      <c r="I44" s="212">
        <v>445</v>
      </c>
      <c r="J44" s="213">
        <f t="shared" si="3"/>
        <v>445</v>
      </c>
      <c r="K44" s="214">
        <f t="shared" si="2"/>
        <v>4</v>
      </c>
      <c r="L44" s="215">
        <f>108013.25+68864+27976+10214+2402+2209+1188+2968+1780+1780</f>
        <v>227394.25</v>
      </c>
      <c r="M44" s="213">
        <f>12202+8144+4339+1841+481+460+297+742+445+445</f>
        <v>29396</v>
      </c>
      <c r="N44" s="174">
        <f t="shared" si="4"/>
        <v>7.73555075520479</v>
      </c>
      <c r="O44" s="242">
        <v>1</v>
      </c>
    </row>
    <row r="45" spans="1:15" s="4" customFormat="1" ht="15">
      <c r="A45" s="29">
        <v>41</v>
      </c>
      <c r="B45" s="95" t="s">
        <v>68</v>
      </c>
      <c r="C45" s="208">
        <v>39995</v>
      </c>
      <c r="D45" s="168" t="s">
        <v>155</v>
      </c>
      <c r="E45" s="210">
        <v>209</v>
      </c>
      <c r="F45" s="210">
        <v>1</v>
      </c>
      <c r="G45" s="210">
        <v>34</v>
      </c>
      <c r="H45" s="211">
        <v>1440</v>
      </c>
      <c r="I45" s="212">
        <v>240</v>
      </c>
      <c r="J45" s="213">
        <f t="shared" si="3"/>
        <v>240</v>
      </c>
      <c r="K45" s="214">
        <f t="shared" si="2"/>
        <v>6</v>
      </c>
      <c r="L45" s="215">
        <f>872160.5+3062686.25+2016658.5+1330226.25+943221.5+742732+516667.5+450351.5+331944.75+238834+191406+133484.5+252388.75+88483.5+54821.5+50455.5+10393.5+13219.5+4551+15537+5404+869+4082+1834+3805+1635+750+1385+2821+5898+4584.5+5853+2137+508+1440</f>
        <v>11363229</v>
      </c>
      <c r="M45" s="213">
        <f>115039+364710+241056+162109+115810+90639+66180+59650+44695+33272+25508+18324+32600+11489+6695+7353+1723+3013+920+3530+1123+138+968+454+919+396+210+249+551+1381+976+1328+506+127+240</f>
        <v>1413881</v>
      </c>
      <c r="N45" s="174">
        <f t="shared" si="4"/>
        <v>8.036906217708562</v>
      </c>
      <c r="O45" s="242"/>
    </row>
    <row r="46" spans="1:15" s="4" customFormat="1" ht="15">
      <c r="A46" s="29">
        <v>42</v>
      </c>
      <c r="B46" s="95" t="s">
        <v>166</v>
      </c>
      <c r="C46" s="208">
        <v>40207</v>
      </c>
      <c r="D46" s="168" t="s">
        <v>155</v>
      </c>
      <c r="E46" s="210">
        <v>43</v>
      </c>
      <c r="F46" s="210">
        <v>5</v>
      </c>
      <c r="G46" s="210">
        <v>5</v>
      </c>
      <c r="H46" s="211">
        <v>946</v>
      </c>
      <c r="I46" s="212">
        <v>157</v>
      </c>
      <c r="J46" s="213">
        <f t="shared" si="3"/>
        <v>31.4</v>
      </c>
      <c r="K46" s="214">
        <f t="shared" si="2"/>
        <v>6.025477707006369</v>
      </c>
      <c r="L46" s="215">
        <f>102370+44067.75+18390+5765+946</f>
        <v>171538.75</v>
      </c>
      <c r="M46" s="213">
        <f>13060+5979+2634+1158+157</f>
        <v>22988</v>
      </c>
      <c r="N46" s="174">
        <f t="shared" si="4"/>
        <v>7.462099791195406</v>
      </c>
      <c r="O46" s="242">
        <v>1</v>
      </c>
    </row>
    <row r="47" spans="1:15" s="4" customFormat="1" ht="15">
      <c r="A47" s="29">
        <v>43</v>
      </c>
      <c r="B47" s="95" t="s">
        <v>111</v>
      </c>
      <c r="C47" s="208">
        <v>40102</v>
      </c>
      <c r="D47" s="168" t="s">
        <v>157</v>
      </c>
      <c r="E47" s="210">
        <v>319</v>
      </c>
      <c r="F47" s="210">
        <v>1</v>
      </c>
      <c r="G47" s="210">
        <v>20</v>
      </c>
      <c r="H47" s="211">
        <v>748</v>
      </c>
      <c r="I47" s="212">
        <v>150</v>
      </c>
      <c r="J47" s="213">
        <f>I47/F47</f>
        <v>150</v>
      </c>
      <c r="K47" s="214">
        <f t="shared" si="2"/>
        <v>4.986666666666666</v>
      </c>
      <c r="L47" s="215">
        <v>19750571.75</v>
      </c>
      <c r="M47" s="213">
        <v>2424833</v>
      </c>
      <c r="N47" s="174">
        <f>+L47/M47</f>
        <v>8.145126592223052</v>
      </c>
      <c r="O47" s="242">
        <v>1</v>
      </c>
    </row>
    <row r="48" spans="1:15" s="4" customFormat="1" ht="15">
      <c r="A48" s="29">
        <v>44</v>
      </c>
      <c r="B48" s="95" t="s">
        <v>30</v>
      </c>
      <c r="C48" s="208">
        <v>40186</v>
      </c>
      <c r="D48" s="168" t="s">
        <v>155</v>
      </c>
      <c r="E48" s="210">
        <v>4</v>
      </c>
      <c r="F48" s="210">
        <v>2</v>
      </c>
      <c r="G48" s="210">
        <v>8</v>
      </c>
      <c r="H48" s="211">
        <v>676</v>
      </c>
      <c r="I48" s="212">
        <v>122</v>
      </c>
      <c r="J48" s="213">
        <f>(I48/F48)</f>
        <v>61</v>
      </c>
      <c r="K48" s="214">
        <f t="shared" si="2"/>
        <v>5.540983606557377</v>
      </c>
      <c r="L48" s="215">
        <f>16093+2026+1632+2529+3793+924+2564+676</f>
        <v>30237</v>
      </c>
      <c r="M48" s="213">
        <f>1351+257+325+456+731+166+434+122</f>
        <v>3842</v>
      </c>
      <c r="N48" s="174">
        <f>L48/M48</f>
        <v>7.870119729307652</v>
      </c>
      <c r="O48" s="242"/>
    </row>
    <row r="49" spans="1:15" s="4" customFormat="1" ht="15">
      <c r="A49" s="29">
        <v>45</v>
      </c>
      <c r="B49" s="95" t="s">
        <v>12</v>
      </c>
      <c r="C49" s="208">
        <v>40207</v>
      </c>
      <c r="D49" s="168" t="s">
        <v>154</v>
      </c>
      <c r="E49" s="210">
        <v>50</v>
      </c>
      <c r="F49" s="210">
        <v>1</v>
      </c>
      <c r="G49" s="210">
        <v>5</v>
      </c>
      <c r="H49" s="211">
        <v>524</v>
      </c>
      <c r="I49" s="212">
        <v>69</v>
      </c>
      <c r="J49" s="213">
        <f>I49/F49</f>
        <v>69</v>
      </c>
      <c r="K49" s="214">
        <f>+H49/I49</f>
        <v>7.594202898550725</v>
      </c>
      <c r="L49" s="215">
        <v>800488</v>
      </c>
      <c r="M49" s="213">
        <v>69825</v>
      </c>
      <c r="N49" s="174">
        <f>+L49/M49</f>
        <v>11.464203365556749</v>
      </c>
      <c r="O49" s="242"/>
    </row>
    <row r="50" spans="1:15" s="4" customFormat="1" ht="15">
      <c r="A50" s="29">
        <v>46</v>
      </c>
      <c r="B50" s="95" t="s">
        <v>31</v>
      </c>
      <c r="C50" s="208">
        <v>40123</v>
      </c>
      <c r="D50" s="168" t="s">
        <v>157</v>
      </c>
      <c r="E50" s="210">
        <v>40</v>
      </c>
      <c r="F50" s="210">
        <v>1</v>
      </c>
      <c r="G50" s="210">
        <v>16</v>
      </c>
      <c r="H50" s="211">
        <v>520</v>
      </c>
      <c r="I50" s="212">
        <v>219</v>
      </c>
      <c r="J50" s="213">
        <f>I50/F50</f>
        <v>219</v>
      </c>
      <c r="K50" s="214">
        <f aca="true" t="shared" si="5" ref="K50:K58">H50/I50</f>
        <v>2.374429223744292</v>
      </c>
      <c r="L50" s="215">
        <v>270412.25</v>
      </c>
      <c r="M50" s="213">
        <v>28128</v>
      </c>
      <c r="N50" s="174">
        <f>+L50/M50</f>
        <v>9.613632323663253</v>
      </c>
      <c r="O50" s="242">
        <v>1</v>
      </c>
    </row>
    <row r="51" spans="1:15" s="4" customFormat="1" ht="15">
      <c r="A51" s="29">
        <v>47</v>
      </c>
      <c r="B51" s="95" t="s">
        <v>113</v>
      </c>
      <c r="C51" s="208">
        <v>40130</v>
      </c>
      <c r="D51" s="168" t="s">
        <v>155</v>
      </c>
      <c r="E51" s="210">
        <v>13</v>
      </c>
      <c r="F51" s="210">
        <v>1</v>
      </c>
      <c r="G51" s="210">
        <v>12</v>
      </c>
      <c r="H51" s="211">
        <v>472</v>
      </c>
      <c r="I51" s="212">
        <v>86</v>
      </c>
      <c r="J51" s="213">
        <f>(I51/F51)</f>
        <v>86</v>
      </c>
      <c r="K51" s="214">
        <f t="shared" si="5"/>
        <v>5.488372093023256</v>
      </c>
      <c r="L51" s="215">
        <f>61012+24426+6122+10040+4081+228+2698+1216+1678.5+1457+452+472</f>
        <v>113882.5</v>
      </c>
      <c r="M51" s="213">
        <f>5982+2401+678+1620+879+42+433+305+334+339+195+86</f>
        <v>13294</v>
      </c>
      <c r="N51" s="174">
        <f>L51/M51</f>
        <v>8.566458552730555</v>
      </c>
      <c r="O51" s="242">
        <v>1</v>
      </c>
    </row>
    <row r="52" spans="1:15" s="4" customFormat="1" ht="15">
      <c r="A52" s="29">
        <v>48</v>
      </c>
      <c r="B52" s="95" t="s">
        <v>112</v>
      </c>
      <c r="C52" s="208">
        <v>39829</v>
      </c>
      <c r="D52" s="168" t="s">
        <v>155</v>
      </c>
      <c r="E52" s="210">
        <v>65</v>
      </c>
      <c r="F52" s="210">
        <v>1</v>
      </c>
      <c r="G52" s="210">
        <v>37</v>
      </c>
      <c r="H52" s="211">
        <v>440</v>
      </c>
      <c r="I52" s="212">
        <v>55</v>
      </c>
      <c r="J52" s="213">
        <f>(I52/F52)</f>
        <v>55</v>
      </c>
      <c r="K52" s="214">
        <f t="shared" si="5"/>
        <v>8</v>
      </c>
      <c r="L52" s="215">
        <f>237023+244842+160469+47021+21536+18820+18020.5+26440+10695+9162.5+9870+6322+1787+2032+757+348+420.5+158+4053+339.5+3161.5+1729.5+752+1417+1780+64+1208+952+552+139.5+544+40+8072+1780+1424+1780+440</f>
        <v>845951.5</v>
      </c>
      <c r="M52" s="213">
        <f>25678+28966+21290+6590+4890+3520+3479+4786+1907+1716+2388+1533+368+541+126+70+67+48+991+81+743+414+155+169+445+16+302+238+117+23+48+12+2018+445+356+445+55</f>
        <v>115036</v>
      </c>
      <c r="N52" s="174">
        <f>L52/M52</f>
        <v>7.353797941513961</v>
      </c>
      <c r="O52" s="242"/>
    </row>
    <row r="53" spans="1:15" s="4" customFormat="1" ht="15">
      <c r="A53" s="29">
        <v>49</v>
      </c>
      <c r="B53" s="95" t="s">
        <v>176</v>
      </c>
      <c r="C53" s="208">
        <v>40221</v>
      </c>
      <c r="D53" s="168" t="s">
        <v>155</v>
      </c>
      <c r="E53" s="210">
        <v>2</v>
      </c>
      <c r="F53" s="210">
        <v>2</v>
      </c>
      <c r="G53" s="210">
        <v>3</v>
      </c>
      <c r="H53" s="211">
        <v>421</v>
      </c>
      <c r="I53" s="212">
        <v>79</v>
      </c>
      <c r="J53" s="213">
        <f>(I53/F53)</f>
        <v>39.5</v>
      </c>
      <c r="K53" s="214">
        <f t="shared" si="5"/>
        <v>5.329113924050633</v>
      </c>
      <c r="L53" s="215">
        <f>3272+1637+421</f>
        <v>5330</v>
      </c>
      <c r="M53" s="213">
        <f>320+180+79</f>
        <v>579</v>
      </c>
      <c r="N53" s="174">
        <f>L53/M53</f>
        <v>9.20552677029361</v>
      </c>
      <c r="O53" s="242"/>
    </row>
    <row r="54" spans="1:15" s="4" customFormat="1" ht="15">
      <c r="A54" s="29">
        <v>50</v>
      </c>
      <c r="B54" s="95" t="s">
        <v>78</v>
      </c>
      <c r="C54" s="208">
        <v>40123</v>
      </c>
      <c r="D54" s="168" t="s">
        <v>157</v>
      </c>
      <c r="E54" s="210">
        <v>58</v>
      </c>
      <c r="F54" s="210">
        <v>2</v>
      </c>
      <c r="G54" s="210">
        <v>15</v>
      </c>
      <c r="H54" s="211">
        <v>303</v>
      </c>
      <c r="I54" s="212">
        <v>50</v>
      </c>
      <c r="J54" s="213">
        <f>I54/F54</f>
        <v>25</v>
      </c>
      <c r="K54" s="214">
        <f t="shared" si="5"/>
        <v>6.06</v>
      </c>
      <c r="L54" s="215">
        <v>476780.75</v>
      </c>
      <c r="M54" s="213">
        <v>46079</v>
      </c>
      <c r="N54" s="174">
        <f>+L54/M54</f>
        <v>10.34702901538662</v>
      </c>
      <c r="O54" s="242"/>
    </row>
    <row r="55" spans="1:15" s="4" customFormat="1" ht="15">
      <c r="A55" s="29">
        <v>51</v>
      </c>
      <c r="B55" s="95" t="s">
        <v>197</v>
      </c>
      <c r="C55" s="208">
        <v>40186</v>
      </c>
      <c r="D55" s="168" t="s">
        <v>160</v>
      </c>
      <c r="E55" s="210">
        <v>19</v>
      </c>
      <c r="F55" s="210">
        <v>1</v>
      </c>
      <c r="G55" s="210">
        <v>7</v>
      </c>
      <c r="H55" s="211">
        <v>255</v>
      </c>
      <c r="I55" s="212">
        <v>51</v>
      </c>
      <c r="J55" s="213">
        <f>I55/F55</f>
        <v>51</v>
      </c>
      <c r="K55" s="214">
        <f t="shared" si="5"/>
        <v>5</v>
      </c>
      <c r="L55" s="215">
        <v>216865</v>
      </c>
      <c r="M55" s="213">
        <v>18101</v>
      </c>
      <c r="N55" s="174">
        <f>+L55/M55</f>
        <v>11.98082978840948</v>
      </c>
      <c r="O55" s="242"/>
    </row>
    <row r="56" spans="1:15" s="4" customFormat="1" ht="15">
      <c r="A56" s="29">
        <v>52</v>
      </c>
      <c r="B56" s="95" t="s">
        <v>82</v>
      </c>
      <c r="C56" s="208">
        <v>40137</v>
      </c>
      <c r="D56" s="168" t="s">
        <v>153</v>
      </c>
      <c r="E56" s="210">
        <v>20</v>
      </c>
      <c r="F56" s="210">
        <v>1</v>
      </c>
      <c r="G56" s="210">
        <v>15</v>
      </c>
      <c r="H56" s="211">
        <v>144</v>
      </c>
      <c r="I56" s="212">
        <v>22</v>
      </c>
      <c r="J56" s="213">
        <f>I56/F56</f>
        <v>22</v>
      </c>
      <c r="K56" s="214">
        <f t="shared" si="5"/>
        <v>6.545454545454546</v>
      </c>
      <c r="L56" s="215">
        <v>1034595</v>
      </c>
      <c r="M56" s="213">
        <v>85844</v>
      </c>
      <c r="N56" s="174">
        <f>+L56/M56</f>
        <v>12.052036251805601</v>
      </c>
      <c r="O56" s="242"/>
    </row>
    <row r="57" spans="1:15" s="4" customFormat="1" ht="15">
      <c r="A57" s="29">
        <v>53</v>
      </c>
      <c r="B57" s="95" t="s">
        <v>95</v>
      </c>
      <c r="C57" s="208">
        <v>40165</v>
      </c>
      <c r="D57" s="168" t="s">
        <v>155</v>
      </c>
      <c r="E57" s="210">
        <v>74</v>
      </c>
      <c r="F57" s="210">
        <v>1</v>
      </c>
      <c r="G57" s="210">
        <v>11</v>
      </c>
      <c r="H57" s="211">
        <v>69</v>
      </c>
      <c r="I57" s="212">
        <v>23</v>
      </c>
      <c r="J57" s="213">
        <f>(I57/F57)</f>
        <v>23</v>
      </c>
      <c r="K57" s="214">
        <f t="shared" si="5"/>
        <v>3</v>
      </c>
      <c r="L57" s="215">
        <f>507128.25+345268.5+124291.75+100787+70944+12241+11639+8352+766+3277+69</f>
        <v>1184763.5</v>
      </c>
      <c r="M57" s="213">
        <f>53408+37346+14864+15043+11010+2268+2130+1478+133+598+23</f>
        <v>138301</v>
      </c>
      <c r="N57" s="174">
        <f>L57/M57</f>
        <v>8.566557725540669</v>
      </c>
      <c r="O57" s="242">
        <v>1</v>
      </c>
    </row>
    <row r="58" spans="1:15" s="4" customFormat="1" ht="15.75" thickBot="1">
      <c r="A58" s="29">
        <v>54</v>
      </c>
      <c r="B58" s="190" t="s">
        <v>181</v>
      </c>
      <c r="C58" s="251">
        <v>40053</v>
      </c>
      <c r="D58" s="169" t="s">
        <v>155</v>
      </c>
      <c r="E58" s="253">
        <v>14</v>
      </c>
      <c r="F58" s="253">
        <v>1</v>
      </c>
      <c r="G58" s="253">
        <v>10</v>
      </c>
      <c r="H58" s="254">
        <v>54</v>
      </c>
      <c r="I58" s="255">
        <v>18</v>
      </c>
      <c r="J58" s="216">
        <f>(I58/F58)</f>
        <v>18</v>
      </c>
      <c r="K58" s="217">
        <f t="shared" si="5"/>
        <v>3</v>
      </c>
      <c r="L58" s="218">
        <f>46744+27773.5+29652+15092+1850+3126+1717.5+468+83+54</f>
        <v>126560</v>
      </c>
      <c r="M58" s="216">
        <f>3724+2772+2752+1903+308+472+380+135+20+18</f>
        <v>12484</v>
      </c>
      <c r="N58" s="172">
        <f>L58/M58</f>
        <v>10.137776353732779</v>
      </c>
      <c r="O58" s="242"/>
    </row>
    <row r="59" spans="1:15" s="4" customFormat="1" ht="15">
      <c r="A59" s="337" t="s">
        <v>158</v>
      </c>
      <c r="B59" s="338"/>
      <c r="C59" s="15"/>
      <c r="D59" s="23"/>
      <c r="E59" s="192"/>
      <c r="F59" s="193"/>
      <c r="G59" s="192"/>
      <c r="H59" s="33">
        <f>SUM(H5:H58)</f>
        <v>12651519.75</v>
      </c>
      <c r="I59" s="38">
        <f>SUM(I5:I58)</f>
        <v>1422561</v>
      </c>
      <c r="J59" s="61"/>
      <c r="K59" s="62"/>
      <c r="L59" s="63"/>
      <c r="M59" s="64"/>
      <c r="N59" s="241"/>
      <c r="O59" s="42"/>
    </row>
    <row r="60" spans="1:15" s="4" customFormat="1" ht="13.5">
      <c r="A60" s="31"/>
      <c r="B60" s="46"/>
      <c r="C60" s="7"/>
      <c r="D60" s="10"/>
      <c r="E60" s="194"/>
      <c r="F60" s="194"/>
      <c r="G60" s="194"/>
      <c r="H60" s="34"/>
      <c r="I60" s="39"/>
      <c r="J60" s="65"/>
      <c r="K60" s="66"/>
      <c r="L60" s="67"/>
      <c r="M60" s="68"/>
      <c r="N60" s="66"/>
      <c r="O60" s="42"/>
    </row>
    <row r="61" spans="1:15" s="4" customFormat="1" ht="15">
      <c r="A61" s="31"/>
      <c r="B61" s="47"/>
      <c r="C61" s="20"/>
      <c r="D61" s="24"/>
      <c r="E61" s="195"/>
      <c r="F61" s="196"/>
      <c r="G61" s="194"/>
      <c r="H61" s="34"/>
      <c r="I61" s="39"/>
      <c r="J61" s="339" t="s">
        <v>156</v>
      </c>
      <c r="K61" s="340"/>
      <c r="L61" s="340"/>
      <c r="M61" s="340"/>
      <c r="N61" s="340"/>
      <c r="O61" s="42"/>
    </row>
    <row r="62" spans="1:15" s="4" customFormat="1" ht="15">
      <c r="A62" s="31"/>
      <c r="B62" s="47"/>
      <c r="C62" s="20"/>
      <c r="D62" s="24"/>
      <c r="E62" s="195"/>
      <c r="F62" s="194"/>
      <c r="G62" s="197"/>
      <c r="H62" s="34"/>
      <c r="I62" s="39"/>
      <c r="J62" s="340"/>
      <c r="K62" s="340"/>
      <c r="L62" s="340"/>
      <c r="M62" s="340"/>
      <c r="N62" s="340"/>
      <c r="O62" s="42"/>
    </row>
    <row r="63" spans="1:15" s="16" customFormat="1" ht="15">
      <c r="A63" s="31"/>
      <c r="B63" s="47"/>
      <c r="C63" s="20"/>
      <c r="D63" s="24"/>
      <c r="E63" s="195"/>
      <c r="F63" s="194"/>
      <c r="G63" s="197"/>
      <c r="H63" s="34"/>
      <c r="I63" s="39"/>
      <c r="J63" s="340"/>
      <c r="K63" s="340"/>
      <c r="L63" s="340"/>
      <c r="M63" s="340"/>
      <c r="N63" s="340"/>
      <c r="O63" s="42"/>
    </row>
    <row r="64" spans="1:15" s="4" customFormat="1" ht="15">
      <c r="A64" s="31"/>
      <c r="B64" s="47"/>
      <c r="C64" s="20"/>
      <c r="D64" s="24"/>
      <c r="E64" s="195"/>
      <c r="F64" s="194"/>
      <c r="G64" s="197"/>
      <c r="H64" s="34"/>
      <c r="I64" s="39"/>
      <c r="J64" s="341"/>
      <c r="K64" s="341"/>
      <c r="L64" s="341"/>
      <c r="M64" s="341"/>
      <c r="N64" s="341"/>
      <c r="O64" s="42"/>
    </row>
    <row r="65" spans="1:15" s="4" customFormat="1" ht="15">
      <c r="A65" s="31"/>
      <c r="B65" s="47"/>
      <c r="C65" s="20"/>
      <c r="D65" s="24"/>
      <c r="E65" s="195"/>
      <c r="F65" s="194"/>
      <c r="G65" s="334" t="s">
        <v>134</v>
      </c>
      <c r="H65" s="335"/>
      <c r="I65" s="335"/>
      <c r="J65" s="335"/>
      <c r="K65" s="335"/>
      <c r="L65" s="335"/>
      <c r="M65" s="335"/>
      <c r="N65" s="335"/>
      <c r="O65" s="42"/>
    </row>
    <row r="66" spans="1:15" s="4" customFormat="1" ht="15">
      <c r="A66" s="31"/>
      <c r="B66" s="47"/>
      <c r="C66" s="20"/>
      <c r="D66" s="24"/>
      <c r="E66" s="195"/>
      <c r="F66" s="198"/>
      <c r="G66" s="335"/>
      <c r="H66" s="335"/>
      <c r="I66" s="335"/>
      <c r="J66" s="335"/>
      <c r="K66" s="335"/>
      <c r="L66" s="335"/>
      <c r="M66" s="335"/>
      <c r="N66" s="335"/>
      <c r="O66" s="42"/>
    </row>
    <row r="67" spans="1:15" s="4" customFormat="1" ht="15">
      <c r="A67" s="31"/>
      <c r="B67" s="47"/>
      <c r="C67" s="20"/>
      <c r="D67" s="24"/>
      <c r="E67" s="195"/>
      <c r="F67" s="194"/>
      <c r="G67" s="335"/>
      <c r="H67" s="335"/>
      <c r="I67" s="335"/>
      <c r="J67" s="335"/>
      <c r="K67" s="335"/>
      <c r="L67" s="335"/>
      <c r="M67" s="335"/>
      <c r="N67" s="335"/>
      <c r="O67" s="42"/>
    </row>
    <row r="68" spans="1:15" s="4" customFormat="1" ht="15">
      <c r="A68" s="31"/>
      <c r="B68" s="47"/>
      <c r="C68" s="20"/>
      <c r="D68" s="24"/>
      <c r="E68" s="195"/>
      <c r="F68" s="194"/>
      <c r="G68" s="335"/>
      <c r="H68" s="335"/>
      <c r="I68" s="335"/>
      <c r="J68" s="335"/>
      <c r="K68" s="335"/>
      <c r="L68" s="335"/>
      <c r="M68" s="335"/>
      <c r="N68" s="335"/>
      <c r="O68" s="42"/>
    </row>
    <row r="69" spans="1:15" s="4" customFormat="1" ht="15">
      <c r="A69" s="31"/>
      <c r="B69" s="47"/>
      <c r="C69" s="20"/>
      <c r="D69" s="24"/>
      <c r="E69" s="195"/>
      <c r="F69" s="194"/>
      <c r="G69" s="335"/>
      <c r="H69" s="335"/>
      <c r="I69" s="335"/>
      <c r="J69" s="335"/>
      <c r="K69" s="335"/>
      <c r="L69" s="335"/>
      <c r="M69" s="335"/>
      <c r="N69" s="335"/>
      <c r="O69" s="42"/>
    </row>
    <row r="70" spans="1:15" s="12" customFormat="1" ht="15">
      <c r="A70" s="31"/>
      <c r="B70" s="47"/>
      <c r="C70" s="20"/>
      <c r="D70" s="24"/>
      <c r="E70" s="195"/>
      <c r="F70" s="194"/>
      <c r="G70" s="335"/>
      <c r="H70" s="335"/>
      <c r="I70" s="335"/>
      <c r="J70" s="335"/>
      <c r="K70" s="335"/>
      <c r="L70" s="335"/>
      <c r="M70" s="335"/>
      <c r="N70" s="335"/>
      <c r="O70" s="42"/>
    </row>
    <row r="71" spans="1:15" s="12" customFormat="1" ht="15">
      <c r="A71" s="31"/>
      <c r="B71" s="47"/>
      <c r="C71" s="20"/>
      <c r="D71" s="24"/>
      <c r="E71" s="195"/>
      <c r="F71" s="194"/>
      <c r="G71" s="336" t="s">
        <v>127</v>
      </c>
      <c r="H71" s="335"/>
      <c r="I71" s="335"/>
      <c r="J71" s="335"/>
      <c r="K71" s="335"/>
      <c r="L71" s="335"/>
      <c r="M71" s="335"/>
      <c r="N71" s="335"/>
      <c r="O71" s="42"/>
    </row>
    <row r="72" spans="1:15" s="12" customFormat="1" ht="15">
      <c r="A72" s="31"/>
      <c r="B72" s="47"/>
      <c r="C72" s="20"/>
      <c r="D72" s="24"/>
      <c r="E72" s="195"/>
      <c r="F72" s="194"/>
      <c r="G72" s="335"/>
      <c r="H72" s="335"/>
      <c r="I72" s="335"/>
      <c r="J72" s="335"/>
      <c r="K72" s="335"/>
      <c r="L72" s="335"/>
      <c r="M72" s="335"/>
      <c r="N72" s="335"/>
      <c r="O72" s="42"/>
    </row>
    <row r="73" spans="1:15" s="12" customFormat="1" ht="15">
      <c r="A73" s="31"/>
      <c r="B73" s="47"/>
      <c r="C73" s="20"/>
      <c r="D73" s="24"/>
      <c r="E73" s="195"/>
      <c r="F73" s="194"/>
      <c r="G73" s="335"/>
      <c r="H73" s="335"/>
      <c r="I73" s="335"/>
      <c r="J73" s="335"/>
      <c r="K73" s="335"/>
      <c r="L73" s="335"/>
      <c r="M73" s="335"/>
      <c r="N73" s="335"/>
      <c r="O73" s="42"/>
    </row>
    <row r="74" spans="1:15" s="12" customFormat="1" ht="15">
      <c r="A74" s="31"/>
      <c r="B74" s="47"/>
      <c r="C74" s="20"/>
      <c r="D74" s="24"/>
      <c r="E74" s="195"/>
      <c r="F74" s="194"/>
      <c r="G74" s="335"/>
      <c r="H74" s="335"/>
      <c r="I74" s="335"/>
      <c r="J74" s="335"/>
      <c r="K74" s="335"/>
      <c r="L74" s="335"/>
      <c r="M74" s="335"/>
      <c r="N74" s="335"/>
      <c r="O74" s="42"/>
    </row>
    <row r="75" spans="1:15" s="12" customFormat="1" ht="15">
      <c r="A75" s="31"/>
      <c r="B75" s="47"/>
      <c r="C75" s="20"/>
      <c r="D75" s="24"/>
      <c r="E75" s="195"/>
      <c r="F75" s="194"/>
      <c r="G75" s="335"/>
      <c r="H75" s="335"/>
      <c r="I75" s="335"/>
      <c r="J75" s="335"/>
      <c r="K75" s="335"/>
      <c r="L75" s="335"/>
      <c r="M75" s="335"/>
      <c r="N75" s="335"/>
      <c r="O75" s="42"/>
    </row>
    <row r="76" spans="1:15" s="12" customFormat="1" ht="15">
      <c r="A76" s="31"/>
      <c r="B76" s="48"/>
      <c r="C76" s="17"/>
      <c r="D76" s="25"/>
      <c r="E76" s="199"/>
      <c r="F76" s="194"/>
      <c r="G76" s="335"/>
      <c r="H76" s="335"/>
      <c r="I76" s="335"/>
      <c r="J76" s="335"/>
      <c r="K76" s="335"/>
      <c r="L76" s="335"/>
      <c r="M76" s="335"/>
      <c r="N76" s="335"/>
      <c r="O76" s="42"/>
    </row>
    <row r="77" spans="1:15" s="12" customFormat="1" ht="15">
      <c r="A77" s="31"/>
      <c r="B77" s="48"/>
      <c r="C77" s="17"/>
      <c r="D77" s="25"/>
      <c r="E77" s="199"/>
      <c r="F77" s="194"/>
      <c r="G77" s="335"/>
      <c r="H77" s="335"/>
      <c r="I77" s="335"/>
      <c r="J77" s="335"/>
      <c r="K77" s="335"/>
      <c r="L77" s="335"/>
      <c r="M77" s="335"/>
      <c r="N77" s="335"/>
      <c r="O77" s="42"/>
    </row>
    <row r="78" spans="1:15" s="12" customFormat="1" ht="15">
      <c r="A78" s="31"/>
      <c r="B78" s="48"/>
      <c r="C78" s="17"/>
      <c r="D78" s="25"/>
      <c r="E78" s="199"/>
      <c r="F78" s="194"/>
      <c r="G78" s="199"/>
      <c r="H78" s="35"/>
      <c r="I78" s="40"/>
      <c r="J78" s="69"/>
      <c r="K78" s="70"/>
      <c r="L78" s="71"/>
      <c r="M78" s="72"/>
      <c r="N78" s="70"/>
      <c r="O78" s="42"/>
    </row>
    <row r="79" spans="1:15" s="12" customFormat="1" ht="15">
      <c r="A79" s="31"/>
      <c r="B79" s="48"/>
      <c r="C79" s="17"/>
      <c r="D79" s="25"/>
      <c r="E79" s="199"/>
      <c r="F79" s="194"/>
      <c r="G79" s="199"/>
      <c r="H79" s="35"/>
      <c r="I79" s="40"/>
      <c r="J79" s="69"/>
      <c r="K79" s="70"/>
      <c r="L79" s="71"/>
      <c r="M79" s="72"/>
      <c r="N79" s="70"/>
      <c r="O79" s="42"/>
    </row>
    <row r="80" spans="1:15" s="12" customFormat="1" ht="18">
      <c r="A80" s="31"/>
      <c r="B80" s="48"/>
      <c r="C80" s="17"/>
      <c r="D80" s="25"/>
      <c r="E80" s="199"/>
      <c r="F80" s="194"/>
      <c r="G80" s="194"/>
      <c r="H80" s="36"/>
      <c r="I80" s="41"/>
      <c r="J80" s="65"/>
      <c r="K80" s="66"/>
      <c r="L80" s="73"/>
      <c r="M80" s="68"/>
      <c r="N80" s="66"/>
      <c r="O80" s="42"/>
    </row>
    <row r="81" spans="1:15" s="12" customFormat="1" ht="18">
      <c r="A81" s="31"/>
      <c r="B81" s="48"/>
      <c r="C81" s="17"/>
      <c r="D81" s="25"/>
      <c r="E81" s="199"/>
      <c r="F81" s="194"/>
      <c r="G81" s="194"/>
      <c r="H81" s="36"/>
      <c r="I81" s="41"/>
      <c r="J81" s="65"/>
      <c r="K81" s="66"/>
      <c r="L81" s="73"/>
      <c r="M81" s="68"/>
      <c r="N81" s="66"/>
      <c r="O81" s="42"/>
    </row>
    <row r="82" spans="1:15" s="12" customFormat="1" ht="15">
      <c r="A82" s="31"/>
      <c r="B82" s="48"/>
      <c r="C82" s="17"/>
      <c r="D82" s="25"/>
      <c r="E82" s="199"/>
      <c r="F82" s="199"/>
      <c r="G82" s="199"/>
      <c r="H82" s="35"/>
      <c r="I82" s="40"/>
      <c r="J82" s="69"/>
      <c r="K82" s="70"/>
      <c r="L82" s="71"/>
      <c r="M82" s="72"/>
      <c r="N82" s="70"/>
      <c r="O82" s="42"/>
    </row>
    <row r="83" spans="1:15" s="12" customFormat="1" ht="15">
      <c r="A83" s="31"/>
      <c r="B83" s="48"/>
      <c r="C83" s="17"/>
      <c r="D83" s="25"/>
      <c r="E83" s="199"/>
      <c r="F83" s="199"/>
      <c r="G83" s="199"/>
      <c r="H83" s="35"/>
      <c r="I83" s="40"/>
      <c r="J83" s="69"/>
      <c r="K83" s="70"/>
      <c r="L83" s="71"/>
      <c r="M83" s="72"/>
      <c r="N83" s="70"/>
      <c r="O83" s="42"/>
    </row>
    <row r="84" spans="2:14" ht="18">
      <c r="B84" s="48"/>
      <c r="C84" s="17"/>
      <c r="D84" s="25"/>
      <c r="E84" s="199"/>
      <c r="F84" s="199"/>
      <c r="G84" s="199"/>
      <c r="H84" s="35"/>
      <c r="I84" s="40"/>
      <c r="J84" s="69"/>
      <c r="K84" s="70"/>
      <c r="L84" s="71"/>
      <c r="M84" s="72"/>
      <c r="N84" s="70"/>
    </row>
    <row r="85" spans="2:14" ht="18">
      <c r="B85" s="48"/>
      <c r="C85" s="17"/>
      <c r="D85" s="25"/>
      <c r="E85" s="199"/>
      <c r="F85" s="199"/>
      <c r="G85" s="199"/>
      <c r="H85" s="35"/>
      <c r="I85" s="40"/>
      <c r="J85" s="69"/>
      <c r="K85" s="70"/>
      <c r="L85" s="71"/>
      <c r="M85" s="72"/>
      <c r="N85" s="70"/>
    </row>
    <row r="86" spans="2:14" ht="18">
      <c r="B86" s="48"/>
      <c r="C86" s="17"/>
      <c r="D86" s="25"/>
      <c r="E86" s="199"/>
      <c r="F86" s="199"/>
      <c r="G86" s="199"/>
      <c r="H86" s="35"/>
      <c r="I86" s="40"/>
      <c r="J86" s="69"/>
      <c r="K86" s="70"/>
      <c r="L86" s="71"/>
      <c r="M86" s="72"/>
      <c r="N86" s="70"/>
    </row>
    <row r="87" spans="2:14" ht="18">
      <c r="B87" s="48"/>
      <c r="C87" s="17"/>
      <c r="D87" s="25"/>
      <c r="E87" s="199"/>
      <c r="F87" s="199"/>
      <c r="G87" s="199"/>
      <c r="H87" s="35"/>
      <c r="I87" s="40"/>
      <c r="J87" s="69"/>
      <c r="K87" s="70"/>
      <c r="L87" s="71"/>
      <c r="M87" s="72"/>
      <c r="N87" s="70"/>
    </row>
    <row r="88" spans="2:14" ht="18">
      <c r="B88" s="48"/>
      <c r="C88" s="17"/>
      <c r="D88" s="25"/>
      <c r="E88" s="199"/>
      <c r="F88" s="199"/>
      <c r="G88" s="199"/>
      <c r="H88" s="35"/>
      <c r="I88" s="40"/>
      <c r="J88" s="69"/>
      <c r="K88" s="70"/>
      <c r="L88" s="71"/>
      <c r="M88" s="72"/>
      <c r="N88" s="70"/>
    </row>
    <row r="89" spans="2:14" ht="18">
      <c r="B89" s="48"/>
      <c r="C89" s="17"/>
      <c r="D89" s="25"/>
      <c r="E89" s="199"/>
      <c r="F89" s="199"/>
      <c r="G89" s="199"/>
      <c r="H89" s="35"/>
      <c r="I89" s="40"/>
      <c r="J89" s="69"/>
      <c r="K89" s="70"/>
      <c r="L89" s="71"/>
      <c r="M89" s="72"/>
      <c r="N89" s="70"/>
    </row>
    <row r="90" spans="6:14" ht="22.5">
      <c r="F90" s="199"/>
      <c r="G90" s="199"/>
      <c r="H90" s="35"/>
      <c r="I90" s="40"/>
      <c r="J90" s="69"/>
      <c r="K90" s="70"/>
      <c r="L90" s="71"/>
      <c r="M90" s="72"/>
      <c r="N90" s="70"/>
    </row>
    <row r="91" spans="6:14" ht="22.5">
      <c r="F91" s="199"/>
      <c r="G91" s="199"/>
      <c r="H91" s="35"/>
      <c r="I91" s="40"/>
      <c r="J91" s="69"/>
      <c r="K91" s="70"/>
      <c r="L91" s="71"/>
      <c r="M91" s="72"/>
      <c r="N91" s="70"/>
    </row>
    <row r="92" spans="6:14" ht="22.5">
      <c r="F92" s="199"/>
      <c r="G92" s="199"/>
      <c r="H92" s="35"/>
      <c r="I92" s="40"/>
      <c r="J92" s="69"/>
      <c r="K92" s="70"/>
      <c r="L92" s="71"/>
      <c r="M92" s="72"/>
      <c r="N92" s="70"/>
    </row>
    <row r="93" spans="6:14" ht="22.5">
      <c r="F93" s="199"/>
      <c r="G93" s="199"/>
      <c r="H93" s="35"/>
      <c r="I93" s="40"/>
      <c r="J93" s="69"/>
      <c r="K93" s="70"/>
      <c r="L93" s="71"/>
      <c r="M93" s="72"/>
      <c r="N93" s="70"/>
    </row>
    <row r="94" spans="6:14" ht="22.5">
      <c r="F94" s="199"/>
      <c r="G94" s="199"/>
      <c r="H94" s="35"/>
      <c r="I94" s="40"/>
      <c r="J94" s="69"/>
      <c r="K94" s="70"/>
      <c r="L94" s="71"/>
      <c r="M94" s="72"/>
      <c r="N94" s="70"/>
    </row>
    <row r="95" spans="6:14" ht="22.5">
      <c r="F95" s="199"/>
      <c r="G95" s="199"/>
      <c r="H95" s="35"/>
      <c r="I95" s="40"/>
      <c r="J95" s="69"/>
      <c r="K95" s="70"/>
      <c r="L95" s="71"/>
      <c r="M95" s="72"/>
      <c r="N95" s="70"/>
    </row>
  </sheetData>
  <sheetProtection insertRows="0" deleteRows="0" sort="0"/>
  <mergeCells count="14">
    <mergeCell ref="D3:D4"/>
    <mergeCell ref="G3:G4"/>
    <mergeCell ref="H3:K3"/>
    <mergeCell ref="C3:C4"/>
    <mergeCell ref="G65:N70"/>
    <mergeCell ref="G71:N77"/>
    <mergeCell ref="A59:B59"/>
    <mergeCell ref="J61:N63"/>
    <mergeCell ref="J64:N64"/>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59:G63 H60:I63 G64:N70 J59:O63 P61:P67 P18:P29 P46:P50 P8:P16 P6:P7 P30:P31 K8:K29 J6:J31 N6:N31 P51:P58 J38:N50" formula="1"/>
  </ignoredErrors>
  <drawing r:id="rId1"/>
</worksheet>
</file>

<file path=xl/worksheets/sheet2.xml><?xml version="1.0" encoding="utf-8"?>
<worksheet xmlns="http://schemas.openxmlformats.org/spreadsheetml/2006/main" xmlns:r="http://schemas.openxmlformats.org/officeDocument/2006/relationships">
  <dimension ref="A1:O38"/>
  <sheetViews>
    <sheetView zoomScale="110" zoomScaleNormal="110" zoomScalePageLayoutView="0" workbookViewId="0" topLeftCell="A1">
      <selection activeCell="B3" sqref="B3:B4"/>
    </sheetView>
  </sheetViews>
  <sheetFormatPr defaultColWidth="17.421875" defaultRowHeight="12.75"/>
  <cols>
    <col min="1" max="1" width="4.28125" style="179" bestFit="1" customWidth="1"/>
    <col min="2" max="2" width="73.00390625" style="14" bestFit="1" customWidth="1"/>
    <col min="3" max="3" width="11.00390625" style="84" bestFit="1" customWidth="1"/>
    <col min="4" max="4" width="14.57421875" style="84" customWidth="1"/>
    <col min="5" max="5" width="5.8515625" style="207" bestFit="1" customWidth="1"/>
    <col min="6" max="6" width="7.421875" style="207" customWidth="1"/>
    <col min="7" max="7" width="16.140625" style="81" bestFit="1" customWidth="1"/>
    <col min="8" max="8" width="11.57421875" style="82" bestFit="1" customWidth="1"/>
    <col min="9" max="9" width="7.7109375" style="83" customWidth="1"/>
    <col min="10" max="10" width="2.57421875" style="27" customWidth="1"/>
    <col min="11" max="11" width="17.421875" style="18" customWidth="1"/>
    <col min="12" max="12" width="17.421875" style="19" customWidth="1"/>
    <col min="13" max="13" width="17.421875" style="18" customWidth="1"/>
    <col min="14" max="15" width="17.421875" style="0" customWidth="1"/>
    <col min="16" max="16384" width="17.421875" style="14" customWidth="1"/>
  </cols>
  <sheetData>
    <row r="1" spans="1:13" s="183" customFormat="1" ht="34.5" thickBot="1">
      <c r="A1" s="356" t="s">
        <v>198</v>
      </c>
      <c r="B1" s="357"/>
      <c r="C1" s="357"/>
      <c r="D1" s="357"/>
      <c r="E1" s="357"/>
      <c r="F1" s="357"/>
      <c r="G1" s="357"/>
      <c r="H1" s="357"/>
      <c r="I1" s="357"/>
      <c r="J1" s="180"/>
      <c r="K1" s="181"/>
      <c r="L1" s="182"/>
      <c r="M1" s="181"/>
    </row>
    <row r="2" spans="1:15" s="85" customFormat="1" ht="13.5" thickBot="1">
      <c r="A2" s="256"/>
      <c r="B2" s="263"/>
      <c r="C2" s="258"/>
      <c r="D2" s="258"/>
      <c r="E2" s="257"/>
      <c r="F2" s="257"/>
      <c r="G2" s="259"/>
      <c r="H2" s="260"/>
      <c r="I2" s="261"/>
      <c r="J2" s="86"/>
      <c r="K2" s="87"/>
      <c r="L2" s="88"/>
      <c r="M2" s="87"/>
      <c r="N2" s="44"/>
      <c r="O2" s="44"/>
    </row>
    <row r="3" spans="1:13" s="92" customFormat="1" ht="12.75">
      <c r="A3" s="176"/>
      <c r="B3" s="358" t="s">
        <v>129</v>
      </c>
      <c r="C3" s="360" t="s">
        <v>136</v>
      </c>
      <c r="D3" s="360" t="s">
        <v>140</v>
      </c>
      <c r="E3" s="362" t="s">
        <v>142</v>
      </c>
      <c r="F3" s="362" t="s">
        <v>137</v>
      </c>
      <c r="G3" s="364" t="s">
        <v>144</v>
      </c>
      <c r="H3" s="365"/>
      <c r="I3" s="366" t="s">
        <v>138</v>
      </c>
      <c r="J3" s="89"/>
      <c r="K3" s="90"/>
      <c r="L3" s="91"/>
      <c r="M3" s="90"/>
    </row>
    <row r="4" spans="1:13" s="92" customFormat="1" ht="13.5" thickBot="1">
      <c r="A4" s="177"/>
      <c r="B4" s="359"/>
      <c r="C4" s="361"/>
      <c r="D4" s="361"/>
      <c r="E4" s="363"/>
      <c r="F4" s="363"/>
      <c r="G4" s="93" t="s">
        <v>133</v>
      </c>
      <c r="H4" s="94" t="s">
        <v>128</v>
      </c>
      <c r="I4" s="367"/>
      <c r="J4" s="89"/>
      <c r="K4" s="90"/>
      <c r="L4" s="91"/>
      <c r="M4" s="90"/>
    </row>
    <row r="5" spans="1:13" s="13" customFormat="1" ht="15">
      <c r="A5" s="230">
        <v>1</v>
      </c>
      <c r="B5" s="271" t="s">
        <v>177</v>
      </c>
      <c r="C5" s="272">
        <v>40221</v>
      </c>
      <c r="D5" s="333" t="s">
        <v>76</v>
      </c>
      <c r="E5" s="274">
        <v>378</v>
      </c>
      <c r="F5" s="274">
        <v>3</v>
      </c>
      <c r="G5" s="279">
        <f>15262368+6874188.5+2847763.25-223</f>
        <v>24984096.75</v>
      </c>
      <c r="H5" s="277">
        <f>1752204+788243+333771</f>
        <v>2874218</v>
      </c>
      <c r="I5" s="280">
        <f aca="true" t="shared" si="0" ref="I5:I10">+G5/H5</f>
        <v>8.692484964606026</v>
      </c>
      <c r="J5" s="242">
        <v>1</v>
      </c>
      <c r="K5" s="21"/>
      <c r="L5" s="22"/>
      <c r="M5" s="21"/>
    </row>
    <row r="6" spans="1:13" s="13" customFormat="1" ht="15">
      <c r="A6" s="230">
        <v>2</v>
      </c>
      <c r="B6" s="95" t="s">
        <v>53</v>
      </c>
      <c r="C6" s="208">
        <v>40179</v>
      </c>
      <c r="D6" s="168" t="s">
        <v>154</v>
      </c>
      <c r="E6" s="210">
        <v>370</v>
      </c>
      <c r="F6" s="210">
        <v>9</v>
      </c>
      <c r="G6" s="215">
        <v>20843055</v>
      </c>
      <c r="H6" s="213">
        <v>2320540</v>
      </c>
      <c r="I6" s="174">
        <f t="shared" si="0"/>
        <v>8.98198479664216</v>
      </c>
      <c r="J6" s="242">
        <v>1</v>
      </c>
      <c r="K6" s="21"/>
      <c r="L6" s="22"/>
      <c r="M6" s="21"/>
    </row>
    <row r="7" spans="1:13" s="13" customFormat="1" ht="15.75" thickBot="1">
      <c r="A7" s="262">
        <v>3</v>
      </c>
      <c r="B7" s="190" t="s">
        <v>170</v>
      </c>
      <c r="C7" s="251">
        <v>40200</v>
      </c>
      <c r="D7" s="252" t="s">
        <v>76</v>
      </c>
      <c r="E7" s="253">
        <v>203</v>
      </c>
      <c r="F7" s="253">
        <v>6</v>
      </c>
      <c r="G7" s="218">
        <f>3375939.75+2025612.25+1005793.75+228158+129822-591+58554</f>
        <v>6823288.75</v>
      </c>
      <c r="H7" s="216">
        <f>390291+234725-168+117153-100+30011-18+18391+466+8404</f>
        <v>799155</v>
      </c>
      <c r="I7" s="172">
        <f t="shared" si="0"/>
        <v>8.538129336611796</v>
      </c>
      <c r="J7" s="242">
        <v>1</v>
      </c>
      <c r="K7" s="21"/>
      <c r="L7" s="22"/>
      <c r="M7" s="21"/>
    </row>
    <row r="8" spans="1:10" ht="15">
      <c r="A8" s="178">
        <v>4</v>
      </c>
      <c r="B8" s="170" t="s">
        <v>165</v>
      </c>
      <c r="C8" s="246">
        <v>40200</v>
      </c>
      <c r="D8" s="171" t="s">
        <v>154</v>
      </c>
      <c r="E8" s="248">
        <v>227</v>
      </c>
      <c r="F8" s="248">
        <v>6</v>
      </c>
      <c r="G8" s="221">
        <v>6680079</v>
      </c>
      <c r="H8" s="219">
        <v>741911</v>
      </c>
      <c r="I8" s="173">
        <f t="shared" si="0"/>
        <v>9.003881867232053</v>
      </c>
      <c r="J8" s="242">
        <v>1</v>
      </c>
    </row>
    <row r="9" spans="1:10" ht="15">
      <c r="A9" s="178">
        <v>5</v>
      </c>
      <c r="B9" s="95" t="s">
        <v>184</v>
      </c>
      <c r="C9" s="208">
        <v>40214</v>
      </c>
      <c r="D9" s="209" t="s">
        <v>130</v>
      </c>
      <c r="E9" s="210">
        <v>144</v>
      </c>
      <c r="F9" s="210">
        <v>4</v>
      </c>
      <c r="G9" s="215">
        <v>5555312</v>
      </c>
      <c r="H9" s="213">
        <v>592466</v>
      </c>
      <c r="I9" s="174">
        <f t="shared" si="0"/>
        <v>9.376592074481911</v>
      </c>
      <c r="J9" s="242">
        <v>1</v>
      </c>
    </row>
    <row r="10" spans="1:10" ht="15">
      <c r="A10" s="178">
        <v>6</v>
      </c>
      <c r="B10" s="95" t="s">
        <v>205</v>
      </c>
      <c r="C10" s="208">
        <v>40235</v>
      </c>
      <c r="D10" s="168" t="s">
        <v>154</v>
      </c>
      <c r="E10" s="210">
        <v>256</v>
      </c>
      <c r="F10" s="210">
        <v>1</v>
      </c>
      <c r="G10" s="215">
        <v>4098473</v>
      </c>
      <c r="H10" s="213">
        <v>463491</v>
      </c>
      <c r="I10" s="174">
        <f t="shared" si="0"/>
        <v>8.842616145728828</v>
      </c>
      <c r="J10" s="242">
        <v>1</v>
      </c>
    </row>
    <row r="11" spans="1:10" ht="15">
      <c r="A11" s="178">
        <v>7</v>
      </c>
      <c r="B11" s="95" t="s">
        <v>201</v>
      </c>
      <c r="C11" s="208">
        <v>40235</v>
      </c>
      <c r="D11" s="168" t="s">
        <v>155</v>
      </c>
      <c r="E11" s="210">
        <v>227</v>
      </c>
      <c r="F11" s="210">
        <v>1</v>
      </c>
      <c r="G11" s="215">
        <f>3023418.25</f>
        <v>3023418.25</v>
      </c>
      <c r="H11" s="213">
        <f>341528</f>
        <v>341528</v>
      </c>
      <c r="I11" s="174">
        <f>G11/H11</f>
        <v>8.85262189337331</v>
      </c>
      <c r="J11" s="242">
        <v>1</v>
      </c>
    </row>
    <row r="12" spans="1:10" ht="15">
      <c r="A12" s="178">
        <v>8</v>
      </c>
      <c r="B12" s="95" t="s">
        <v>50</v>
      </c>
      <c r="C12" s="208">
        <v>40193</v>
      </c>
      <c r="D12" s="168" t="s">
        <v>153</v>
      </c>
      <c r="E12" s="210">
        <v>83</v>
      </c>
      <c r="F12" s="210">
        <v>7</v>
      </c>
      <c r="G12" s="215">
        <v>2803222</v>
      </c>
      <c r="H12" s="213">
        <v>264946</v>
      </c>
      <c r="I12" s="174">
        <f>+G12/H12</f>
        <v>10.580352222717082</v>
      </c>
      <c r="J12" s="242"/>
    </row>
    <row r="13" spans="1:10" ht="15">
      <c r="A13" s="178">
        <v>9</v>
      </c>
      <c r="B13" s="95" t="s">
        <v>194</v>
      </c>
      <c r="C13" s="208">
        <v>40200</v>
      </c>
      <c r="D13" s="168" t="s">
        <v>154</v>
      </c>
      <c r="E13" s="210">
        <v>95</v>
      </c>
      <c r="F13" s="210">
        <v>6</v>
      </c>
      <c r="G13" s="215">
        <v>1898734</v>
      </c>
      <c r="H13" s="213">
        <v>207407</v>
      </c>
      <c r="I13" s="174">
        <f>+G13/H13</f>
        <v>9.154628339448523</v>
      </c>
      <c r="J13" s="242"/>
    </row>
    <row r="14" spans="1:10" ht="15">
      <c r="A14" s="178">
        <v>10</v>
      </c>
      <c r="B14" s="95" t="s">
        <v>10</v>
      </c>
      <c r="C14" s="208">
        <v>40207</v>
      </c>
      <c r="D14" s="168" t="s">
        <v>157</v>
      </c>
      <c r="E14" s="210">
        <v>47</v>
      </c>
      <c r="F14" s="210">
        <v>5</v>
      </c>
      <c r="G14" s="215">
        <v>1846216.5</v>
      </c>
      <c r="H14" s="213">
        <v>156371</v>
      </c>
      <c r="I14" s="174">
        <f>+G14/H14</f>
        <v>11.806642536020107</v>
      </c>
      <c r="J14" s="242"/>
    </row>
    <row r="15" spans="1:10" ht="15">
      <c r="A15" s="178">
        <v>11</v>
      </c>
      <c r="B15" s="95" t="s">
        <v>51</v>
      </c>
      <c r="C15" s="208">
        <v>40193</v>
      </c>
      <c r="D15" s="168" t="s">
        <v>157</v>
      </c>
      <c r="E15" s="210">
        <v>86</v>
      </c>
      <c r="F15" s="210">
        <v>7</v>
      </c>
      <c r="G15" s="215">
        <v>1658249.5</v>
      </c>
      <c r="H15" s="213">
        <v>180494</v>
      </c>
      <c r="I15" s="174">
        <f aca="true" t="shared" si="1" ref="I15:I20">+G15/H15</f>
        <v>9.187283233791705</v>
      </c>
      <c r="J15" s="242"/>
    </row>
    <row r="16" spans="1:10" ht="15">
      <c r="A16" s="178">
        <v>12</v>
      </c>
      <c r="B16" s="95" t="s">
        <v>193</v>
      </c>
      <c r="C16" s="208">
        <v>40214</v>
      </c>
      <c r="D16" s="168" t="s">
        <v>153</v>
      </c>
      <c r="E16" s="210">
        <v>72</v>
      </c>
      <c r="F16" s="210">
        <v>4</v>
      </c>
      <c r="G16" s="215">
        <v>1183138</v>
      </c>
      <c r="H16" s="213">
        <v>117197</v>
      </c>
      <c r="I16" s="174">
        <f t="shared" si="1"/>
        <v>10.09529254161796</v>
      </c>
      <c r="J16" s="242"/>
    </row>
    <row r="17" spans="1:10" ht="15">
      <c r="A17" s="178">
        <v>13</v>
      </c>
      <c r="B17" s="95" t="s">
        <v>11</v>
      </c>
      <c r="C17" s="208">
        <v>40207</v>
      </c>
      <c r="D17" s="209" t="s">
        <v>130</v>
      </c>
      <c r="E17" s="210">
        <v>87</v>
      </c>
      <c r="F17" s="210">
        <v>5</v>
      </c>
      <c r="G17" s="215">
        <v>1050642</v>
      </c>
      <c r="H17" s="213">
        <v>99499</v>
      </c>
      <c r="I17" s="174">
        <f t="shared" si="1"/>
        <v>10.559322204243259</v>
      </c>
      <c r="J17" s="242"/>
    </row>
    <row r="18" spans="1:10" ht="15">
      <c r="A18" s="178">
        <v>14</v>
      </c>
      <c r="B18" s="95" t="s">
        <v>175</v>
      </c>
      <c r="C18" s="208">
        <v>40221</v>
      </c>
      <c r="D18" s="168" t="s">
        <v>153</v>
      </c>
      <c r="E18" s="210">
        <v>85</v>
      </c>
      <c r="F18" s="210">
        <v>3</v>
      </c>
      <c r="G18" s="215">
        <v>1044209</v>
      </c>
      <c r="H18" s="213">
        <v>97086</v>
      </c>
      <c r="I18" s="174">
        <f t="shared" si="1"/>
        <v>10.75550542817708</v>
      </c>
      <c r="J18" s="242"/>
    </row>
    <row r="19" spans="1:10" ht="15">
      <c r="A19" s="178">
        <v>15</v>
      </c>
      <c r="B19" s="95" t="s">
        <v>185</v>
      </c>
      <c r="C19" s="208">
        <v>40228</v>
      </c>
      <c r="D19" s="168" t="s">
        <v>154</v>
      </c>
      <c r="E19" s="210">
        <v>87</v>
      </c>
      <c r="F19" s="210">
        <v>2</v>
      </c>
      <c r="G19" s="215">
        <v>917354</v>
      </c>
      <c r="H19" s="213">
        <v>88540</v>
      </c>
      <c r="I19" s="174">
        <f t="shared" si="1"/>
        <v>10.3608990286876</v>
      </c>
      <c r="J19" s="242"/>
    </row>
    <row r="20" spans="1:10" ht="15">
      <c r="A20" s="178">
        <v>16</v>
      </c>
      <c r="B20" s="95" t="s">
        <v>12</v>
      </c>
      <c r="C20" s="208">
        <v>40207</v>
      </c>
      <c r="D20" s="168" t="s">
        <v>154</v>
      </c>
      <c r="E20" s="210">
        <v>50</v>
      </c>
      <c r="F20" s="210">
        <v>5</v>
      </c>
      <c r="G20" s="215">
        <v>800488</v>
      </c>
      <c r="H20" s="213">
        <v>69825</v>
      </c>
      <c r="I20" s="174">
        <f t="shared" si="1"/>
        <v>11.464203365556749</v>
      </c>
      <c r="J20" s="242"/>
    </row>
    <row r="21" spans="1:10" ht="15">
      <c r="A21" s="178">
        <v>17</v>
      </c>
      <c r="B21" s="95" t="s">
        <v>92</v>
      </c>
      <c r="C21" s="208">
        <v>40179</v>
      </c>
      <c r="D21" s="168" t="s">
        <v>155</v>
      </c>
      <c r="E21" s="210">
        <v>42</v>
      </c>
      <c r="F21" s="210">
        <v>9</v>
      </c>
      <c r="G21" s="215">
        <f>310442.5+275157.5+119153+26271.5+19971.5+13231+6468+3094+3122</f>
        <v>776911</v>
      </c>
      <c r="H21" s="213">
        <f>26771+24068+11328+2954+1983+1309+737+492+663</f>
        <v>70305</v>
      </c>
      <c r="I21" s="174">
        <f>G21/H21</f>
        <v>11.050579617381409</v>
      </c>
      <c r="J21" s="242"/>
    </row>
    <row r="22" spans="1:10" ht="15">
      <c r="A22" s="178">
        <v>18</v>
      </c>
      <c r="B22" s="95" t="s">
        <v>187</v>
      </c>
      <c r="C22" s="208">
        <v>40228</v>
      </c>
      <c r="D22" s="168" t="s">
        <v>155</v>
      </c>
      <c r="E22" s="210">
        <v>88</v>
      </c>
      <c r="F22" s="210">
        <v>2</v>
      </c>
      <c r="G22" s="215">
        <f>398810.5+242913.25</f>
        <v>641723.75</v>
      </c>
      <c r="H22" s="213">
        <f>40763+25741</f>
        <v>66504</v>
      </c>
      <c r="I22" s="174">
        <f>G22/H22</f>
        <v>9.64940078792253</v>
      </c>
      <c r="J22" s="242"/>
    </row>
    <row r="23" spans="1:10" ht="15">
      <c r="A23" s="178">
        <v>19</v>
      </c>
      <c r="B23" s="95" t="s">
        <v>52</v>
      </c>
      <c r="C23" s="208">
        <v>40193</v>
      </c>
      <c r="D23" s="168" t="s">
        <v>155</v>
      </c>
      <c r="E23" s="210">
        <v>55</v>
      </c>
      <c r="F23" s="210">
        <v>7</v>
      </c>
      <c r="G23" s="215">
        <f>197266+158498+94472.5+25746.5+5341+4975+4175</f>
        <v>490474</v>
      </c>
      <c r="H23" s="213">
        <f>19567+17056+12441+3194+866+909+697</f>
        <v>54730</v>
      </c>
      <c r="I23" s="174">
        <f>G23/H23</f>
        <v>8.961702905170839</v>
      </c>
      <c r="J23" s="242"/>
    </row>
    <row r="24" spans="1:10" ht="15">
      <c r="A24" s="178">
        <v>20</v>
      </c>
      <c r="B24" s="95" t="s">
        <v>93</v>
      </c>
      <c r="C24" s="208">
        <v>40179</v>
      </c>
      <c r="D24" s="168" t="s">
        <v>153</v>
      </c>
      <c r="E24" s="210">
        <v>60</v>
      </c>
      <c r="F24" s="210">
        <v>9</v>
      </c>
      <c r="G24" s="215">
        <f>471455+3571</f>
        <v>475026</v>
      </c>
      <c r="H24" s="213">
        <f>46173+892</f>
        <v>47065</v>
      </c>
      <c r="I24" s="174">
        <f>+G24/H24</f>
        <v>10.092977796664188</v>
      </c>
      <c r="J24" s="242"/>
    </row>
    <row r="25" spans="1:10" ht="15">
      <c r="A25" s="178">
        <v>21</v>
      </c>
      <c r="B25" s="95" t="s">
        <v>54</v>
      </c>
      <c r="C25" s="208">
        <v>40193</v>
      </c>
      <c r="D25" s="168" t="s">
        <v>157</v>
      </c>
      <c r="E25" s="210">
        <v>124</v>
      </c>
      <c r="F25" s="210">
        <v>7</v>
      </c>
      <c r="G25" s="215">
        <v>449606.75</v>
      </c>
      <c r="H25" s="213">
        <v>56241</v>
      </c>
      <c r="I25" s="174">
        <f>+G25/H25</f>
        <v>7.994287974964883</v>
      </c>
      <c r="J25" s="242">
        <v>1</v>
      </c>
    </row>
    <row r="26" spans="1:10" ht="15">
      <c r="A26" s="178">
        <v>22</v>
      </c>
      <c r="B26" s="95" t="s">
        <v>202</v>
      </c>
      <c r="C26" s="208">
        <v>40235</v>
      </c>
      <c r="D26" s="168" t="s">
        <v>157</v>
      </c>
      <c r="E26" s="210">
        <v>29</v>
      </c>
      <c r="F26" s="210">
        <v>1</v>
      </c>
      <c r="G26" s="215">
        <v>311790.5</v>
      </c>
      <c r="H26" s="213">
        <v>24643</v>
      </c>
      <c r="I26" s="174">
        <f>+G26/H26</f>
        <v>12.652294769305685</v>
      </c>
      <c r="J26" s="242"/>
    </row>
    <row r="27" spans="1:10" ht="15">
      <c r="A27" s="178">
        <v>23</v>
      </c>
      <c r="B27" s="95" t="s">
        <v>191</v>
      </c>
      <c r="C27" s="208">
        <v>40228</v>
      </c>
      <c r="D27" s="168" t="s">
        <v>154</v>
      </c>
      <c r="E27" s="210">
        <v>70</v>
      </c>
      <c r="F27" s="210">
        <v>2</v>
      </c>
      <c r="G27" s="215">
        <v>230166</v>
      </c>
      <c r="H27" s="213">
        <v>22533</v>
      </c>
      <c r="I27" s="174">
        <f>+G27/H27</f>
        <v>10.214618559446146</v>
      </c>
      <c r="J27" s="242"/>
    </row>
    <row r="28" spans="1:10" ht="15">
      <c r="A28" s="178">
        <v>24</v>
      </c>
      <c r="B28" s="95" t="s">
        <v>197</v>
      </c>
      <c r="C28" s="208">
        <v>40186</v>
      </c>
      <c r="D28" s="168" t="s">
        <v>160</v>
      </c>
      <c r="E28" s="210">
        <v>19</v>
      </c>
      <c r="F28" s="210">
        <v>7</v>
      </c>
      <c r="G28" s="215">
        <v>216865</v>
      </c>
      <c r="H28" s="213">
        <v>18101</v>
      </c>
      <c r="I28" s="174">
        <f>+G28/H28</f>
        <v>11.98082978840948</v>
      </c>
      <c r="J28" s="242"/>
    </row>
    <row r="29" spans="1:10" ht="15">
      <c r="A29" s="178">
        <v>25</v>
      </c>
      <c r="B29" s="95" t="s">
        <v>166</v>
      </c>
      <c r="C29" s="208">
        <v>40207</v>
      </c>
      <c r="D29" s="168" t="s">
        <v>155</v>
      </c>
      <c r="E29" s="210">
        <v>43</v>
      </c>
      <c r="F29" s="210">
        <v>5</v>
      </c>
      <c r="G29" s="215">
        <f>102370+44067.75+18390+5765+946</f>
        <v>171538.75</v>
      </c>
      <c r="H29" s="213">
        <f>13060+5979+2634+1158+157</f>
        <v>22988</v>
      </c>
      <c r="I29" s="174">
        <f>G29/H29</f>
        <v>7.462099791195406</v>
      </c>
      <c r="J29" s="242">
        <v>1</v>
      </c>
    </row>
    <row r="30" spans="1:10" ht="15">
      <c r="A30" s="178">
        <v>26</v>
      </c>
      <c r="B30" s="95" t="s">
        <v>192</v>
      </c>
      <c r="C30" s="208">
        <v>40228</v>
      </c>
      <c r="D30" s="168" t="s">
        <v>155</v>
      </c>
      <c r="E30" s="210">
        <v>17</v>
      </c>
      <c r="F30" s="210">
        <v>2</v>
      </c>
      <c r="G30" s="215">
        <f>123803.5+36356.5</f>
        <v>160160</v>
      </c>
      <c r="H30" s="213">
        <f>9724+2877</f>
        <v>12601</v>
      </c>
      <c r="I30" s="174">
        <f>G30/H30</f>
        <v>12.710102372827553</v>
      </c>
      <c r="J30" s="242"/>
    </row>
    <row r="31" spans="1:10" ht="15">
      <c r="A31" s="178">
        <v>27</v>
      </c>
      <c r="B31" s="95" t="s">
        <v>203</v>
      </c>
      <c r="C31" s="208">
        <v>40235</v>
      </c>
      <c r="D31" s="168" t="s">
        <v>153</v>
      </c>
      <c r="E31" s="210">
        <v>91</v>
      </c>
      <c r="F31" s="210">
        <v>1</v>
      </c>
      <c r="G31" s="215">
        <v>150520</v>
      </c>
      <c r="H31" s="213">
        <v>18446</v>
      </c>
      <c r="I31" s="174">
        <f>+G31/H31</f>
        <v>8.160034695869022</v>
      </c>
      <c r="J31" s="242">
        <v>1</v>
      </c>
    </row>
    <row r="32" spans="1:10" ht="15">
      <c r="A32" s="178">
        <v>28</v>
      </c>
      <c r="B32" s="95" t="s">
        <v>189</v>
      </c>
      <c r="C32" s="208">
        <v>40235</v>
      </c>
      <c r="D32" s="168" t="s">
        <v>154</v>
      </c>
      <c r="E32" s="210">
        <v>46</v>
      </c>
      <c r="F32" s="210">
        <v>1</v>
      </c>
      <c r="G32" s="215">
        <v>130999</v>
      </c>
      <c r="H32" s="213">
        <v>12509</v>
      </c>
      <c r="I32" s="174">
        <f>+G32/H32</f>
        <v>10.472379886481733</v>
      </c>
      <c r="J32" s="242"/>
    </row>
    <row r="33" spans="1:10" ht="15">
      <c r="A33" s="178">
        <v>29</v>
      </c>
      <c r="B33" s="95" t="s">
        <v>204</v>
      </c>
      <c r="C33" s="208">
        <v>40235</v>
      </c>
      <c r="D33" s="168" t="s">
        <v>153</v>
      </c>
      <c r="E33" s="210">
        <v>27</v>
      </c>
      <c r="F33" s="210">
        <v>1</v>
      </c>
      <c r="G33" s="215">
        <v>98211</v>
      </c>
      <c r="H33" s="213">
        <v>8036</v>
      </c>
      <c r="I33" s="174">
        <f>+G33/H33</f>
        <v>12.221378795420607</v>
      </c>
      <c r="J33" s="242"/>
    </row>
    <row r="34" spans="1:10" ht="15">
      <c r="A34" s="178">
        <v>30</v>
      </c>
      <c r="B34" s="95" t="s">
        <v>3</v>
      </c>
      <c r="C34" s="208">
        <v>40453</v>
      </c>
      <c r="D34" s="168" t="s">
        <v>86</v>
      </c>
      <c r="E34" s="210">
        <v>25</v>
      </c>
      <c r="F34" s="210">
        <v>10</v>
      </c>
      <c r="G34" s="215">
        <v>43178.25</v>
      </c>
      <c r="H34" s="213">
        <v>7220</v>
      </c>
      <c r="I34" s="174">
        <f>+G34/H34</f>
        <v>5.9803670360110806</v>
      </c>
      <c r="J34" s="242">
        <v>1</v>
      </c>
    </row>
    <row r="35" spans="1:10" ht="15">
      <c r="A35" s="178">
        <v>31</v>
      </c>
      <c r="B35" s="95" t="s">
        <v>26</v>
      </c>
      <c r="C35" s="208">
        <v>40186</v>
      </c>
      <c r="D35" s="168" t="s">
        <v>155</v>
      </c>
      <c r="E35" s="210">
        <v>4</v>
      </c>
      <c r="F35" s="210">
        <v>8</v>
      </c>
      <c r="G35" s="215">
        <f>19677.25+6138.5+538+2308.5+3432+4106+4545+2392</f>
        <v>43137.25</v>
      </c>
      <c r="H35" s="213">
        <f>1627+845+84+359+556+884+725+553</f>
        <v>5633</v>
      </c>
      <c r="I35" s="174">
        <f>G35/H35</f>
        <v>7.657953133321499</v>
      </c>
      <c r="J35" s="242"/>
    </row>
    <row r="36" spans="1:10" ht="15">
      <c r="A36" s="178">
        <v>32</v>
      </c>
      <c r="B36" s="95" t="s">
        <v>195</v>
      </c>
      <c r="C36" s="208">
        <v>40228</v>
      </c>
      <c r="D36" s="168" t="s">
        <v>182</v>
      </c>
      <c r="E36" s="210">
        <v>15</v>
      </c>
      <c r="F36" s="210">
        <v>2</v>
      </c>
      <c r="G36" s="215">
        <v>31374</v>
      </c>
      <c r="H36" s="213">
        <v>2906</v>
      </c>
      <c r="I36" s="174">
        <f>+G36/H36</f>
        <v>10.796283551273227</v>
      </c>
      <c r="J36" s="242"/>
    </row>
    <row r="37" spans="1:10" ht="15">
      <c r="A37" s="178">
        <v>33</v>
      </c>
      <c r="B37" s="95" t="s">
        <v>30</v>
      </c>
      <c r="C37" s="208">
        <v>40186</v>
      </c>
      <c r="D37" s="168" t="s">
        <v>155</v>
      </c>
      <c r="E37" s="210">
        <v>4</v>
      </c>
      <c r="F37" s="210">
        <v>8</v>
      </c>
      <c r="G37" s="215">
        <f>16093+2026+1632+2529+3793+924+2564+676</f>
        <v>30237</v>
      </c>
      <c r="H37" s="213">
        <f>1351+257+325+456+731+166+434+122</f>
        <v>3842</v>
      </c>
      <c r="I37" s="174">
        <f>G37/H37</f>
        <v>7.870119729307652</v>
      </c>
      <c r="J37" s="242"/>
    </row>
    <row r="38" spans="1:10" ht="15.75" thickBot="1">
      <c r="A38" s="178">
        <v>34</v>
      </c>
      <c r="B38" s="190" t="s">
        <v>176</v>
      </c>
      <c r="C38" s="251">
        <v>40221</v>
      </c>
      <c r="D38" s="169" t="s">
        <v>155</v>
      </c>
      <c r="E38" s="253">
        <v>2</v>
      </c>
      <c r="F38" s="253">
        <v>3</v>
      </c>
      <c r="G38" s="218">
        <f>3272+1637+421</f>
        <v>5330</v>
      </c>
      <c r="H38" s="216">
        <f>320+180+79</f>
        <v>579</v>
      </c>
      <c r="I38" s="172">
        <f>G38/H38</f>
        <v>9.20552677029361</v>
      </c>
      <c r="J38" s="242"/>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r:id="rId1"/>
  <ignoredErrors>
    <ignoredError sqref="K7" unlockedFormula="1"/>
    <ignoredError sqref="I35 I11:I14" formula="1"/>
  </ignoredErrors>
</worksheet>
</file>

<file path=xl/worksheets/sheet3.xml><?xml version="1.0" encoding="utf-8"?>
<worksheet xmlns="http://schemas.openxmlformats.org/spreadsheetml/2006/main" xmlns:r="http://schemas.openxmlformats.org/officeDocument/2006/relationships">
  <dimension ref="A1:P376"/>
  <sheetViews>
    <sheetView zoomScale="90" zoomScaleNormal="90" zoomScalePageLayoutView="0" workbookViewId="0" topLeftCell="A1">
      <selection activeCell="B2" sqref="B2:B3"/>
    </sheetView>
  </sheetViews>
  <sheetFormatPr defaultColWidth="4.00390625" defaultRowHeight="12.75"/>
  <cols>
    <col min="1" max="1" width="5.00390625" style="77" bestFit="1" customWidth="1"/>
    <col min="2" max="2" width="54.8515625" style="47" bestFit="1" customWidth="1"/>
    <col min="3" max="3" width="7.7109375" style="74" bestFit="1" customWidth="1"/>
    <col min="4" max="4" width="14.28125" style="44" bestFit="1" customWidth="1"/>
    <col min="5" max="5" width="6.28125" style="330" bestFit="1" customWidth="1"/>
    <col min="6" max="6" width="6.7109375" style="331" bestFit="1" customWidth="1"/>
    <col min="7" max="7" width="16.00390625" style="199" bestFit="1" customWidth="1"/>
    <col min="8" max="8" width="16.421875" style="75" bestFit="1" customWidth="1"/>
    <col min="9" max="9" width="10.57421875" style="76" bestFit="1" customWidth="1"/>
    <col min="10" max="10" width="7.140625" style="78" bestFit="1" customWidth="1"/>
    <col min="11" max="11" width="8.140625" style="79" bestFit="1" customWidth="1"/>
    <col min="12" max="12" width="16.00390625" style="80" bestFit="1" customWidth="1"/>
    <col min="13" max="13" width="11.421875" style="78" bestFit="1" customWidth="1"/>
    <col min="14" max="14" width="7.7109375" style="79" bestFit="1" customWidth="1"/>
    <col min="15" max="15" width="2.421875" style="96" bestFit="1" customWidth="1"/>
    <col min="16" max="16" width="4.00390625" style="26" customWidth="1"/>
    <col min="17" max="18" width="4.00390625" style="0" customWidth="1"/>
    <col min="19" max="19" width="9.7109375" style="0" bestFit="1" customWidth="1"/>
    <col min="20" max="20" width="6.00390625" style="0" bestFit="1" customWidth="1"/>
  </cols>
  <sheetData>
    <row r="1" spans="1:16" s="189" customFormat="1" ht="34.5" thickBot="1">
      <c r="A1" s="370" t="s">
        <v>199</v>
      </c>
      <c r="B1" s="371"/>
      <c r="C1" s="371"/>
      <c r="D1" s="371"/>
      <c r="E1" s="371"/>
      <c r="F1" s="371"/>
      <c r="G1" s="372"/>
      <c r="H1" s="372"/>
      <c r="I1" s="372"/>
      <c r="J1" s="372"/>
      <c r="K1" s="372"/>
      <c r="L1" s="372"/>
      <c r="M1" s="372"/>
      <c r="N1" s="372"/>
      <c r="O1" s="187"/>
      <c r="P1" s="188"/>
    </row>
    <row r="2" spans="1:16" s="43" customFormat="1" ht="12.75">
      <c r="A2" s="184"/>
      <c r="B2" s="373" t="s">
        <v>129</v>
      </c>
      <c r="C2" s="375" t="s">
        <v>141</v>
      </c>
      <c r="D2" s="377" t="s">
        <v>152</v>
      </c>
      <c r="E2" s="368" t="s">
        <v>142</v>
      </c>
      <c r="F2" s="368" t="s">
        <v>149</v>
      </c>
      <c r="G2" s="368" t="s">
        <v>150</v>
      </c>
      <c r="H2" s="379" t="s">
        <v>143</v>
      </c>
      <c r="I2" s="379"/>
      <c r="J2" s="379"/>
      <c r="K2" s="379"/>
      <c r="L2" s="379" t="s">
        <v>144</v>
      </c>
      <c r="M2" s="379"/>
      <c r="N2" s="379"/>
      <c r="O2" s="332"/>
      <c r="P2" s="51"/>
    </row>
    <row r="3" spans="1:16" s="43" customFormat="1" ht="48" customHeight="1" thickBot="1">
      <c r="A3" s="185"/>
      <c r="B3" s="374"/>
      <c r="C3" s="376"/>
      <c r="D3" s="369"/>
      <c r="E3" s="369"/>
      <c r="F3" s="369"/>
      <c r="G3" s="378"/>
      <c r="H3" s="281" t="s">
        <v>145</v>
      </c>
      <c r="I3" s="282" t="s">
        <v>146</v>
      </c>
      <c r="J3" s="282" t="s">
        <v>135</v>
      </c>
      <c r="K3" s="283" t="s">
        <v>147</v>
      </c>
      <c r="L3" s="281" t="s">
        <v>145</v>
      </c>
      <c r="M3" s="282" t="s">
        <v>146</v>
      </c>
      <c r="N3" s="283" t="s">
        <v>148</v>
      </c>
      <c r="O3" s="332"/>
      <c r="P3" s="51"/>
    </row>
    <row r="4" spans="1:15" ht="15">
      <c r="A4" s="186">
        <v>1</v>
      </c>
      <c r="B4" s="284">
        <v>2012</v>
      </c>
      <c r="C4" s="285">
        <v>40130</v>
      </c>
      <c r="D4" s="286" t="s">
        <v>153</v>
      </c>
      <c r="E4" s="322">
        <v>178</v>
      </c>
      <c r="F4" s="322">
        <v>37</v>
      </c>
      <c r="G4" s="322">
        <v>8</v>
      </c>
      <c r="H4" s="287">
        <f>48622+283</f>
        <v>48905</v>
      </c>
      <c r="I4" s="288">
        <f>7403+116</f>
        <v>7519</v>
      </c>
      <c r="J4" s="289">
        <f>I4/F4</f>
        <v>203.21621621621622</v>
      </c>
      <c r="K4" s="290">
        <f>H4/I4</f>
        <v>6.504189386886554</v>
      </c>
      <c r="L4" s="291">
        <f>13107603+48622+283</f>
        <v>13156508</v>
      </c>
      <c r="M4" s="292">
        <f>1468855+7403+116</f>
        <v>1476374</v>
      </c>
      <c r="N4" s="293">
        <f aca="true" t="shared" si="0" ref="N4:N11">+L4/M4</f>
        <v>8.91136527736197</v>
      </c>
      <c r="O4" s="202"/>
    </row>
    <row r="5" spans="1:15" ht="15">
      <c r="A5" s="186">
        <v>2</v>
      </c>
      <c r="B5" s="294">
        <v>2012</v>
      </c>
      <c r="C5" s="97">
        <v>40130</v>
      </c>
      <c r="D5" s="105" t="s">
        <v>153</v>
      </c>
      <c r="E5" s="323">
        <v>178</v>
      </c>
      <c r="F5" s="323">
        <v>25</v>
      </c>
      <c r="G5" s="323">
        <v>9</v>
      </c>
      <c r="H5" s="99">
        <v>29270</v>
      </c>
      <c r="I5" s="100">
        <v>4996</v>
      </c>
      <c r="J5" s="101">
        <f>I5/F5</f>
        <v>199.84</v>
      </c>
      <c r="K5" s="106">
        <f>H5/I5</f>
        <v>5.858686949559647</v>
      </c>
      <c r="L5" s="103">
        <f>13107603+48622+283+29270</f>
        <v>13185778</v>
      </c>
      <c r="M5" s="104">
        <f>1468855+7403+116+4996</f>
        <v>1481370</v>
      </c>
      <c r="N5" s="295">
        <f t="shared" si="0"/>
        <v>8.901069955514153</v>
      </c>
      <c r="O5" s="203"/>
    </row>
    <row r="6" spans="1:15" ht="15">
      <c r="A6" s="186">
        <v>3</v>
      </c>
      <c r="B6" s="294">
        <v>2012</v>
      </c>
      <c r="C6" s="97">
        <v>40130</v>
      </c>
      <c r="D6" s="107" t="s">
        <v>153</v>
      </c>
      <c r="E6" s="323">
        <v>178</v>
      </c>
      <c r="F6" s="323">
        <v>18</v>
      </c>
      <c r="G6" s="323">
        <v>10</v>
      </c>
      <c r="H6" s="99">
        <v>25563</v>
      </c>
      <c r="I6" s="108">
        <v>4175</v>
      </c>
      <c r="J6" s="109">
        <f>I6/F6</f>
        <v>231.94444444444446</v>
      </c>
      <c r="K6" s="102">
        <f>H6/I6</f>
        <v>6.122874251497006</v>
      </c>
      <c r="L6" s="103">
        <f>13107603+48622+283+29270+25563</f>
        <v>13211341</v>
      </c>
      <c r="M6" s="110">
        <f>1468855+7403+116+4996+4175</f>
        <v>1485545</v>
      </c>
      <c r="N6" s="296">
        <f t="shared" si="0"/>
        <v>8.893262068803033</v>
      </c>
      <c r="O6" s="204"/>
    </row>
    <row r="7" spans="1:15" ht="15">
      <c r="A7" s="186">
        <v>4</v>
      </c>
      <c r="B7" s="294">
        <v>2012</v>
      </c>
      <c r="C7" s="97">
        <v>40130</v>
      </c>
      <c r="D7" s="111" t="s">
        <v>153</v>
      </c>
      <c r="E7" s="323">
        <v>178</v>
      </c>
      <c r="F7" s="323">
        <v>7</v>
      </c>
      <c r="G7" s="323">
        <v>11</v>
      </c>
      <c r="H7" s="112">
        <v>11036</v>
      </c>
      <c r="I7" s="108">
        <v>2539</v>
      </c>
      <c r="J7" s="109">
        <f>I7/F7</f>
        <v>362.7142857142857</v>
      </c>
      <c r="K7" s="102">
        <f>H7/I7</f>
        <v>4.346593146908232</v>
      </c>
      <c r="L7" s="113">
        <f>13107603+48622+283+29270+25563+11036</f>
        <v>13222377</v>
      </c>
      <c r="M7" s="110">
        <f>1468855+7403+116+4996+4175+2539</f>
        <v>1488084</v>
      </c>
      <c r="N7" s="296">
        <f t="shared" si="0"/>
        <v>8.885504447329586</v>
      </c>
      <c r="O7" s="204"/>
    </row>
    <row r="8" spans="1:15" ht="15">
      <c r="A8" s="186">
        <v>5</v>
      </c>
      <c r="B8" s="294">
        <v>2012</v>
      </c>
      <c r="C8" s="114">
        <v>40130</v>
      </c>
      <c r="D8" s="105" t="s">
        <v>153</v>
      </c>
      <c r="E8" s="324">
        <v>178</v>
      </c>
      <c r="F8" s="324">
        <v>5</v>
      </c>
      <c r="G8" s="324">
        <v>12</v>
      </c>
      <c r="H8" s="144">
        <v>8708</v>
      </c>
      <c r="I8" s="145">
        <v>1375</v>
      </c>
      <c r="J8" s="175">
        <f>I8/F8</f>
        <v>275</v>
      </c>
      <c r="K8" s="119">
        <f>H8/I8</f>
        <v>6.333090909090909</v>
      </c>
      <c r="L8" s="146">
        <f>13107603+48622+283+29270+25563+11036+8708</f>
        <v>13231085</v>
      </c>
      <c r="M8" s="175">
        <f>1468855+7403+116+4996+4175+2539+1375</f>
        <v>1489459</v>
      </c>
      <c r="N8" s="297">
        <f t="shared" si="0"/>
        <v>8.883148176619834</v>
      </c>
      <c r="O8" s="205"/>
    </row>
    <row r="9" spans="1:15" ht="15">
      <c r="A9" s="186">
        <v>6</v>
      </c>
      <c r="B9" s="298">
        <v>2012</v>
      </c>
      <c r="C9" s="114">
        <v>40130</v>
      </c>
      <c r="D9" s="105" t="s">
        <v>153</v>
      </c>
      <c r="E9" s="324">
        <v>178</v>
      </c>
      <c r="F9" s="324">
        <v>3</v>
      </c>
      <c r="G9" s="324">
        <v>13</v>
      </c>
      <c r="H9" s="200">
        <v>4169</v>
      </c>
      <c r="I9" s="201">
        <v>819</v>
      </c>
      <c r="J9" s="175">
        <f>(I9/F9)</f>
        <v>273</v>
      </c>
      <c r="K9" s="119">
        <f>(J9/G9)</f>
        <v>21</v>
      </c>
      <c r="L9" s="146">
        <f>13231085+4169</f>
        <v>13235254</v>
      </c>
      <c r="M9" s="175">
        <f>1489459+819</f>
        <v>1490278</v>
      </c>
      <c r="N9" s="299">
        <f t="shared" si="0"/>
        <v>8.881063801518911</v>
      </c>
      <c r="O9" s="204"/>
    </row>
    <row r="10" spans="1:15" ht="15">
      <c r="A10" s="186">
        <v>7</v>
      </c>
      <c r="B10" s="298">
        <v>2012</v>
      </c>
      <c r="C10" s="114">
        <v>40130</v>
      </c>
      <c r="D10" s="105" t="s">
        <v>153</v>
      </c>
      <c r="E10" s="324">
        <v>178</v>
      </c>
      <c r="F10" s="324">
        <v>3</v>
      </c>
      <c r="G10" s="324">
        <v>14</v>
      </c>
      <c r="H10" s="222">
        <v>2910</v>
      </c>
      <c r="I10" s="223">
        <v>575</v>
      </c>
      <c r="J10" s="229">
        <f>I10/F10</f>
        <v>191.66666666666666</v>
      </c>
      <c r="K10" s="121">
        <f>H10/I10</f>
        <v>5.060869565217391</v>
      </c>
      <c r="L10" s="120">
        <v>13238163</v>
      </c>
      <c r="M10" s="229">
        <v>1490853</v>
      </c>
      <c r="N10" s="299">
        <f t="shared" si="0"/>
        <v>8.879589738223688</v>
      </c>
      <c r="O10" s="202"/>
    </row>
    <row r="11" spans="1:15" ht="15">
      <c r="A11" s="186">
        <v>8</v>
      </c>
      <c r="B11" s="298">
        <v>2012</v>
      </c>
      <c r="C11" s="114">
        <v>40130</v>
      </c>
      <c r="D11" s="105" t="s">
        <v>153</v>
      </c>
      <c r="E11" s="324">
        <v>178</v>
      </c>
      <c r="F11" s="324">
        <v>2</v>
      </c>
      <c r="G11" s="324">
        <v>15</v>
      </c>
      <c r="H11" s="222">
        <v>1857</v>
      </c>
      <c r="I11" s="223">
        <v>352</v>
      </c>
      <c r="J11" s="229">
        <f>I11/F11</f>
        <v>176</v>
      </c>
      <c r="K11" s="121">
        <f>H11/I11</f>
        <v>5.275568181818182</v>
      </c>
      <c r="L11" s="120">
        <v>13240020</v>
      </c>
      <c r="M11" s="229">
        <v>1491205</v>
      </c>
      <c r="N11" s="299">
        <f t="shared" si="0"/>
        <v>8.87873900637404</v>
      </c>
      <c r="O11" s="235"/>
    </row>
    <row r="12" spans="1:15" ht="15">
      <c r="A12" s="186">
        <v>9</v>
      </c>
      <c r="B12" s="298" t="s">
        <v>72</v>
      </c>
      <c r="C12" s="114">
        <v>40095</v>
      </c>
      <c r="D12" s="115" t="s">
        <v>155</v>
      </c>
      <c r="E12" s="324">
        <v>22</v>
      </c>
      <c r="F12" s="324">
        <v>3</v>
      </c>
      <c r="G12" s="324">
        <v>10</v>
      </c>
      <c r="H12" s="99">
        <v>3158</v>
      </c>
      <c r="I12" s="100">
        <v>596</v>
      </c>
      <c r="J12" s="101">
        <f>(I12/F12)</f>
        <v>198.66666666666666</v>
      </c>
      <c r="K12" s="106">
        <f>H12/I12</f>
        <v>5.298657718120805</v>
      </c>
      <c r="L12" s="103">
        <f>158809.5+140713.25+103696.25+38523+19360+17458+1188+196+2484+3158</f>
        <v>485586</v>
      </c>
      <c r="M12" s="104">
        <f>14214+13110+10683+4685+3074+2645+297+16+571+596</f>
        <v>49891</v>
      </c>
      <c r="N12" s="295">
        <f aca="true" t="shared" si="1" ref="N12:N18">L12/M12</f>
        <v>9.732937804413622</v>
      </c>
      <c r="O12" s="202"/>
    </row>
    <row r="13" spans="1:15" ht="15">
      <c r="A13" s="186">
        <v>10</v>
      </c>
      <c r="B13" s="298" t="s">
        <v>72</v>
      </c>
      <c r="C13" s="114">
        <v>40095</v>
      </c>
      <c r="D13" s="105" t="s">
        <v>155</v>
      </c>
      <c r="E13" s="324">
        <v>22</v>
      </c>
      <c r="F13" s="324">
        <v>2</v>
      </c>
      <c r="G13" s="324">
        <v>12</v>
      </c>
      <c r="H13" s="200">
        <v>2933</v>
      </c>
      <c r="I13" s="201">
        <v>584</v>
      </c>
      <c r="J13" s="175">
        <f>I13/F13</f>
        <v>292</v>
      </c>
      <c r="K13" s="119">
        <f>+H13/I13</f>
        <v>5.022260273972603</v>
      </c>
      <c r="L13" s="146">
        <f>158809.5+140713.25+103696.25+38523+19360+17458+1188+196+2484+3158+1780+2933</f>
        <v>490299</v>
      </c>
      <c r="M13" s="175">
        <f>14214+13110+10683+4685+3074+2645+297+16+571+596+445+584</f>
        <v>50920</v>
      </c>
      <c r="N13" s="299">
        <f t="shared" si="1"/>
        <v>9.628809897879027</v>
      </c>
      <c r="O13" s="204"/>
    </row>
    <row r="14" spans="1:15" ht="15">
      <c r="A14" s="186">
        <v>11</v>
      </c>
      <c r="B14" s="298" t="s">
        <v>72</v>
      </c>
      <c r="C14" s="114">
        <v>40095</v>
      </c>
      <c r="D14" s="116" t="s">
        <v>155</v>
      </c>
      <c r="E14" s="324">
        <v>22</v>
      </c>
      <c r="F14" s="324">
        <v>2</v>
      </c>
      <c r="G14" s="324">
        <v>9</v>
      </c>
      <c r="H14" s="99">
        <v>2484</v>
      </c>
      <c r="I14" s="100">
        <v>571</v>
      </c>
      <c r="J14" s="101">
        <f>(I14/F14)</f>
        <v>285.5</v>
      </c>
      <c r="K14" s="102">
        <f>H14/I14</f>
        <v>4.350262697022767</v>
      </c>
      <c r="L14" s="103">
        <f>158809.5+140713.25+103696.25+38523+19360+17458+1188+196+2484</f>
        <v>482428</v>
      </c>
      <c r="M14" s="104">
        <f>14214+13110+10683+4685+3074+2645+297+16+571</f>
        <v>49295</v>
      </c>
      <c r="N14" s="296">
        <f t="shared" si="1"/>
        <v>9.786550360077086</v>
      </c>
      <c r="O14" s="202"/>
    </row>
    <row r="15" spans="1:15" ht="15">
      <c r="A15" s="186">
        <v>12</v>
      </c>
      <c r="B15" s="300" t="s">
        <v>72</v>
      </c>
      <c r="C15" s="130">
        <v>40095</v>
      </c>
      <c r="D15" s="131" t="s">
        <v>155</v>
      </c>
      <c r="E15" s="325">
        <v>22</v>
      </c>
      <c r="F15" s="325">
        <v>1</v>
      </c>
      <c r="G15" s="325">
        <v>11</v>
      </c>
      <c r="H15" s="112">
        <v>1780</v>
      </c>
      <c r="I15" s="108">
        <v>445</v>
      </c>
      <c r="J15" s="109">
        <f>(I15/F15)</f>
        <v>445</v>
      </c>
      <c r="K15" s="119">
        <f>+H15/I15</f>
        <v>4</v>
      </c>
      <c r="L15" s="113">
        <f>158809.5+140713.25+103696.25+38523+19360+17458+1188+196+2484+3158+1780</f>
        <v>487366</v>
      </c>
      <c r="M15" s="110">
        <f>14214+13110+10683+4685+3074+2645+297+16+571+596+445</f>
        <v>50336</v>
      </c>
      <c r="N15" s="301">
        <f t="shared" si="1"/>
        <v>9.682255244755245</v>
      </c>
      <c r="O15" s="205"/>
    </row>
    <row r="16" spans="1:15" ht="15">
      <c r="A16" s="186">
        <v>13</v>
      </c>
      <c r="B16" s="298" t="s">
        <v>18</v>
      </c>
      <c r="C16" s="114">
        <v>40137</v>
      </c>
      <c r="D16" s="116" t="s">
        <v>86</v>
      </c>
      <c r="E16" s="324">
        <v>149</v>
      </c>
      <c r="F16" s="324">
        <v>9</v>
      </c>
      <c r="G16" s="324">
        <v>7</v>
      </c>
      <c r="H16" s="117">
        <v>27101.5</v>
      </c>
      <c r="I16" s="118">
        <v>4448</v>
      </c>
      <c r="J16" s="229">
        <f>I16/F16</f>
        <v>494.22222222222223</v>
      </c>
      <c r="K16" s="119">
        <f>H16/I16</f>
        <v>6.092963129496403</v>
      </c>
      <c r="L16" s="120">
        <v>3103393</v>
      </c>
      <c r="M16" s="229">
        <v>360904</v>
      </c>
      <c r="N16" s="297">
        <f t="shared" si="1"/>
        <v>8.598943209274488</v>
      </c>
      <c r="O16" s="202">
        <v>1</v>
      </c>
    </row>
    <row r="17" spans="1:15" ht="15">
      <c r="A17" s="186">
        <v>14</v>
      </c>
      <c r="B17" s="298" t="s">
        <v>18</v>
      </c>
      <c r="C17" s="114">
        <v>40137</v>
      </c>
      <c r="D17" s="116" t="s">
        <v>86</v>
      </c>
      <c r="E17" s="324">
        <v>149</v>
      </c>
      <c r="F17" s="324">
        <v>10</v>
      </c>
      <c r="G17" s="324">
        <v>9</v>
      </c>
      <c r="H17" s="117">
        <v>17098.5</v>
      </c>
      <c r="I17" s="118">
        <v>3701</v>
      </c>
      <c r="J17" s="229">
        <f>I17/F17</f>
        <v>370.1</v>
      </c>
      <c r="K17" s="121">
        <f>H17/I17</f>
        <v>4.619967576330722</v>
      </c>
      <c r="L17" s="120">
        <v>3130396</v>
      </c>
      <c r="M17" s="229">
        <v>366723</v>
      </c>
      <c r="N17" s="299">
        <f t="shared" si="1"/>
        <v>8.536132176056588</v>
      </c>
      <c r="O17" s="202"/>
    </row>
    <row r="18" spans="1:15" ht="15">
      <c r="A18" s="186">
        <v>15</v>
      </c>
      <c r="B18" s="298" t="s">
        <v>18</v>
      </c>
      <c r="C18" s="114">
        <v>40137</v>
      </c>
      <c r="D18" s="116" t="s">
        <v>86</v>
      </c>
      <c r="E18" s="324">
        <v>149</v>
      </c>
      <c r="F18" s="324">
        <v>9</v>
      </c>
      <c r="G18" s="324">
        <v>8</v>
      </c>
      <c r="H18" s="117">
        <v>9904.5</v>
      </c>
      <c r="I18" s="118">
        <v>2118</v>
      </c>
      <c r="J18" s="229">
        <f>I18/F18</f>
        <v>235.33333333333334</v>
      </c>
      <c r="K18" s="121">
        <f>H18/I18</f>
        <v>4.676345609065156</v>
      </c>
      <c r="L18" s="120">
        <v>3113297.5</v>
      </c>
      <c r="M18" s="229">
        <v>363022</v>
      </c>
      <c r="N18" s="299">
        <f t="shared" si="1"/>
        <v>8.57605737393326</v>
      </c>
      <c r="O18" s="202">
        <v>1</v>
      </c>
    </row>
    <row r="19" spans="1:15" ht="15">
      <c r="A19" s="186">
        <v>16</v>
      </c>
      <c r="B19" s="298" t="s">
        <v>18</v>
      </c>
      <c r="C19" s="114">
        <v>40137</v>
      </c>
      <c r="D19" s="105" t="s">
        <v>86</v>
      </c>
      <c r="E19" s="324">
        <v>149</v>
      </c>
      <c r="F19" s="324">
        <v>1</v>
      </c>
      <c r="G19" s="324">
        <v>14</v>
      </c>
      <c r="H19" s="222">
        <v>8232.5</v>
      </c>
      <c r="I19" s="223">
        <v>1373</v>
      </c>
      <c r="J19" s="229">
        <f>I19/F19</f>
        <v>1373</v>
      </c>
      <c r="K19" s="121">
        <f>H19/I19</f>
        <v>5.995994173343044</v>
      </c>
      <c r="L19" s="120">
        <v>3142997</v>
      </c>
      <c r="M19" s="229">
        <v>368955</v>
      </c>
      <c r="N19" s="299">
        <f>+L19/M19</f>
        <v>8.518645905327208</v>
      </c>
      <c r="O19" s="237">
        <v>1</v>
      </c>
    </row>
    <row r="20" spans="1:15" ht="15">
      <c r="A20" s="186">
        <v>17</v>
      </c>
      <c r="B20" s="298" t="s">
        <v>18</v>
      </c>
      <c r="C20" s="114">
        <v>40137</v>
      </c>
      <c r="D20" s="105" t="s">
        <v>86</v>
      </c>
      <c r="E20" s="324">
        <v>149</v>
      </c>
      <c r="F20" s="324">
        <v>1</v>
      </c>
      <c r="G20" s="324">
        <v>13</v>
      </c>
      <c r="H20" s="222">
        <v>1987</v>
      </c>
      <c r="I20" s="223">
        <v>399</v>
      </c>
      <c r="J20" s="229">
        <f>I20/F20</f>
        <v>399</v>
      </c>
      <c r="K20" s="121">
        <f>H20/I20</f>
        <v>4.979949874686716</v>
      </c>
      <c r="L20" s="120">
        <v>3134764.5</v>
      </c>
      <c r="M20" s="229">
        <v>367582</v>
      </c>
      <c r="N20" s="299">
        <f>L20/M20</f>
        <v>8.52806856701362</v>
      </c>
      <c r="O20" s="202">
        <v>1</v>
      </c>
    </row>
    <row r="21" spans="1:15" ht="15">
      <c r="A21" s="186">
        <v>18</v>
      </c>
      <c r="B21" s="298" t="s">
        <v>18</v>
      </c>
      <c r="C21" s="114">
        <v>40137</v>
      </c>
      <c r="D21" s="105" t="s">
        <v>86</v>
      </c>
      <c r="E21" s="324">
        <v>149</v>
      </c>
      <c r="F21" s="324">
        <v>1</v>
      </c>
      <c r="G21" s="324">
        <v>12</v>
      </c>
      <c r="H21" s="200">
        <v>1725.5</v>
      </c>
      <c r="I21" s="201">
        <v>350</v>
      </c>
      <c r="J21" s="175">
        <f>(I21/F21)</f>
        <v>350</v>
      </c>
      <c r="K21" s="119">
        <f>(J21/G21)</f>
        <v>29.166666666666668</v>
      </c>
      <c r="L21" s="146">
        <v>3132777.5</v>
      </c>
      <c r="M21" s="175">
        <v>367183</v>
      </c>
      <c r="N21" s="299">
        <f>L21/M21</f>
        <v>8.531924135921326</v>
      </c>
      <c r="O21" s="204">
        <v>1</v>
      </c>
    </row>
    <row r="22" spans="1:15" ht="15">
      <c r="A22" s="186">
        <v>19</v>
      </c>
      <c r="B22" s="298" t="s">
        <v>18</v>
      </c>
      <c r="C22" s="114">
        <v>40137</v>
      </c>
      <c r="D22" s="105" t="s">
        <v>56</v>
      </c>
      <c r="E22" s="324">
        <v>149</v>
      </c>
      <c r="F22" s="324">
        <v>1</v>
      </c>
      <c r="G22" s="324">
        <v>11</v>
      </c>
      <c r="H22" s="144">
        <v>656</v>
      </c>
      <c r="I22" s="145">
        <v>110</v>
      </c>
      <c r="J22" s="175">
        <f>I22/F22</f>
        <v>110</v>
      </c>
      <c r="K22" s="119">
        <f>H22/I22</f>
        <v>5.963636363636364</v>
      </c>
      <c r="L22" s="146">
        <v>3131052</v>
      </c>
      <c r="M22" s="175">
        <v>366833</v>
      </c>
      <c r="N22" s="297">
        <f>L22/M22</f>
        <v>8.535360777247412</v>
      </c>
      <c r="O22" s="206">
        <v>1</v>
      </c>
    </row>
    <row r="23" spans="1:15" ht="15">
      <c r="A23" s="186">
        <v>20</v>
      </c>
      <c r="B23" s="294" t="s">
        <v>23</v>
      </c>
      <c r="C23" s="97">
        <v>40151</v>
      </c>
      <c r="D23" s="105" t="s">
        <v>157</v>
      </c>
      <c r="E23" s="323">
        <v>140</v>
      </c>
      <c r="F23" s="323">
        <v>19</v>
      </c>
      <c r="G23" s="323">
        <v>7</v>
      </c>
      <c r="H23" s="122">
        <v>16570</v>
      </c>
      <c r="I23" s="123">
        <v>2937</v>
      </c>
      <c r="J23" s="124">
        <f>IF(H23&lt;&gt;0,I23/F23,"")</f>
        <v>154.57894736842104</v>
      </c>
      <c r="K23" s="125">
        <f>IF(H23&lt;&gt;0,H23/I23,"")</f>
        <v>5.64181137214845</v>
      </c>
      <c r="L23" s="126">
        <v>1036414</v>
      </c>
      <c r="M23" s="175">
        <v>132115</v>
      </c>
      <c r="N23" s="302">
        <f>IF(L23&lt;&gt;0,L23/M23,"")</f>
        <v>7.844786738826023</v>
      </c>
      <c r="O23" s="204">
        <v>1</v>
      </c>
    </row>
    <row r="24" spans="1:15" ht="15">
      <c r="A24" s="186">
        <v>21</v>
      </c>
      <c r="B24" s="294" t="s">
        <v>106</v>
      </c>
      <c r="C24" s="97">
        <v>40151</v>
      </c>
      <c r="D24" s="105" t="s">
        <v>157</v>
      </c>
      <c r="E24" s="323">
        <v>140</v>
      </c>
      <c r="F24" s="323">
        <v>18</v>
      </c>
      <c r="G24" s="323">
        <v>6</v>
      </c>
      <c r="H24" s="122">
        <v>9901</v>
      </c>
      <c r="I24" s="127">
        <v>1541</v>
      </c>
      <c r="J24" s="128">
        <f>IF(H24&lt;&gt;0,I24/F24,"")</f>
        <v>85.61111111111111</v>
      </c>
      <c r="K24" s="129">
        <f>IF(H24&lt;&gt;0,H24/I24,"")</f>
        <v>6.425048669695003</v>
      </c>
      <c r="L24" s="126">
        <v>1019844</v>
      </c>
      <c r="M24" s="229">
        <v>129178</v>
      </c>
      <c r="N24" s="303">
        <f>IF(L24&lt;&gt;0,L24/M24,"")</f>
        <v>7.894873740110545</v>
      </c>
      <c r="O24" s="203">
        <v>1</v>
      </c>
    </row>
    <row r="25" spans="1:15" ht="15">
      <c r="A25" s="186">
        <v>22</v>
      </c>
      <c r="B25" s="294" t="s">
        <v>106</v>
      </c>
      <c r="C25" s="97">
        <v>40151</v>
      </c>
      <c r="D25" s="111" t="s">
        <v>157</v>
      </c>
      <c r="E25" s="323">
        <v>140</v>
      </c>
      <c r="F25" s="323">
        <v>15</v>
      </c>
      <c r="G25" s="323">
        <v>5</v>
      </c>
      <c r="H25" s="122">
        <v>6903</v>
      </c>
      <c r="I25" s="127">
        <v>1187</v>
      </c>
      <c r="J25" s="128">
        <f>IF(H25&lt;&gt;0,I25/F25,"")</f>
        <v>79.13333333333334</v>
      </c>
      <c r="K25" s="125">
        <f>IF(H25&lt;&gt;0,H25/I25,"")</f>
        <v>5.815501263689975</v>
      </c>
      <c r="L25" s="126">
        <v>1009943</v>
      </c>
      <c r="M25" s="229">
        <v>127637</v>
      </c>
      <c r="N25" s="302">
        <f>IF(L25&lt;&gt;0,L25/M25,"")</f>
        <v>7.9126193815273</v>
      </c>
      <c r="O25" s="202">
        <v>1</v>
      </c>
    </row>
    <row r="26" spans="1:15" ht="15">
      <c r="A26" s="186">
        <v>23</v>
      </c>
      <c r="B26" s="298" t="s">
        <v>23</v>
      </c>
      <c r="C26" s="114">
        <v>40151</v>
      </c>
      <c r="D26" s="105" t="s">
        <v>157</v>
      </c>
      <c r="E26" s="324">
        <v>140</v>
      </c>
      <c r="F26" s="324">
        <v>1</v>
      </c>
      <c r="G26" s="324">
        <v>11</v>
      </c>
      <c r="H26" s="222">
        <v>1761</v>
      </c>
      <c r="I26" s="223">
        <v>501</v>
      </c>
      <c r="J26" s="229">
        <f>I26/F26</f>
        <v>501</v>
      </c>
      <c r="K26" s="121">
        <f>H26/I26</f>
        <v>3.5149700598802394</v>
      </c>
      <c r="L26" s="120">
        <v>1040676.5</v>
      </c>
      <c r="M26" s="229">
        <v>133177</v>
      </c>
      <c r="N26" s="299">
        <f>+L26/M26</f>
        <v>7.8142359416415745</v>
      </c>
      <c r="O26" s="237">
        <v>1</v>
      </c>
    </row>
    <row r="27" spans="1:15" ht="15">
      <c r="A27" s="186">
        <v>24</v>
      </c>
      <c r="B27" s="298" t="s">
        <v>106</v>
      </c>
      <c r="C27" s="114">
        <v>40151</v>
      </c>
      <c r="D27" s="105" t="s">
        <v>157</v>
      </c>
      <c r="E27" s="324">
        <v>140</v>
      </c>
      <c r="F27" s="324">
        <v>3</v>
      </c>
      <c r="G27" s="324">
        <v>9</v>
      </c>
      <c r="H27" s="144">
        <v>1435.5</v>
      </c>
      <c r="I27" s="145">
        <v>375</v>
      </c>
      <c r="J27" s="175">
        <f>I27/F27</f>
        <v>125</v>
      </c>
      <c r="K27" s="119">
        <f>H27/I27</f>
        <v>3.828</v>
      </c>
      <c r="L27" s="146">
        <v>1038795.5</v>
      </c>
      <c r="M27" s="175">
        <v>132664</v>
      </c>
      <c r="N27" s="297">
        <f>L27/M27</f>
        <v>7.830274226617621</v>
      </c>
      <c r="O27" s="205">
        <v>1</v>
      </c>
    </row>
    <row r="28" spans="1:15" ht="15">
      <c r="A28" s="186">
        <v>25</v>
      </c>
      <c r="B28" s="298" t="s">
        <v>106</v>
      </c>
      <c r="C28" s="114">
        <v>40151</v>
      </c>
      <c r="D28" s="116" t="s">
        <v>157</v>
      </c>
      <c r="E28" s="324">
        <v>140</v>
      </c>
      <c r="F28" s="324">
        <v>3</v>
      </c>
      <c r="G28" s="324">
        <v>8</v>
      </c>
      <c r="H28" s="112">
        <v>946</v>
      </c>
      <c r="I28" s="108">
        <v>174</v>
      </c>
      <c r="J28" s="109">
        <f>IF(H28&lt;&gt;0,I28/F28,"")</f>
        <v>58</v>
      </c>
      <c r="K28" s="102">
        <f>IF(H28&lt;&gt;0,H28/I28,"")</f>
        <v>5.436781609195402</v>
      </c>
      <c r="L28" s="113">
        <v>1037360</v>
      </c>
      <c r="M28" s="110">
        <v>132289</v>
      </c>
      <c r="N28" s="296">
        <f>IF(L28&lt;&gt;0,L28/M28,"")</f>
        <v>7.841619484613233</v>
      </c>
      <c r="O28" s="204">
        <v>1</v>
      </c>
    </row>
    <row r="29" spans="1:15" ht="15">
      <c r="A29" s="186">
        <v>26</v>
      </c>
      <c r="B29" s="298" t="s">
        <v>23</v>
      </c>
      <c r="C29" s="114">
        <v>40151</v>
      </c>
      <c r="D29" s="105" t="s">
        <v>157</v>
      </c>
      <c r="E29" s="324">
        <v>140</v>
      </c>
      <c r="F29" s="324">
        <v>1</v>
      </c>
      <c r="G29" s="324">
        <v>10</v>
      </c>
      <c r="H29" s="200">
        <v>120</v>
      </c>
      <c r="I29" s="201">
        <v>12</v>
      </c>
      <c r="J29" s="175">
        <f>IF(H29&lt;&gt;0,I29/F29,"")</f>
        <v>12</v>
      </c>
      <c r="K29" s="119">
        <f>IF(H29&lt;&gt;0,H29/I29,"")</f>
        <v>10</v>
      </c>
      <c r="L29" s="146">
        <v>1038915.5</v>
      </c>
      <c r="M29" s="175">
        <v>132676</v>
      </c>
      <c r="N29" s="299">
        <f>IF(L29&lt;&gt;0,L29/M29,"")</f>
        <v>7.830470469414212</v>
      </c>
      <c r="O29" s="204">
        <v>1</v>
      </c>
    </row>
    <row r="30" spans="1:15" ht="15">
      <c r="A30" s="186">
        <v>27</v>
      </c>
      <c r="B30" s="298" t="s">
        <v>3</v>
      </c>
      <c r="C30" s="114">
        <v>40088</v>
      </c>
      <c r="D30" s="105" t="s">
        <v>56</v>
      </c>
      <c r="E30" s="324">
        <v>25</v>
      </c>
      <c r="F30" s="324">
        <v>1</v>
      </c>
      <c r="G30" s="324">
        <v>9</v>
      </c>
      <c r="H30" s="144">
        <v>1782</v>
      </c>
      <c r="I30" s="145">
        <v>356</v>
      </c>
      <c r="J30" s="175">
        <f>I30/F30</f>
        <v>356</v>
      </c>
      <c r="K30" s="119">
        <f>H30/I30</f>
        <v>5.00561797752809</v>
      </c>
      <c r="L30" s="146">
        <v>41396.25</v>
      </c>
      <c r="M30" s="175">
        <v>6864</v>
      </c>
      <c r="N30" s="297">
        <f aca="true" t="shared" si="2" ref="N30:N36">L30/M30</f>
        <v>6.0309222027972025</v>
      </c>
      <c r="O30" s="206">
        <v>1</v>
      </c>
    </row>
    <row r="31" spans="1:15" ht="15">
      <c r="A31" s="186">
        <v>28</v>
      </c>
      <c r="B31" s="298" t="s">
        <v>95</v>
      </c>
      <c r="C31" s="114">
        <v>40165</v>
      </c>
      <c r="D31" s="116" t="s">
        <v>155</v>
      </c>
      <c r="E31" s="324">
        <v>74</v>
      </c>
      <c r="F31" s="324">
        <v>63</v>
      </c>
      <c r="G31" s="324">
        <v>3</v>
      </c>
      <c r="H31" s="99">
        <v>124291.75</v>
      </c>
      <c r="I31" s="100">
        <v>14864</v>
      </c>
      <c r="J31" s="101">
        <f>(I31/F31)</f>
        <v>235.93650793650792</v>
      </c>
      <c r="K31" s="102">
        <f>H31/I31</f>
        <v>8.361931512378902</v>
      </c>
      <c r="L31" s="103">
        <f>507128.25+345268.5+124291.75</f>
        <v>976688.5</v>
      </c>
      <c r="M31" s="104">
        <f>53408+37346+14864</f>
        <v>105618</v>
      </c>
      <c r="N31" s="296">
        <f t="shared" si="2"/>
        <v>9.247367872900453</v>
      </c>
      <c r="O31" s="202">
        <v>1</v>
      </c>
    </row>
    <row r="32" spans="1:15" ht="15">
      <c r="A32" s="186">
        <v>29</v>
      </c>
      <c r="B32" s="298" t="s">
        <v>95</v>
      </c>
      <c r="C32" s="114">
        <v>40165</v>
      </c>
      <c r="D32" s="115" t="s">
        <v>155</v>
      </c>
      <c r="E32" s="324">
        <v>74</v>
      </c>
      <c r="F32" s="324">
        <v>74</v>
      </c>
      <c r="G32" s="324">
        <v>4</v>
      </c>
      <c r="H32" s="99">
        <v>100787</v>
      </c>
      <c r="I32" s="100">
        <v>15043</v>
      </c>
      <c r="J32" s="101">
        <f>(I32/F32)</f>
        <v>203.28378378378378</v>
      </c>
      <c r="K32" s="106">
        <f>H32/I32</f>
        <v>6.699926876287974</v>
      </c>
      <c r="L32" s="103">
        <f>507128.25+345268.5+124291.75+100787</f>
        <v>1077475.5</v>
      </c>
      <c r="M32" s="104">
        <f>53408+37346+14864+15043</f>
        <v>120661</v>
      </c>
      <c r="N32" s="295">
        <f t="shared" si="2"/>
        <v>8.929774326418643</v>
      </c>
      <c r="O32" s="202">
        <v>1</v>
      </c>
    </row>
    <row r="33" spans="1:15" ht="15">
      <c r="A33" s="186">
        <v>30</v>
      </c>
      <c r="B33" s="300" t="s">
        <v>95</v>
      </c>
      <c r="C33" s="130">
        <v>40165</v>
      </c>
      <c r="D33" s="131" t="s">
        <v>155</v>
      </c>
      <c r="E33" s="325">
        <v>74</v>
      </c>
      <c r="F33" s="325">
        <v>53</v>
      </c>
      <c r="G33" s="325">
        <v>5</v>
      </c>
      <c r="H33" s="99">
        <v>70944</v>
      </c>
      <c r="I33" s="108">
        <v>11010</v>
      </c>
      <c r="J33" s="109">
        <f>(I33/F33)</f>
        <v>207.73584905660377</v>
      </c>
      <c r="K33" s="102">
        <f>H33/I33</f>
        <v>6.443596730245232</v>
      </c>
      <c r="L33" s="103">
        <f>507128.25+345268.5+124291.75+100787+70944</f>
        <v>1148419.5</v>
      </c>
      <c r="M33" s="110">
        <f>53408+37346+14864+15043+11010</f>
        <v>131671</v>
      </c>
      <c r="N33" s="296">
        <f t="shared" si="2"/>
        <v>8.72188636829674</v>
      </c>
      <c r="O33" s="204">
        <v>1</v>
      </c>
    </row>
    <row r="34" spans="1:15" ht="15">
      <c r="A34" s="186">
        <v>31</v>
      </c>
      <c r="B34" s="298" t="s">
        <v>57</v>
      </c>
      <c r="C34" s="114">
        <v>40165</v>
      </c>
      <c r="D34" s="116" t="s">
        <v>155</v>
      </c>
      <c r="E34" s="324">
        <v>74</v>
      </c>
      <c r="F34" s="324">
        <v>21</v>
      </c>
      <c r="G34" s="324">
        <v>6</v>
      </c>
      <c r="H34" s="112">
        <v>12241</v>
      </c>
      <c r="I34" s="108">
        <v>2268</v>
      </c>
      <c r="J34" s="109">
        <f>(I34/F34)</f>
        <v>108</v>
      </c>
      <c r="K34" s="102">
        <f>H34/I34</f>
        <v>5.39726631393298</v>
      </c>
      <c r="L34" s="113">
        <f>507128.25+345268.5+124291.75+100787+70944+12241</f>
        <v>1160660.5</v>
      </c>
      <c r="M34" s="110">
        <f>53408+37346+14864+15043+11010+2268</f>
        <v>133939</v>
      </c>
      <c r="N34" s="296">
        <f t="shared" si="2"/>
        <v>8.665590306034836</v>
      </c>
      <c r="O34" s="204">
        <v>1</v>
      </c>
    </row>
    <row r="35" spans="1:15" ht="15">
      <c r="A35" s="186">
        <v>32</v>
      </c>
      <c r="B35" s="300" t="s">
        <v>0</v>
      </c>
      <c r="C35" s="130">
        <v>40165</v>
      </c>
      <c r="D35" s="131" t="s">
        <v>155</v>
      </c>
      <c r="E35" s="325">
        <v>74</v>
      </c>
      <c r="F35" s="325">
        <v>15</v>
      </c>
      <c r="G35" s="325">
        <v>7</v>
      </c>
      <c r="H35" s="112">
        <v>11639</v>
      </c>
      <c r="I35" s="108">
        <v>2130</v>
      </c>
      <c r="J35" s="109">
        <f>(I35/F35)</f>
        <v>142</v>
      </c>
      <c r="K35" s="119">
        <f>+H35/I35</f>
        <v>5.464319248826291</v>
      </c>
      <c r="L35" s="113">
        <f>507128.25+345268.5+124291.75+100787+70944+12241+11639</f>
        <v>1172299.5</v>
      </c>
      <c r="M35" s="110">
        <f>53408+37346+14864+15043+11010+2268+2130</f>
        <v>136069</v>
      </c>
      <c r="N35" s="301">
        <f t="shared" si="2"/>
        <v>8.615478176513387</v>
      </c>
      <c r="O35" s="205">
        <v>1</v>
      </c>
    </row>
    <row r="36" spans="1:15" ht="15">
      <c r="A36" s="186">
        <v>33</v>
      </c>
      <c r="B36" s="298" t="s">
        <v>95</v>
      </c>
      <c r="C36" s="114">
        <v>40165</v>
      </c>
      <c r="D36" s="105" t="s">
        <v>155</v>
      </c>
      <c r="E36" s="324">
        <v>74</v>
      </c>
      <c r="F36" s="324">
        <v>14</v>
      </c>
      <c r="G36" s="324">
        <v>8</v>
      </c>
      <c r="H36" s="200">
        <v>8352</v>
      </c>
      <c r="I36" s="201">
        <v>1478</v>
      </c>
      <c r="J36" s="175">
        <f>I36/F36</f>
        <v>105.57142857142857</v>
      </c>
      <c r="K36" s="119">
        <f>+H36/I36</f>
        <v>5.650879566982408</v>
      </c>
      <c r="L36" s="146">
        <f>507128.25+345268.5+124291.75+100787+70944+12241+11639+8352</f>
        <v>1180651.5</v>
      </c>
      <c r="M36" s="175">
        <f>53408+37346+14864+15043+11010+2268+2130+1478</f>
        <v>137547</v>
      </c>
      <c r="N36" s="299">
        <f t="shared" si="2"/>
        <v>8.583622325459661</v>
      </c>
      <c r="O36" s="204">
        <v>1</v>
      </c>
    </row>
    <row r="37" spans="1:15" ht="15">
      <c r="A37" s="186">
        <v>34</v>
      </c>
      <c r="B37" s="298" t="s">
        <v>95</v>
      </c>
      <c r="C37" s="114">
        <v>40165</v>
      </c>
      <c r="D37" s="105" t="s">
        <v>155</v>
      </c>
      <c r="E37" s="324">
        <v>74</v>
      </c>
      <c r="F37" s="324">
        <v>2</v>
      </c>
      <c r="G37" s="324">
        <v>10</v>
      </c>
      <c r="H37" s="222">
        <v>3277</v>
      </c>
      <c r="I37" s="223">
        <v>598</v>
      </c>
      <c r="J37" s="229">
        <f>I37/F37</f>
        <v>299</v>
      </c>
      <c r="K37" s="121">
        <f aca="true" t="shared" si="3" ref="K37:K42">H37/I37</f>
        <v>5.4799331103678925</v>
      </c>
      <c r="L37" s="120">
        <f>507128.25+345268.5+124291.75+100787+70944+12241+11639+8352+766+3277</f>
        <v>1184694.5</v>
      </c>
      <c r="M37" s="229">
        <f>53408+37346+14864+15043+11010+2268+2130+1478+133+598</f>
        <v>138278</v>
      </c>
      <c r="N37" s="299">
        <f>+L37/M37</f>
        <v>8.567483619954006</v>
      </c>
      <c r="O37" s="232">
        <v>1</v>
      </c>
    </row>
    <row r="38" spans="1:15" ht="15">
      <c r="A38" s="186">
        <v>35</v>
      </c>
      <c r="B38" s="298" t="s">
        <v>95</v>
      </c>
      <c r="C38" s="114">
        <v>40165</v>
      </c>
      <c r="D38" s="105" t="s">
        <v>155</v>
      </c>
      <c r="E38" s="324">
        <v>74</v>
      </c>
      <c r="F38" s="324">
        <v>1</v>
      </c>
      <c r="G38" s="324">
        <v>9</v>
      </c>
      <c r="H38" s="222">
        <v>766</v>
      </c>
      <c r="I38" s="223">
        <v>133</v>
      </c>
      <c r="J38" s="229">
        <f>(I38/F38)</f>
        <v>133</v>
      </c>
      <c r="K38" s="121">
        <f t="shared" si="3"/>
        <v>5.7593984962406015</v>
      </c>
      <c r="L38" s="120">
        <f>507128.25+345268.5+124291.75+100787+70944+12241+11639+8352+766</f>
        <v>1181417.5</v>
      </c>
      <c r="M38" s="229">
        <f>53408+37346+14864+15043+11010+2268+2130+1478+133</f>
        <v>137680</v>
      </c>
      <c r="N38" s="299">
        <f>L38/M38</f>
        <v>8.580894102266125</v>
      </c>
      <c r="O38" s="202">
        <v>1</v>
      </c>
    </row>
    <row r="39" spans="1:15" ht="15">
      <c r="A39" s="186">
        <v>36</v>
      </c>
      <c r="B39" s="298" t="s">
        <v>95</v>
      </c>
      <c r="C39" s="224">
        <v>40165</v>
      </c>
      <c r="D39" s="105" t="s">
        <v>155</v>
      </c>
      <c r="E39" s="270">
        <v>74</v>
      </c>
      <c r="F39" s="270">
        <v>1</v>
      </c>
      <c r="G39" s="270">
        <v>11</v>
      </c>
      <c r="H39" s="226">
        <v>69</v>
      </c>
      <c r="I39" s="227">
        <v>23</v>
      </c>
      <c r="J39" s="229">
        <f>(I39/F39)</f>
        <v>23</v>
      </c>
      <c r="K39" s="121">
        <f t="shared" si="3"/>
        <v>3</v>
      </c>
      <c r="L39" s="120">
        <f>507128.25+345268.5+124291.75+100787+70944+12241+11639+8352+766+3277+69</f>
        <v>1184763.5</v>
      </c>
      <c r="M39" s="229">
        <f>53408+37346+14864+15043+11010+2268+2130+1478+133+598+23</f>
        <v>138301</v>
      </c>
      <c r="N39" s="299">
        <f>L39/M39</f>
        <v>8.566557725540669</v>
      </c>
      <c r="O39" s="236">
        <v>1</v>
      </c>
    </row>
    <row r="40" spans="1:15" ht="15">
      <c r="A40" s="186">
        <v>37</v>
      </c>
      <c r="B40" s="304" t="s">
        <v>101</v>
      </c>
      <c r="C40" s="97">
        <v>40151</v>
      </c>
      <c r="D40" s="132" t="s">
        <v>132</v>
      </c>
      <c r="E40" s="326">
        <v>128</v>
      </c>
      <c r="F40" s="326">
        <v>14</v>
      </c>
      <c r="G40" s="326">
        <v>5</v>
      </c>
      <c r="H40" s="133">
        <v>10820.5</v>
      </c>
      <c r="I40" s="134">
        <v>2203</v>
      </c>
      <c r="J40" s="135">
        <f aca="true" t="shared" si="4" ref="J40:J46">I40/F40</f>
        <v>157.35714285714286</v>
      </c>
      <c r="K40" s="136">
        <f t="shared" si="3"/>
        <v>4.911711302768952</v>
      </c>
      <c r="L40" s="137">
        <v>1602521</v>
      </c>
      <c r="M40" s="138">
        <v>185512</v>
      </c>
      <c r="N40" s="305">
        <f>+L40/M40</f>
        <v>8.638368407434559</v>
      </c>
      <c r="O40" s="202">
        <v>1</v>
      </c>
    </row>
    <row r="41" spans="1:15" ht="15">
      <c r="A41" s="186">
        <v>38</v>
      </c>
      <c r="B41" s="304" t="s">
        <v>101</v>
      </c>
      <c r="C41" s="97">
        <v>40151</v>
      </c>
      <c r="D41" s="139" t="s">
        <v>132</v>
      </c>
      <c r="E41" s="326">
        <v>128</v>
      </c>
      <c r="F41" s="326">
        <v>13</v>
      </c>
      <c r="G41" s="326">
        <v>6</v>
      </c>
      <c r="H41" s="133">
        <v>10811</v>
      </c>
      <c r="I41" s="134">
        <v>1908</v>
      </c>
      <c r="J41" s="135">
        <f t="shared" si="4"/>
        <v>146.76923076923077</v>
      </c>
      <c r="K41" s="140">
        <f t="shared" si="3"/>
        <v>5.666142557651992</v>
      </c>
      <c r="L41" s="137">
        <v>1613332</v>
      </c>
      <c r="M41" s="138">
        <v>187420</v>
      </c>
      <c r="N41" s="303">
        <f>IF(L41&lt;&gt;0,L41/M41,"")</f>
        <v>8.608110126987516</v>
      </c>
      <c r="O41" s="203">
        <v>1</v>
      </c>
    </row>
    <row r="42" spans="1:15" ht="15">
      <c r="A42" s="186">
        <v>39</v>
      </c>
      <c r="B42" s="304" t="s">
        <v>101</v>
      </c>
      <c r="C42" s="97">
        <v>40151</v>
      </c>
      <c r="D42" s="139" t="s">
        <v>132</v>
      </c>
      <c r="E42" s="326">
        <v>128</v>
      </c>
      <c r="F42" s="326">
        <v>7</v>
      </c>
      <c r="G42" s="326">
        <v>7</v>
      </c>
      <c r="H42" s="133">
        <v>8704</v>
      </c>
      <c r="I42" s="141">
        <v>1365</v>
      </c>
      <c r="J42" s="142">
        <f t="shared" si="4"/>
        <v>195</v>
      </c>
      <c r="K42" s="136">
        <f t="shared" si="3"/>
        <v>6.376556776556777</v>
      </c>
      <c r="L42" s="137">
        <v>1622035.5</v>
      </c>
      <c r="M42" s="143">
        <v>188785</v>
      </c>
      <c r="N42" s="302">
        <f>IF(L42&lt;&gt;0,L42/M42,"")</f>
        <v>8.591972349498107</v>
      </c>
      <c r="O42" s="204">
        <v>1</v>
      </c>
    </row>
    <row r="43" spans="1:15" ht="15">
      <c r="A43" s="186">
        <v>40</v>
      </c>
      <c r="B43" s="298" t="s">
        <v>168</v>
      </c>
      <c r="C43" s="114">
        <v>40151</v>
      </c>
      <c r="D43" s="105" t="s">
        <v>132</v>
      </c>
      <c r="E43" s="324">
        <v>128</v>
      </c>
      <c r="F43" s="324">
        <v>8</v>
      </c>
      <c r="G43" s="324">
        <v>10</v>
      </c>
      <c r="H43" s="200">
        <v>6128</v>
      </c>
      <c r="I43" s="201">
        <v>1096</v>
      </c>
      <c r="J43" s="175">
        <f t="shared" si="4"/>
        <v>137</v>
      </c>
      <c r="K43" s="119">
        <f>+H43/I43</f>
        <v>5.591240875912408</v>
      </c>
      <c r="L43" s="146">
        <v>1635532.5</v>
      </c>
      <c r="M43" s="175">
        <v>191618</v>
      </c>
      <c r="N43" s="299">
        <f>+L43/M43</f>
        <v>8.535380287864397</v>
      </c>
      <c r="O43" s="204">
        <v>1</v>
      </c>
    </row>
    <row r="44" spans="1:15" ht="15">
      <c r="A44" s="186">
        <v>41</v>
      </c>
      <c r="B44" s="304" t="s">
        <v>101</v>
      </c>
      <c r="C44" s="114">
        <v>40151</v>
      </c>
      <c r="D44" s="111" t="s">
        <v>132</v>
      </c>
      <c r="E44" s="324">
        <v>128</v>
      </c>
      <c r="F44" s="324">
        <v>6</v>
      </c>
      <c r="G44" s="324">
        <v>8</v>
      </c>
      <c r="H44" s="144">
        <v>5193</v>
      </c>
      <c r="I44" s="145">
        <v>1233</v>
      </c>
      <c r="J44" s="109">
        <f t="shared" si="4"/>
        <v>205.5</v>
      </c>
      <c r="K44" s="102">
        <f>H44/I44</f>
        <v>4.211678832116788</v>
      </c>
      <c r="L44" s="146">
        <v>1627228.5</v>
      </c>
      <c r="M44" s="175">
        <v>190018</v>
      </c>
      <c r="N44" s="296">
        <f>+L44/M44</f>
        <v>8.563549242703322</v>
      </c>
      <c r="O44" s="204">
        <v>1</v>
      </c>
    </row>
    <row r="45" spans="1:15" ht="15">
      <c r="A45" s="186">
        <v>42</v>
      </c>
      <c r="B45" s="304" t="s">
        <v>101</v>
      </c>
      <c r="C45" s="114">
        <v>40151</v>
      </c>
      <c r="D45" s="105" t="s">
        <v>132</v>
      </c>
      <c r="E45" s="324">
        <v>128</v>
      </c>
      <c r="F45" s="324">
        <v>4</v>
      </c>
      <c r="G45" s="324">
        <v>8</v>
      </c>
      <c r="H45" s="144">
        <v>2176</v>
      </c>
      <c r="I45" s="145">
        <v>504</v>
      </c>
      <c r="J45" s="175">
        <f t="shared" si="4"/>
        <v>126</v>
      </c>
      <c r="K45" s="119">
        <f>H45/I45</f>
        <v>4.317460317460317</v>
      </c>
      <c r="L45" s="146">
        <v>1629405.5</v>
      </c>
      <c r="M45" s="175">
        <v>190522</v>
      </c>
      <c r="N45" s="297">
        <f>L45/M45</f>
        <v>8.552322041549008</v>
      </c>
      <c r="O45" s="206">
        <v>1</v>
      </c>
    </row>
    <row r="46" spans="1:15" ht="15">
      <c r="A46" s="186">
        <v>43</v>
      </c>
      <c r="B46" s="298" t="s">
        <v>168</v>
      </c>
      <c r="C46" s="114">
        <v>40151</v>
      </c>
      <c r="D46" s="105" t="s">
        <v>132</v>
      </c>
      <c r="E46" s="324">
        <v>128</v>
      </c>
      <c r="F46" s="324">
        <v>2</v>
      </c>
      <c r="G46" s="324">
        <v>11</v>
      </c>
      <c r="H46" s="222">
        <v>307</v>
      </c>
      <c r="I46" s="223">
        <v>54</v>
      </c>
      <c r="J46" s="229">
        <f t="shared" si="4"/>
        <v>27</v>
      </c>
      <c r="K46" s="121">
        <f>H46/I46</f>
        <v>5.685185185185185</v>
      </c>
      <c r="L46" s="120">
        <v>1635839.5</v>
      </c>
      <c r="M46" s="229">
        <v>191672</v>
      </c>
      <c r="N46" s="299">
        <f>+L46/M46</f>
        <v>8.534577298718645</v>
      </c>
      <c r="O46" s="202">
        <v>1</v>
      </c>
    </row>
    <row r="47" spans="1:15" ht="15">
      <c r="A47" s="186">
        <v>44</v>
      </c>
      <c r="B47" s="300" t="s">
        <v>70</v>
      </c>
      <c r="C47" s="130">
        <v>40067</v>
      </c>
      <c r="D47" s="131" t="s">
        <v>155</v>
      </c>
      <c r="E47" s="325">
        <v>51</v>
      </c>
      <c r="F47" s="325">
        <v>2</v>
      </c>
      <c r="G47" s="325">
        <v>20</v>
      </c>
      <c r="H47" s="112">
        <v>4061</v>
      </c>
      <c r="I47" s="108">
        <v>931</v>
      </c>
      <c r="J47" s="109">
        <f>(I47/F47)</f>
        <v>465.5</v>
      </c>
      <c r="K47" s="119">
        <f>+H47/I47</f>
        <v>4.361976369495166</v>
      </c>
      <c r="L47" s="113">
        <f>182949+180053+29827+20114+26140.5+10395.5+4671+3342+2340+5520+249.5+165+3602+91+952+1264+44+1663+1188+4061</f>
        <v>478631.5</v>
      </c>
      <c r="M47" s="110">
        <f>18625+17802+3355+2859+3903+1800+782+594+465+1366+90+60+905+15+238+316+11+244+297+931</f>
        <v>54658</v>
      </c>
      <c r="N47" s="301">
        <f aca="true" t="shared" si="5" ref="N47:N58">L47/M47</f>
        <v>8.756842548208862</v>
      </c>
      <c r="O47" s="205"/>
    </row>
    <row r="48" spans="1:15" ht="15">
      <c r="A48" s="186">
        <v>45</v>
      </c>
      <c r="B48" s="298" t="s">
        <v>70</v>
      </c>
      <c r="C48" s="114">
        <v>40067</v>
      </c>
      <c r="D48" s="105" t="s">
        <v>155</v>
      </c>
      <c r="E48" s="324">
        <v>51</v>
      </c>
      <c r="F48" s="324">
        <v>2</v>
      </c>
      <c r="G48" s="324">
        <v>21</v>
      </c>
      <c r="H48" s="200">
        <v>2382</v>
      </c>
      <c r="I48" s="201">
        <v>573</v>
      </c>
      <c r="J48" s="175">
        <f>I48/F48</f>
        <v>286.5</v>
      </c>
      <c r="K48" s="119">
        <f>+H48/I48</f>
        <v>4.157068062827225</v>
      </c>
      <c r="L48" s="146">
        <f>182949+180053+29827+20114+26140.5+10395.5+4671+3342+2340+5520+249.5+165+3602+91+952+1264+44+1663+1188+4061+2382</f>
        <v>481013.5</v>
      </c>
      <c r="M48" s="175">
        <f>18625+17802+3355+2859+3903+1800+782+594+465+1366+90+60+905+15+238+316+11+244+297+931+573</f>
        <v>55231</v>
      </c>
      <c r="N48" s="299">
        <f t="shared" si="5"/>
        <v>8.709121688906592</v>
      </c>
      <c r="O48" s="204"/>
    </row>
    <row r="49" spans="1:15" ht="15">
      <c r="A49" s="186">
        <v>46</v>
      </c>
      <c r="B49" s="298" t="s">
        <v>70</v>
      </c>
      <c r="C49" s="114">
        <v>40067</v>
      </c>
      <c r="D49" s="105" t="s">
        <v>155</v>
      </c>
      <c r="E49" s="324">
        <v>51</v>
      </c>
      <c r="F49" s="324">
        <v>1</v>
      </c>
      <c r="G49" s="324">
        <v>22</v>
      </c>
      <c r="H49" s="222">
        <v>2020</v>
      </c>
      <c r="I49" s="223">
        <v>505</v>
      </c>
      <c r="J49" s="229">
        <f aca="true" t="shared" si="6" ref="J49:J56">(I49/F49)</f>
        <v>505</v>
      </c>
      <c r="K49" s="121">
        <f aca="true" t="shared" si="7" ref="K49:K55">H49/I49</f>
        <v>4</v>
      </c>
      <c r="L49" s="120">
        <f>182949+180053+29827+20114+26140.5+10395.5+4671+3342+2340+5520+249.5+165+3602+91+952+1264+44+1663+1188+4061+2382+2020</f>
        <v>483033.5</v>
      </c>
      <c r="M49" s="229">
        <f>18625+17802+3355+2859+3903+1800+782+594+465+1366+90+60+905+15+238+316+11+244+297+931+573+505</f>
        <v>55736</v>
      </c>
      <c r="N49" s="299">
        <f t="shared" si="5"/>
        <v>8.666454356250897</v>
      </c>
      <c r="O49" s="202"/>
    </row>
    <row r="50" spans="1:15" ht="15">
      <c r="A50" s="186">
        <v>47</v>
      </c>
      <c r="B50" s="298" t="s">
        <v>70</v>
      </c>
      <c r="C50" s="114">
        <v>40067</v>
      </c>
      <c r="D50" s="115" t="s">
        <v>155</v>
      </c>
      <c r="E50" s="324">
        <v>51</v>
      </c>
      <c r="F50" s="324">
        <v>1</v>
      </c>
      <c r="G50" s="324">
        <v>18</v>
      </c>
      <c r="H50" s="99">
        <v>1663</v>
      </c>
      <c r="I50" s="108">
        <v>244</v>
      </c>
      <c r="J50" s="109">
        <f t="shared" si="6"/>
        <v>244</v>
      </c>
      <c r="K50" s="102">
        <f t="shared" si="7"/>
        <v>6.815573770491803</v>
      </c>
      <c r="L50" s="103">
        <f>182949+180053+29827+20114+26140.5+10395.5+4671+3342+2340+5520+249.5+165+3602+91+952+1264+44+1663</f>
        <v>473382.5</v>
      </c>
      <c r="M50" s="110">
        <f>18625+17802+3355+2859+3903+1800+782+594+465+1366+90+60+905+15+238+316+11+244</f>
        <v>53430</v>
      </c>
      <c r="N50" s="296">
        <f t="shared" si="5"/>
        <v>8.859863372637095</v>
      </c>
      <c r="O50" s="204"/>
    </row>
    <row r="51" spans="1:15" ht="15">
      <c r="A51" s="186">
        <v>48</v>
      </c>
      <c r="B51" s="298" t="s">
        <v>70</v>
      </c>
      <c r="C51" s="114">
        <v>40067</v>
      </c>
      <c r="D51" s="116" t="s">
        <v>155</v>
      </c>
      <c r="E51" s="324">
        <v>51</v>
      </c>
      <c r="F51" s="324">
        <v>2</v>
      </c>
      <c r="G51" s="324">
        <v>16</v>
      </c>
      <c r="H51" s="99">
        <v>1264</v>
      </c>
      <c r="I51" s="100">
        <v>316</v>
      </c>
      <c r="J51" s="101">
        <f t="shared" si="6"/>
        <v>158</v>
      </c>
      <c r="K51" s="102">
        <f t="shared" si="7"/>
        <v>4</v>
      </c>
      <c r="L51" s="103">
        <f>182949+180053+29827+20114+26140.5+10395.5+4671+3342+2340+5520+249.5+165+3602+91+952+1264</f>
        <v>471675.5</v>
      </c>
      <c r="M51" s="104">
        <f>18625+17802+3355+2859+3903+1800+782+594+465+1366+90+60+905+15+238+316</f>
        <v>53175</v>
      </c>
      <c r="N51" s="296">
        <f t="shared" si="5"/>
        <v>8.870249177244945</v>
      </c>
      <c r="O51" s="202"/>
    </row>
    <row r="52" spans="1:15" ht="15">
      <c r="A52" s="186">
        <v>49</v>
      </c>
      <c r="B52" s="298" t="s">
        <v>70</v>
      </c>
      <c r="C52" s="114">
        <v>40067</v>
      </c>
      <c r="D52" s="116" t="s">
        <v>155</v>
      </c>
      <c r="E52" s="324">
        <v>51</v>
      </c>
      <c r="F52" s="324">
        <v>1</v>
      </c>
      <c r="G52" s="324">
        <v>19</v>
      </c>
      <c r="H52" s="112">
        <v>1188</v>
      </c>
      <c r="I52" s="108">
        <v>297</v>
      </c>
      <c r="J52" s="109">
        <f t="shared" si="6"/>
        <v>297</v>
      </c>
      <c r="K52" s="102">
        <f t="shared" si="7"/>
        <v>4</v>
      </c>
      <c r="L52" s="113">
        <f>182949+180053+29827+20114+26140.5+10395.5+4671+3342+2340+5520+249.5+165+3602+91+952+1264+44+1663+1188</f>
        <v>474570.5</v>
      </c>
      <c r="M52" s="110">
        <f>18625+17802+3355+2859+3903+1800+782+594+465+1366+90+60+905+15+238+316+11+244+297</f>
        <v>53727</v>
      </c>
      <c r="N52" s="296">
        <f t="shared" si="5"/>
        <v>8.832998306251978</v>
      </c>
      <c r="O52" s="204"/>
    </row>
    <row r="53" spans="1:15" ht="15">
      <c r="A53" s="186">
        <v>50</v>
      </c>
      <c r="B53" s="298" t="s">
        <v>70</v>
      </c>
      <c r="C53" s="114">
        <v>40067</v>
      </c>
      <c r="D53" s="115" t="s">
        <v>155</v>
      </c>
      <c r="E53" s="324">
        <v>51</v>
      </c>
      <c r="F53" s="324">
        <v>1</v>
      </c>
      <c r="G53" s="324">
        <v>17</v>
      </c>
      <c r="H53" s="99">
        <v>44</v>
      </c>
      <c r="I53" s="100">
        <v>11</v>
      </c>
      <c r="J53" s="101">
        <f t="shared" si="6"/>
        <v>11</v>
      </c>
      <c r="K53" s="106">
        <f t="shared" si="7"/>
        <v>4</v>
      </c>
      <c r="L53" s="103">
        <f>182949+180053+29827+20114+26140.5+10395.5+4671+3342+2340+5520+249.5+165+3602+91+952+1264+44</f>
        <v>471719.5</v>
      </c>
      <c r="M53" s="104">
        <f>18625+17802+3355+2859+3903+1800+782+594+465+1366+90+60+905+15+238+316+11</f>
        <v>53186</v>
      </c>
      <c r="N53" s="295">
        <f t="shared" si="5"/>
        <v>8.869241905764675</v>
      </c>
      <c r="O53" s="202"/>
    </row>
    <row r="54" spans="1:15" ht="15">
      <c r="A54" s="186">
        <v>51</v>
      </c>
      <c r="B54" s="298" t="s">
        <v>90</v>
      </c>
      <c r="C54" s="114">
        <v>40172</v>
      </c>
      <c r="D54" s="116" t="s">
        <v>155</v>
      </c>
      <c r="E54" s="324">
        <v>60</v>
      </c>
      <c r="F54" s="324">
        <v>60</v>
      </c>
      <c r="G54" s="324">
        <v>2</v>
      </c>
      <c r="H54" s="99">
        <v>397159.5</v>
      </c>
      <c r="I54" s="100">
        <v>40733</v>
      </c>
      <c r="J54" s="101">
        <f t="shared" si="6"/>
        <v>678.8833333333333</v>
      </c>
      <c r="K54" s="102">
        <f t="shared" si="7"/>
        <v>9.750313014018118</v>
      </c>
      <c r="L54" s="103">
        <f>421775.5+397159.5</f>
        <v>818935</v>
      </c>
      <c r="M54" s="104">
        <f>43739+40733</f>
        <v>84472</v>
      </c>
      <c r="N54" s="296">
        <f t="shared" si="5"/>
        <v>9.694750923382896</v>
      </c>
      <c r="O54" s="202"/>
    </row>
    <row r="55" spans="1:15" ht="15">
      <c r="A55" s="186">
        <v>52</v>
      </c>
      <c r="B55" s="298" t="s">
        <v>90</v>
      </c>
      <c r="C55" s="114">
        <v>40172</v>
      </c>
      <c r="D55" s="116" t="s">
        <v>155</v>
      </c>
      <c r="E55" s="324">
        <v>60</v>
      </c>
      <c r="F55" s="324">
        <v>60</v>
      </c>
      <c r="G55" s="324">
        <v>3</v>
      </c>
      <c r="H55" s="99">
        <v>287050</v>
      </c>
      <c r="I55" s="100">
        <v>31780</v>
      </c>
      <c r="J55" s="101">
        <f t="shared" si="6"/>
        <v>529.6666666666666</v>
      </c>
      <c r="K55" s="106">
        <f t="shared" si="7"/>
        <v>9.032410320956576</v>
      </c>
      <c r="L55" s="103">
        <f>421775.5+397095.5+287050</f>
        <v>1105921</v>
      </c>
      <c r="M55" s="104">
        <f>43739+40732+31780</f>
        <v>116251</v>
      </c>
      <c r="N55" s="295">
        <f t="shared" si="5"/>
        <v>9.513217090605671</v>
      </c>
      <c r="O55" s="202"/>
    </row>
    <row r="56" spans="1:15" ht="15">
      <c r="A56" s="186">
        <v>53</v>
      </c>
      <c r="B56" s="298" t="s">
        <v>90</v>
      </c>
      <c r="C56" s="130">
        <v>40172</v>
      </c>
      <c r="D56" s="131" t="s">
        <v>155</v>
      </c>
      <c r="E56" s="325">
        <v>60</v>
      </c>
      <c r="F56" s="325">
        <v>60</v>
      </c>
      <c r="G56" s="325">
        <v>6</v>
      </c>
      <c r="H56" s="112">
        <v>180729.5</v>
      </c>
      <c r="I56" s="108">
        <v>24895</v>
      </c>
      <c r="J56" s="109">
        <f t="shared" si="6"/>
        <v>414.9166666666667</v>
      </c>
      <c r="K56" s="119">
        <f>+H56/I56</f>
        <v>7.259670616589677</v>
      </c>
      <c r="L56" s="113">
        <f>421775.5+397095.5+287050+215248.5+189819.5+180729.5</f>
        <v>1691718.5</v>
      </c>
      <c r="M56" s="110">
        <f>43739+40732+31780+27356+25902+24895</f>
        <v>194404</v>
      </c>
      <c r="N56" s="301">
        <f t="shared" si="5"/>
        <v>8.702076603362071</v>
      </c>
      <c r="O56" s="205"/>
    </row>
    <row r="57" spans="1:15" ht="15">
      <c r="A57" s="186">
        <v>54</v>
      </c>
      <c r="B57" s="298" t="s">
        <v>90</v>
      </c>
      <c r="C57" s="114">
        <v>40172</v>
      </c>
      <c r="D57" s="105" t="s">
        <v>155</v>
      </c>
      <c r="E57" s="324">
        <v>60</v>
      </c>
      <c r="F57" s="324">
        <v>60</v>
      </c>
      <c r="G57" s="324">
        <v>7</v>
      </c>
      <c r="H57" s="200">
        <v>86816.5</v>
      </c>
      <c r="I57" s="201">
        <v>12153</v>
      </c>
      <c r="J57" s="175">
        <f>I57/F57</f>
        <v>202.55</v>
      </c>
      <c r="K57" s="119">
        <f>+H57/I57</f>
        <v>7.14362708796182</v>
      </c>
      <c r="L57" s="146">
        <f>421775.5+397095.5+287050+215248.5+189819.5+180729.5+86816.5</f>
        <v>1778535</v>
      </c>
      <c r="M57" s="175">
        <f>43739+40732+31780+27356+25902+24895+12153</f>
        <v>206557</v>
      </c>
      <c r="N57" s="299">
        <f t="shared" si="5"/>
        <v>8.610383574509699</v>
      </c>
      <c r="O57" s="204"/>
    </row>
    <row r="58" spans="1:15" ht="15">
      <c r="A58" s="186">
        <v>55</v>
      </c>
      <c r="B58" s="298" t="s">
        <v>90</v>
      </c>
      <c r="C58" s="114">
        <v>40172</v>
      </c>
      <c r="D58" s="105" t="s">
        <v>155</v>
      </c>
      <c r="E58" s="324">
        <v>60</v>
      </c>
      <c r="F58" s="324">
        <v>36</v>
      </c>
      <c r="G58" s="324">
        <v>8</v>
      </c>
      <c r="H58" s="222">
        <v>23840</v>
      </c>
      <c r="I58" s="223">
        <v>4496</v>
      </c>
      <c r="J58" s="229">
        <f>(I58/F58)</f>
        <v>124.88888888888889</v>
      </c>
      <c r="K58" s="121">
        <f aca="true" t="shared" si="8" ref="K58:K64">H58/I58</f>
        <v>5.302491103202847</v>
      </c>
      <c r="L58" s="120">
        <f>421775.5+397095.5+287050+215248.5+189819.5+180729.5+86816.5+23840</f>
        <v>1802375</v>
      </c>
      <c r="M58" s="229">
        <f>43739+40732+31780+27356+25902+24895+12153+4496</f>
        <v>211053</v>
      </c>
      <c r="N58" s="299">
        <f t="shared" si="5"/>
        <v>8.539916513861447</v>
      </c>
      <c r="O58" s="202"/>
    </row>
    <row r="59" spans="1:15" ht="15">
      <c r="A59" s="186">
        <v>56</v>
      </c>
      <c r="B59" s="298" t="s">
        <v>90</v>
      </c>
      <c r="C59" s="114">
        <v>40172</v>
      </c>
      <c r="D59" s="105" t="s">
        <v>155</v>
      </c>
      <c r="E59" s="324">
        <v>60</v>
      </c>
      <c r="F59" s="324">
        <v>29</v>
      </c>
      <c r="G59" s="324">
        <v>9</v>
      </c>
      <c r="H59" s="222">
        <v>19148</v>
      </c>
      <c r="I59" s="223">
        <v>3179</v>
      </c>
      <c r="J59" s="229">
        <f>I59/F59</f>
        <v>109.62068965517241</v>
      </c>
      <c r="K59" s="121">
        <f t="shared" si="8"/>
        <v>6.023277760301982</v>
      </c>
      <c r="L59" s="120">
        <f>421775.5+397095.5+287050+215248.5+189819.5+180729.5+86816.5+23840+19148</f>
        <v>1821523</v>
      </c>
      <c r="M59" s="229">
        <f>43739+40732+31780+27356+25902+24895+12153+4496+3179</f>
        <v>214232</v>
      </c>
      <c r="N59" s="299">
        <f>+L59/M59</f>
        <v>8.502571978042496</v>
      </c>
      <c r="O59" s="232"/>
    </row>
    <row r="60" spans="1:15" ht="15">
      <c r="A60" s="186">
        <v>57</v>
      </c>
      <c r="B60" s="298" t="s">
        <v>90</v>
      </c>
      <c r="C60" s="114">
        <v>40172</v>
      </c>
      <c r="D60" s="105" t="s">
        <v>155</v>
      </c>
      <c r="E60" s="324">
        <v>60</v>
      </c>
      <c r="F60" s="324">
        <v>21</v>
      </c>
      <c r="G60" s="324">
        <v>10</v>
      </c>
      <c r="H60" s="211">
        <v>14942.5</v>
      </c>
      <c r="I60" s="212">
        <v>3069</v>
      </c>
      <c r="J60" s="229">
        <f>I60/F60</f>
        <v>146.14285714285714</v>
      </c>
      <c r="K60" s="121">
        <f>H60/I60</f>
        <v>4.868849788204627</v>
      </c>
      <c r="L60" s="215">
        <f>421775.5+397095.5+287050+215248.5+189819.5+180729.5+86816.5+23840+19148+14942.5</f>
        <v>1836465.5</v>
      </c>
      <c r="M60" s="213">
        <f>43739+40732+31780+27356+25902+24895+12153+4496+3179+3069</f>
        <v>217301</v>
      </c>
      <c r="N60" s="299">
        <f>+L60/M60</f>
        <v>8.451251950060055</v>
      </c>
      <c r="O60" s="232"/>
    </row>
    <row r="61" spans="1:15" ht="15">
      <c r="A61" s="186">
        <v>58</v>
      </c>
      <c r="B61" s="298" t="s">
        <v>100</v>
      </c>
      <c r="C61" s="114">
        <v>40123</v>
      </c>
      <c r="D61" s="115" t="s">
        <v>155</v>
      </c>
      <c r="E61" s="324">
        <v>144</v>
      </c>
      <c r="F61" s="324">
        <v>8</v>
      </c>
      <c r="G61" s="324">
        <v>10</v>
      </c>
      <c r="H61" s="99">
        <v>13616</v>
      </c>
      <c r="I61" s="100">
        <v>2381</v>
      </c>
      <c r="J61" s="101">
        <f aca="true" t="shared" si="9" ref="J61:J74">(I61/F61)</f>
        <v>297.625</v>
      </c>
      <c r="K61" s="106">
        <f t="shared" si="8"/>
        <v>5.718605627887443</v>
      </c>
      <c r="L61" s="103">
        <f>909778+593215.5+203934.5+91391+32233.5+29451.5+14597.5+12123.5+12906+13616</f>
        <v>1913247</v>
      </c>
      <c r="M61" s="104">
        <f>103944+67300+25860+13426+5611+5689+2739+1975+2803+2381</f>
        <v>231728</v>
      </c>
      <c r="N61" s="295">
        <f aca="true" t="shared" si="10" ref="N61:N74">L61/M61</f>
        <v>8.256434267762204</v>
      </c>
      <c r="O61" s="202">
        <v>1</v>
      </c>
    </row>
    <row r="62" spans="1:15" ht="15">
      <c r="A62" s="186">
        <v>59</v>
      </c>
      <c r="B62" s="298" t="s">
        <v>100</v>
      </c>
      <c r="C62" s="114">
        <v>40123</v>
      </c>
      <c r="D62" s="116" t="s">
        <v>155</v>
      </c>
      <c r="E62" s="324">
        <v>144</v>
      </c>
      <c r="F62" s="324">
        <v>12</v>
      </c>
      <c r="G62" s="324">
        <v>9</v>
      </c>
      <c r="H62" s="99">
        <v>12906</v>
      </c>
      <c r="I62" s="100">
        <v>2803</v>
      </c>
      <c r="J62" s="101">
        <f t="shared" si="9"/>
        <v>233.58333333333334</v>
      </c>
      <c r="K62" s="102">
        <f t="shared" si="8"/>
        <v>4.6043524794862645</v>
      </c>
      <c r="L62" s="103">
        <f>909778+593215.5+203934.5+91391+32233.5+29451.5+14597.5+12123.5+12906</f>
        <v>1899631</v>
      </c>
      <c r="M62" s="104">
        <f>103944+67300+25860+13426+5611+5689+2739+1975+2803</f>
        <v>229347</v>
      </c>
      <c r="N62" s="296">
        <f t="shared" si="10"/>
        <v>8.282781113334815</v>
      </c>
      <c r="O62" s="202">
        <v>1</v>
      </c>
    </row>
    <row r="63" spans="1:15" ht="15">
      <c r="A63" s="186">
        <v>60</v>
      </c>
      <c r="B63" s="298" t="s">
        <v>100</v>
      </c>
      <c r="C63" s="114">
        <v>40123</v>
      </c>
      <c r="D63" s="116" t="s">
        <v>155</v>
      </c>
      <c r="E63" s="324">
        <v>144</v>
      </c>
      <c r="F63" s="324">
        <v>7</v>
      </c>
      <c r="G63" s="324">
        <v>12</v>
      </c>
      <c r="H63" s="112">
        <v>7885.5</v>
      </c>
      <c r="I63" s="108">
        <v>1755</v>
      </c>
      <c r="J63" s="109">
        <f t="shared" si="9"/>
        <v>250.71428571428572</v>
      </c>
      <c r="K63" s="102">
        <f t="shared" si="8"/>
        <v>4.493162393162393</v>
      </c>
      <c r="L63" s="113">
        <f>909778+593215.5+203934.5+91391+32233.5+29451.5+14597.5+12123.5+12906+13616+5350+7885.5</f>
        <v>1926482.5</v>
      </c>
      <c r="M63" s="110">
        <f>103944+67300+25860+13426+5611+5689+2739+1975+2803+2381+1177+1755</f>
        <v>234660</v>
      </c>
      <c r="N63" s="296">
        <f t="shared" si="10"/>
        <v>8.209675701014234</v>
      </c>
      <c r="O63" s="204">
        <v>1</v>
      </c>
    </row>
    <row r="64" spans="1:15" ht="15">
      <c r="A64" s="186">
        <v>61</v>
      </c>
      <c r="B64" s="300" t="s">
        <v>100</v>
      </c>
      <c r="C64" s="130">
        <v>40123</v>
      </c>
      <c r="D64" s="131" t="s">
        <v>155</v>
      </c>
      <c r="E64" s="325">
        <v>144</v>
      </c>
      <c r="F64" s="325">
        <v>2</v>
      </c>
      <c r="G64" s="325">
        <v>11</v>
      </c>
      <c r="H64" s="99">
        <v>5350</v>
      </c>
      <c r="I64" s="108">
        <v>1177</v>
      </c>
      <c r="J64" s="109">
        <f t="shared" si="9"/>
        <v>588.5</v>
      </c>
      <c r="K64" s="102">
        <f t="shared" si="8"/>
        <v>4.545454545454546</v>
      </c>
      <c r="L64" s="103">
        <f>909778+593215.5+203934.5+91391+32233.5+29451.5+14597.5+12123.5+12906+13616+5350</f>
        <v>1918597</v>
      </c>
      <c r="M64" s="110">
        <f>103944+67300+25860+13426+5611+5689+2739+1975+2803+2381+1177</f>
        <v>232905</v>
      </c>
      <c r="N64" s="296">
        <f t="shared" si="10"/>
        <v>8.237680599386016</v>
      </c>
      <c r="O64" s="204">
        <v>1</v>
      </c>
    </row>
    <row r="65" spans="1:15" ht="15">
      <c r="A65" s="186">
        <v>62</v>
      </c>
      <c r="B65" s="298" t="s">
        <v>100</v>
      </c>
      <c r="C65" s="114">
        <v>40123</v>
      </c>
      <c r="D65" s="105" t="s">
        <v>155</v>
      </c>
      <c r="E65" s="324">
        <v>144</v>
      </c>
      <c r="F65" s="324">
        <v>3</v>
      </c>
      <c r="G65" s="324">
        <v>14</v>
      </c>
      <c r="H65" s="200">
        <v>3662</v>
      </c>
      <c r="I65" s="201">
        <v>881</v>
      </c>
      <c r="J65" s="175">
        <f t="shared" si="9"/>
        <v>293.6666666666667</v>
      </c>
      <c r="K65" s="119">
        <f>(J65/G65)</f>
        <v>20.976190476190478</v>
      </c>
      <c r="L65" s="146">
        <f>909778+593215.5+203934.5+91391+32233.5+29451.5+14597.5+12123.5+12906+13616+5350+7885.5+2130+3662</f>
        <v>1932274.5</v>
      </c>
      <c r="M65" s="175">
        <f>103944+67300+25860+13426+5611+5689+2739+1975+2803+2381+1177+1755+350+881</f>
        <v>235891</v>
      </c>
      <c r="N65" s="299">
        <f t="shared" si="10"/>
        <v>8.191387123713918</v>
      </c>
      <c r="O65" s="204">
        <v>1</v>
      </c>
    </row>
    <row r="66" spans="1:15" ht="15">
      <c r="A66" s="186">
        <v>63</v>
      </c>
      <c r="B66" s="298" t="s">
        <v>100</v>
      </c>
      <c r="C66" s="114">
        <v>40123</v>
      </c>
      <c r="D66" s="105" t="s">
        <v>155</v>
      </c>
      <c r="E66" s="324">
        <v>144</v>
      </c>
      <c r="F66" s="324">
        <v>2</v>
      </c>
      <c r="G66" s="324">
        <v>15</v>
      </c>
      <c r="H66" s="222">
        <v>3564</v>
      </c>
      <c r="I66" s="223">
        <v>891</v>
      </c>
      <c r="J66" s="229">
        <f t="shared" si="9"/>
        <v>445.5</v>
      </c>
      <c r="K66" s="121">
        <f>H66/I66</f>
        <v>4</v>
      </c>
      <c r="L66" s="120">
        <f>909778+593215.5+203934.5+91391+32233.5+29451.5+14597.5+12123.5+12906+13616+5350+7885.5+2130+3662+3564</f>
        <v>1935838.5</v>
      </c>
      <c r="M66" s="229">
        <f>103944+67300+25860+13426+5611+5689+2739+1975+2803+2381+1177+1755+350+881+891</f>
        <v>236782</v>
      </c>
      <c r="N66" s="299">
        <f t="shared" si="10"/>
        <v>8.175615122771157</v>
      </c>
      <c r="O66" s="202">
        <v>1</v>
      </c>
    </row>
    <row r="67" spans="1:15" ht="15">
      <c r="A67" s="186">
        <v>64</v>
      </c>
      <c r="B67" s="300" t="s">
        <v>2</v>
      </c>
      <c r="C67" s="130">
        <v>40123</v>
      </c>
      <c r="D67" s="131" t="s">
        <v>155</v>
      </c>
      <c r="E67" s="325">
        <v>144</v>
      </c>
      <c r="F67" s="325">
        <v>3</v>
      </c>
      <c r="G67" s="325">
        <v>13</v>
      </c>
      <c r="H67" s="112">
        <v>2130</v>
      </c>
      <c r="I67" s="108">
        <v>350</v>
      </c>
      <c r="J67" s="109">
        <f t="shared" si="9"/>
        <v>116.66666666666667</v>
      </c>
      <c r="K67" s="119">
        <f>+H67/I67</f>
        <v>6.085714285714285</v>
      </c>
      <c r="L67" s="113">
        <f>909778+593215.5+203934.5+91391+32233.5+29451.5+14597.5+12123.5+12906+13616+5350+7885.5+2130</f>
        <v>1928612.5</v>
      </c>
      <c r="M67" s="110">
        <f>103944+67300+25860+13426+5611+5689+2739+1975+2803+2381+1177+1755+350</f>
        <v>235010</v>
      </c>
      <c r="N67" s="301">
        <f t="shared" si="10"/>
        <v>8.206512488830263</v>
      </c>
      <c r="O67" s="205">
        <v>1</v>
      </c>
    </row>
    <row r="68" spans="1:15" ht="15">
      <c r="A68" s="186">
        <v>65</v>
      </c>
      <c r="B68" s="298" t="s">
        <v>87</v>
      </c>
      <c r="C68" s="114">
        <v>40165</v>
      </c>
      <c r="D68" s="116" t="s">
        <v>155</v>
      </c>
      <c r="E68" s="324">
        <v>125</v>
      </c>
      <c r="F68" s="324">
        <v>156</v>
      </c>
      <c r="G68" s="324">
        <v>3</v>
      </c>
      <c r="H68" s="99">
        <v>3469556.5</v>
      </c>
      <c r="I68" s="100">
        <v>309119</v>
      </c>
      <c r="J68" s="101">
        <f t="shared" si="9"/>
        <v>1981.5320512820513</v>
      </c>
      <c r="K68" s="102">
        <f>H68/I68</f>
        <v>11.224015670340549</v>
      </c>
      <c r="L68" s="103">
        <f>4033069.5+3582182.5+3469556.5</f>
        <v>11084808.5</v>
      </c>
      <c r="M68" s="104">
        <f>383242+338340+309119</f>
        <v>1030701</v>
      </c>
      <c r="N68" s="296">
        <f t="shared" si="10"/>
        <v>10.754630586367918</v>
      </c>
      <c r="O68" s="202"/>
    </row>
    <row r="69" spans="1:15" ht="15">
      <c r="A69" s="186">
        <v>66</v>
      </c>
      <c r="B69" s="300" t="s">
        <v>87</v>
      </c>
      <c r="C69" s="130">
        <v>40165</v>
      </c>
      <c r="D69" s="131" t="s">
        <v>155</v>
      </c>
      <c r="E69" s="325">
        <v>125</v>
      </c>
      <c r="F69" s="325">
        <v>156</v>
      </c>
      <c r="G69" s="325">
        <v>5</v>
      </c>
      <c r="H69" s="99">
        <v>3107541.5</v>
      </c>
      <c r="I69" s="108">
        <v>290779</v>
      </c>
      <c r="J69" s="109">
        <f t="shared" si="9"/>
        <v>1863.9679487179487</v>
      </c>
      <c r="K69" s="102">
        <f>H69/I69</f>
        <v>10.686952978034865</v>
      </c>
      <c r="L69" s="103">
        <f>4033069.5+3582182.5+3469556.5+3099545+3107541.5</f>
        <v>17291895</v>
      </c>
      <c r="M69" s="110">
        <f>383242+338340+309119+280170+290779</f>
        <v>1601650</v>
      </c>
      <c r="N69" s="296">
        <f t="shared" si="10"/>
        <v>10.796300689913526</v>
      </c>
      <c r="O69" s="204"/>
    </row>
    <row r="70" spans="1:15" ht="15">
      <c r="A70" s="186">
        <v>67</v>
      </c>
      <c r="B70" s="298" t="s">
        <v>87</v>
      </c>
      <c r="C70" s="114">
        <v>40165</v>
      </c>
      <c r="D70" s="115" t="s">
        <v>155</v>
      </c>
      <c r="E70" s="324">
        <v>125</v>
      </c>
      <c r="F70" s="324">
        <v>158</v>
      </c>
      <c r="G70" s="324">
        <v>4</v>
      </c>
      <c r="H70" s="99">
        <v>3099545</v>
      </c>
      <c r="I70" s="100">
        <v>280170</v>
      </c>
      <c r="J70" s="101">
        <f t="shared" si="9"/>
        <v>1773.2278481012659</v>
      </c>
      <c r="K70" s="106">
        <f>H70/I70</f>
        <v>11.063086697362316</v>
      </c>
      <c r="L70" s="103">
        <f>4033069.5+3582182.5+3469556.5+3099545</f>
        <v>14184353.5</v>
      </c>
      <c r="M70" s="104">
        <f>383242+338340+309119+280170</f>
        <v>1310871</v>
      </c>
      <c r="N70" s="295">
        <f t="shared" si="10"/>
        <v>10.820556332392737</v>
      </c>
      <c r="O70" s="202"/>
    </row>
    <row r="71" spans="1:15" ht="15">
      <c r="A71" s="186">
        <v>68</v>
      </c>
      <c r="B71" s="298" t="s">
        <v>87</v>
      </c>
      <c r="C71" s="114">
        <v>40165</v>
      </c>
      <c r="D71" s="116" t="s">
        <v>155</v>
      </c>
      <c r="E71" s="324">
        <v>125</v>
      </c>
      <c r="F71" s="324">
        <v>146</v>
      </c>
      <c r="G71" s="324">
        <v>6</v>
      </c>
      <c r="H71" s="112">
        <v>2751160</v>
      </c>
      <c r="I71" s="108">
        <v>261753</v>
      </c>
      <c r="J71" s="109">
        <f t="shared" si="9"/>
        <v>1792.8287671232877</v>
      </c>
      <c r="K71" s="102">
        <f>H71/I71</f>
        <v>10.510519459184804</v>
      </c>
      <c r="L71" s="113">
        <f>4033069.5+3582182.5+3469556.5+3099545+3107521.5+2751160</f>
        <v>20043035</v>
      </c>
      <c r="M71" s="110">
        <f>383242+338340+309119+280170+290777+261753</f>
        <v>1863401</v>
      </c>
      <c r="N71" s="296">
        <f t="shared" si="10"/>
        <v>10.756157692305628</v>
      </c>
      <c r="O71" s="204"/>
    </row>
    <row r="72" spans="1:15" ht="15">
      <c r="A72" s="186">
        <v>69</v>
      </c>
      <c r="B72" s="300" t="s">
        <v>87</v>
      </c>
      <c r="C72" s="130">
        <v>40165</v>
      </c>
      <c r="D72" s="131" t="s">
        <v>155</v>
      </c>
      <c r="E72" s="325">
        <v>125</v>
      </c>
      <c r="F72" s="325">
        <v>147</v>
      </c>
      <c r="G72" s="325">
        <v>7</v>
      </c>
      <c r="H72" s="112">
        <v>2297673.5</v>
      </c>
      <c r="I72" s="108">
        <v>222617</v>
      </c>
      <c r="J72" s="109">
        <f t="shared" si="9"/>
        <v>1514.4013605442176</v>
      </c>
      <c r="K72" s="119">
        <f>+H72/I72</f>
        <v>10.32119514682167</v>
      </c>
      <c r="L72" s="113">
        <f>4033069.5+3582182.5+3469556.5+3099545+3107521.5+2751160+2297673.5</f>
        <v>22340708.5</v>
      </c>
      <c r="M72" s="110">
        <f>383242+338340+309119+280170+290777+261753+222617</f>
        <v>2086018</v>
      </c>
      <c r="N72" s="301">
        <f t="shared" si="10"/>
        <v>10.709739081829591</v>
      </c>
      <c r="O72" s="205"/>
    </row>
    <row r="73" spans="1:15" ht="15">
      <c r="A73" s="186">
        <v>70</v>
      </c>
      <c r="B73" s="298" t="s">
        <v>87</v>
      </c>
      <c r="C73" s="114">
        <v>40165</v>
      </c>
      <c r="D73" s="105" t="s">
        <v>155</v>
      </c>
      <c r="E73" s="324">
        <v>125</v>
      </c>
      <c r="F73" s="324">
        <v>147</v>
      </c>
      <c r="G73" s="324">
        <v>8</v>
      </c>
      <c r="H73" s="200">
        <v>1520298</v>
      </c>
      <c r="I73" s="201">
        <v>140396</v>
      </c>
      <c r="J73" s="175">
        <f t="shared" si="9"/>
        <v>955.0748299319728</v>
      </c>
      <c r="K73" s="119">
        <f>(J73/G73)</f>
        <v>119.3843537414966</v>
      </c>
      <c r="L73" s="146">
        <f>4033069.5+3582182.5+3469556.5+3099545+3107521.5+2751160+2297673.5+1520298</f>
        <v>23861006.5</v>
      </c>
      <c r="M73" s="175">
        <f>383242+338340+309119+280170+290777+261753+222617+140396</f>
        <v>2226414</v>
      </c>
      <c r="N73" s="299">
        <f t="shared" si="10"/>
        <v>10.717237000845305</v>
      </c>
      <c r="O73" s="204"/>
    </row>
    <row r="74" spans="1:15" ht="15">
      <c r="A74" s="186">
        <v>71</v>
      </c>
      <c r="B74" s="298" t="s">
        <v>87</v>
      </c>
      <c r="C74" s="114">
        <v>40165</v>
      </c>
      <c r="D74" s="105" t="s">
        <v>155</v>
      </c>
      <c r="E74" s="324">
        <v>125</v>
      </c>
      <c r="F74" s="324">
        <v>122</v>
      </c>
      <c r="G74" s="324">
        <v>9</v>
      </c>
      <c r="H74" s="222">
        <v>778693.5</v>
      </c>
      <c r="I74" s="223">
        <v>74659</v>
      </c>
      <c r="J74" s="229">
        <f t="shared" si="9"/>
        <v>611.9590163934427</v>
      </c>
      <c r="K74" s="121">
        <f>(J74/G74)</f>
        <v>67.99544626593807</v>
      </c>
      <c r="L74" s="120">
        <f>4033069.5+3582182.5+3469556.5+3099545+3107521.5+2751160+2297667.5+1520298+788693.5</f>
        <v>24649694</v>
      </c>
      <c r="M74" s="229">
        <f>383242+338340+309119+280170+290777+261753+222617+140396+74659</f>
        <v>2301073</v>
      </c>
      <c r="N74" s="299">
        <f t="shared" si="10"/>
        <v>10.712260758350562</v>
      </c>
      <c r="O74" s="202"/>
    </row>
    <row r="75" spans="1:15" ht="15">
      <c r="A75" s="186">
        <v>72</v>
      </c>
      <c r="B75" s="298" t="s">
        <v>87</v>
      </c>
      <c r="C75" s="114">
        <v>40165</v>
      </c>
      <c r="D75" s="105" t="s">
        <v>155</v>
      </c>
      <c r="E75" s="324">
        <v>125</v>
      </c>
      <c r="F75" s="324">
        <v>106</v>
      </c>
      <c r="G75" s="324">
        <v>10</v>
      </c>
      <c r="H75" s="222">
        <v>562184.5</v>
      </c>
      <c r="I75" s="223">
        <v>50484</v>
      </c>
      <c r="J75" s="229">
        <f>I75/F75</f>
        <v>476.2641509433962</v>
      </c>
      <c r="K75" s="121">
        <f>H75/I75</f>
        <v>11.135894540844625</v>
      </c>
      <c r="L75" s="120">
        <f>4033069.5+3582182.5+3469556.5+3099545+3107521.5+2751160+2297667.5+1520298+788693.5+562184.5</f>
        <v>25211878.5</v>
      </c>
      <c r="M75" s="229">
        <f>383242+338340+309119+280170+290777+261753+222617+140396+74659+50484</f>
        <v>2351557</v>
      </c>
      <c r="N75" s="299">
        <f>+L75/M75</f>
        <v>10.721355467887872</v>
      </c>
      <c r="O75" s="232"/>
    </row>
    <row r="76" spans="1:15" ht="15">
      <c r="A76" s="186">
        <v>73</v>
      </c>
      <c r="B76" s="298" t="s">
        <v>87</v>
      </c>
      <c r="C76" s="224">
        <v>40165</v>
      </c>
      <c r="D76" s="105" t="s">
        <v>155</v>
      </c>
      <c r="E76" s="270">
        <v>125</v>
      </c>
      <c r="F76" s="270">
        <v>64</v>
      </c>
      <c r="G76" s="270">
        <v>11</v>
      </c>
      <c r="H76" s="226">
        <v>348660.5</v>
      </c>
      <c r="I76" s="227">
        <v>29496</v>
      </c>
      <c r="J76" s="229">
        <f>(I76/F76)</f>
        <v>460.875</v>
      </c>
      <c r="K76" s="121">
        <f>H76/I76</f>
        <v>11.820602793599132</v>
      </c>
      <c r="L76" s="120">
        <f>4033069.5+3582182.5+3469556.5+3099545+3107521.5+2751160+2297667.5+1520298+788693.5+562184.5+348660.5</f>
        <v>25560539</v>
      </c>
      <c r="M76" s="229">
        <f>383242+338340+309119+280170+290777+261753+222617+140396+74659+50484+29496</f>
        <v>2381053</v>
      </c>
      <c r="N76" s="299">
        <f>L76/M76</f>
        <v>10.73497272005285</v>
      </c>
      <c r="O76" s="236"/>
    </row>
    <row r="77" spans="1:15" ht="15">
      <c r="A77" s="186">
        <v>74</v>
      </c>
      <c r="B77" s="294" t="s">
        <v>94</v>
      </c>
      <c r="C77" s="97">
        <v>40165</v>
      </c>
      <c r="D77" s="105" t="s">
        <v>157</v>
      </c>
      <c r="E77" s="323">
        <v>38</v>
      </c>
      <c r="F77" s="323">
        <v>40</v>
      </c>
      <c r="G77" s="323">
        <v>4</v>
      </c>
      <c r="H77" s="122">
        <v>118129</v>
      </c>
      <c r="I77" s="127">
        <v>14601</v>
      </c>
      <c r="J77" s="128">
        <f>IF(H77&lt;&gt;0,I77/F77,"")</f>
        <v>365.025</v>
      </c>
      <c r="K77" s="129">
        <f>IF(H77&lt;&gt;0,H77/I77,"")</f>
        <v>8.090473255256489</v>
      </c>
      <c r="L77" s="126">
        <v>736893.5</v>
      </c>
      <c r="M77" s="229">
        <v>81207</v>
      </c>
      <c r="N77" s="303">
        <f>IF(L77&lt;&gt;0,L77/M77,"")</f>
        <v>9.074260839582795</v>
      </c>
      <c r="O77" s="203">
        <v>1</v>
      </c>
    </row>
    <row r="78" spans="1:15" ht="15">
      <c r="A78" s="186">
        <v>75</v>
      </c>
      <c r="B78" s="294" t="s">
        <v>20</v>
      </c>
      <c r="C78" s="97">
        <v>40165</v>
      </c>
      <c r="D78" s="105" t="s">
        <v>157</v>
      </c>
      <c r="E78" s="323">
        <v>38</v>
      </c>
      <c r="F78" s="323">
        <v>39</v>
      </c>
      <c r="G78" s="323">
        <v>5</v>
      </c>
      <c r="H78" s="122">
        <v>117691</v>
      </c>
      <c r="I78" s="123">
        <v>16123</v>
      </c>
      <c r="J78" s="124">
        <f>IF(H78&lt;&gt;0,I78/F78,"")</f>
        <v>413.4102564102564</v>
      </c>
      <c r="K78" s="125">
        <f>IF(H78&lt;&gt;0,H78/I78,"")</f>
        <v>7.299572039942938</v>
      </c>
      <c r="L78" s="126">
        <v>854584.5</v>
      </c>
      <c r="M78" s="175">
        <v>97330</v>
      </c>
      <c r="N78" s="302">
        <f>IF(L78&lt;&gt;0,L78/M78,"")</f>
        <v>8.780278434192951</v>
      </c>
      <c r="O78" s="204">
        <v>1</v>
      </c>
    </row>
    <row r="79" spans="1:15" ht="15">
      <c r="A79" s="186">
        <v>76</v>
      </c>
      <c r="B79" s="294" t="s">
        <v>20</v>
      </c>
      <c r="C79" s="97">
        <v>40165</v>
      </c>
      <c r="D79" s="111" t="s">
        <v>157</v>
      </c>
      <c r="E79" s="323">
        <v>38</v>
      </c>
      <c r="F79" s="323">
        <v>29</v>
      </c>
      <c r="G79" s="323">
        <v>3</v>
      </c>
      <c r="H79" s="122">
        <v>96495.25</v>
      </c>
      <c r="I79" s="127">
        <v>11131</v>
      </c>
      <c r="J79" s="128">
        <f>IF(H79&lt;&gt;0,I79/F79,"")</f>
        <v>383.82758620689657</v>
      </c>
      <c r="K79" s="125">
        <f>IF(H79&lt;&gt;0,H79/I79,"")</f>
        <v>8.669054891743778</v>
      </c>
      <c r="L79" s="126">
        <v>618764.5</v>
      </c>
      <c r="M79" s="229">
        <v>66606</v>
      </c>
      <c r="N79" s="302">
        <f>IF(L79&lt;&gt;0,L79/M79,"")</f>
        <v>9.289921328408852</v>
      </c>
      <c r="O79" s="202">
        <v>1</v>
      </c>
    </row>
    <row r="80" spans="1:15" ht="15">
      <c r="A80" s="186">
        <v>77</v>
      </c>
      <c r="B80" s="298" t="s">
        <v>94</v>
      </c>
      <c r="C80" s="114">
        <v>40165</v>
      </c>
      <c r="D80" s="105" t="s">
        <v>157</v>
      </c>
      <c r="E80" s="324">
        <v>38</v>
      </c>
      <c r="F80" s="324">
        <v>39</v>
      </c>
      <c r="G80" s="324">
        <v>7</v>
      </c>
      <c r="H80" s="144">
        <v>75701.5</v>
      </c>
      <c r="I80" s="145">
        <v>9938</v>
      </c>
      <c r="J80" s="175">
        <f>I80/F80</f>
        <v>254.82051282051282</v>
      </c>
      <c r="K80" s="119">
        <f>H80/I80</f>
        <v>7.617377742000403</v>
      </c>
      <c r="L80" s="146">
        <v>997325.5</v>
      </c>
      <c r="M80" s="175">
        <v>116477</v>
      </c>
      <c r="N80" s="297">
        <f>L80/M80</f>
        <v>8.562424341286263</v>
      </c>
      <c r="O80" s="205">
        <v>1</v>
      </c>
    </row>
    <row r="81" spans="1:15" ht="15">
      <c r="A81" s="186">
        <v>78</v>
      </c>
      <c r="B81" s="298" t="s">
        <v>94</v>
      </c>
      <c r="C81" s="114">
        <v>40165</v>
      </c>
      <c r="D81" s="116" t="s">
        <v>157</v>
      </c>
      <c r="E81" s="324">
        <v>38</v>
      </c>
      <c r="F81" s="324">
        <v>40</v>
      </c>
      <c r="G81" s="324">
        <v>6</v>
      </c>
      <c r="H81" s="112">
        <v>67039.5</v>
      </c>
      <c r="I81" s="108">
        <v>9209</v>
      </c>
      <c r="J81" s="109">
        <f>IF(H81&lt;&gt;0,I81/F81,"")</f>
        <v>230.225</v>
      </c>
      <c r="K81" s="102">
        <f>IF(H81&lt;&gt;0,H81/I81,"")</f>
        <v>7.279780649364752</v>
      </c>
      <c r="L81" s="113">
        <v>921624</v>
      </c>
      <c r="M81" s="110">
        <v>106539</v>
      </c>
      <c r="N81" s="296">
        <f>IF(L81&lt;&gt;0,L81/M81,"")</f>
        <v>8.650578661335286</v>
      </c>
      <c r="O81" s="204">
        <v>1</v>
      </c>
    </row>
    <row r="82" spans="1:15" ht="15">
      <c r="A82" s="186">
        <v>79</v>
      </c>
      <c r="B82" s="298" t="s">
        <v>20</v>
      </c>
      <c r="C82" s="114">
        <v>40165</v>
      </c>
      <c r="D82" s="105" t="s">
        <v>157</v>
      </c>
      <c r="E82" s="324">
        <v>38</v>
      </c>
      <c r="F82" s="324">
        <v>39</v>
      </c>
      <c r="G82" s="324">
        <v>8</v>
      </c>
      <c r="H82" s="200">
        <v>51709.5</v>
      </c>
      <c r="I82" s="201">
        <v>7331</v>
      </c>
      <c r="J82" s="175">
        <f>I82/F82</f>
        <v>187.97435897435898</v>
      </c>
      <c r="K82" s="119">
        <f>+H82/I82</f>
        <v>7.053539762651753</v>
      </c>
      <c r="L82" s="146">
        <v>1049035</v>
      </c>
      <c r="M82" s="175">
        <v>123808</v>
      </c>
      <c r="N82" s="299">
        <f>IF(L82&lt;&gt;0,L82/M82,"")</f>
        <v>8.473079284052726</v>
      </c>
      <c r="O82" s="204">
        <v>1</v>
      </c>
    </row>
    <row r="83" spans="1:15" ht="15">
      <c r="A83" s="186">
        <v>80</v>
      </c>
      <c r="B83" s="298" t="s">
        <v>20</v>
      </c>
      <c r="C83" s="114">
        <v>40165</v>
      </c>
      <c r="D83" s="105" t="s">
        <v>157</v>
      </c>
      <c r="E83" s="324">
        <v>38</v>
      </c>
      <c r="F83" s="324">
        <v>17</v>
      </c>
      <c r="G83" s="324">
        <v>9</v>
      </c>
      <c r="H83" s="222">
        <v>25015.5</v>
      </c>
      <c r="I83" s="223">
        <v>4196</v>
      </c>
      <c r="J83" s="229">
        <f>IF(H83&lt;&gt;0,I83/F83,"")</f>
        <v>246.8235294117647</v>
      </c>
      <c r="K83" s="121">
        <f>IF(H83&lt;&gt;0,H83/I83,"")</f>
        <v>5.961749285033365</v>
      </c>
      <c r="L83" s="120">
        <v>1074050.5</v>
      </c>
      <c r="M83" s="229">
        <v>128004</v>
      </c>
      <c r="N83" s="299">
        <f>IF(L83&lt;&gt;0,L83/M83,"")</f>
        <v>8.390757320083747</v>
      </c>
      <c r="O83" s="202">
        <v>1</v>
      </c>
    </row>
    <row r="84" spans="1:15" ht="15">
      <c r="A84" s="186">
        <v>81</v>
      </c>
      <c r="B84" s="298" t="s">
        <v>20</v>
      </c>
      <c r="C84" s="114">
        <v>40165</v>
      </c>
      <c r="D84" s="105" t="s">
        <v>157</v>
      </c>
      <c r="E84" s="324">
        <v>38</v>
      </c>
      <c r="F84" s="324">
        <v>14</v>
      </c>
      <c r="G84" s="324">
        <v>10</v>
      </c>
      <c r="H84" s="222">
        <v>19410.5</v>
      </c>
      <c r="I84" s="223">
        <v>2888</v>
      </c>
      <c r="J84" s="229">
        <f>I84/F84</f>
        <v>206.28571428571428</v>
      </c>
      <c r="K84" s="121">
        <f>H84/I84</f>
        <v>6.721087257617729</v>
      </c>
      <c r="L84" s="120">
        <v>1093461</v>
      </c>
      <c r="M84" s="229">
        <v>130892</v>
      </c>
      <c r="N84" s="299">
        <f>+L84/M84</f>
        <v>8.353917733704122</v>
      </c>
      <c r="O84" s="237">
        <v>1</v>
      </c>
    </row>
    <row r="85" spans="1:15" ht="15">
      <c r="A85" s="186">
        <v>82</v>
      </c>
      <c r="B85" s="298" t="s">
        <v>20</v>
      </c>
      <c r="C85" s="224">
        <v>40165</v>
      </c>
      <c r="D85" s="105" t="s">
        <v>157</v>
      </c>
      <c r="E85" s="270">
        <v>38</v>
      </c>
      <c r="F85" s="270">
        <v>7</v>
      </c>
      <c r="G85" s="270">
        <v>11</v>
      </c>
      <c r="H85" s="226">
        <v>9346</v>
      </c>
      <c r="I85" s="227">
        <v>2029</v>
      </c>
      <c r="J85" s="229">
        <f>I85/F85</f>
        <v>289.85714285714283</v>
      </c>
      <c r="K85" s="121">
        <f>H85/I85</f>
        <v>4.606209955643174</v>
      </c>
      <c r="L85" s="120">
        <v>1102807</v>
      </c>
      <c r="M85" s="229">
        <v>132921</v>
      </c>
      <c r="N85" s="299">
        <f>+L85/M85</f>
        <v>8.29671007590975</v>
      </c>
      <c r="O85" s="236">
        <v>1</v>
      </c>
    </row>
    <row r="86" spans="1:15" ht="15">
      <c r="A86" s="186">
        <v>83</v>
      </c>
      <c r="B86" s="298" t="s">
        <v>49</v>
      </c>
      <c r="C86" s="114">
        <v>39850</v>
      </c>
      <c r="D86" s="147" t="s">
        <v>154</v>
      </c>
      <c r="E86" s="324">
        <v>78</v>
      </c>
      <c r="F86" s="324">
        <v>1</v>
      </c>
      <c r="G86" s="324">
        <v>48</v>
      </c>
      <c r="H86" s="117">
        <v>609</v>
      </c>
      <c r="I86" s="118">
        <v>280</v>
      </c>
      <c r="J86" s="229">
        <f>I86/F86</f>
        <v>280</v>
      </c>
      <c r="K86" s="121">
        <f>+H86/I86</f>
        <v>2.175</v>
      </c>
      <c r="L86" s="120">
        <v>905076</v>
      </c>
      <c r="M86" s="229">
        <v>98834</v>
      </c>
      <c r="N86" s="299">
        <f>+L86/M86</f>
        <v>9.157536880021045</v>
      </c>
      <c r="O86" s="203"/>
    </row>
    <row r="87" spans="1:15" ht="15">
      <c r="A87" s="186">
        <v>84</v>
      </c>
      <c r="B87" s="298" t="s">
        <v>9</v>
      </c>
      <c r="C87" s="114">
        <v>39808</v>
      </c>
      <c r="D87" s="105" t="s">
        <v>154</v>
      </c>
      <c r="E87" s="324">
        <v>112</v>
      </c>
      <c r="F87" s="324">
        <v>1</v>
      </c>
      <c r="G87" s="324">
        <v>58</v>
      </c>
      <c r="H87" s="144">
        <v>608</v>
      </c>
      <c r="I87" s="145">
        <v>280</v>
      </c>
      <c r="J87" s="175">
        <f>I87/F87</f>
        <v>280</v>
      </c>
      <c r="K87" s="119">
        <f>+H87/I87</f>
        <v>2.1714285714285713</v>
      </c>
      <c r="L87" s="146">
        <v>2069368</v>
      </c>
      <c r="M87" s="175">
        <v>218919</v>
      </c>
      <c r="N87" s="297">
        <f>+L87/M87</f>
        <v>9.45266514098822</v>
      </c>
      <c r="O87" s="205"/>
    </row>
    <row r="88" spans="1:15" ht="15">
      <c r="A88" s="186">
        <v>85</v>
      </c>
      <c r="B88" s="298" t="s">
        <v>113</v>
      </c>
      <c r="C88" s="114">
        <v>40130</v>
      </c>
      <c r="D88" s="115" t="s">
        <v>155</v>
      </c>
      <c r="E88" s="324">
        <v>13</v>
      </c>
      <c r="F88" s="324">
        <v>4</v>
      </c>
      <c r="G88" s="324">
        <v>9</v>
      </c>
      <c r="H88" s="99">
        <v>1678.5</v>
      </c>
      <c r="I88" s="100">
        <v>334</v>
      </c>
      <c r="J88" s="101">
        <f>(I88/F88)</f>
        <v>83.5</v>
      </c>
      <c r="K88" s="106">
        <f>H88/I88</f>
        <v>5.025449101796407</v>
      </c>
      <c r="L88" s="103">
        <f>61012+24426+6122+10040+4081+228+2698+1216+1678.5</f>
        <v>111501.5</v>
      </c>
      <c r="M88" s="104">
        <f>5982+2401+678+1620+879+42+433+305+334</f>
        <v>12674</v>
      </c>
      <c r="N88" s="295">
        <f>L88/M88</f>
        <v>8.797656619851665</v>
      </c>
      <c r="O88" s="202">
        <v>1</v>
      </c>
    </row>
    <row r="89" spans="1:15" ht="15">
      <c r="A89" s="186">
        <v>86</v>
      </c>
      <c r="B89" s="300" t="s">
        <v>113</v>
      </c>
      <c r="C89" s="130">
        <v>40130</v>
      </c>
      <c r="D89" s="131" t="s">
        <v>155</v>
      </c>
      <c r="E89" s="325">
        <v>13</v>
      </c>
      <c r="F89" s="325">
        <v>2</v>
      </c>
      <c r="G89" s="325">
        <v>10</v>
      </c>
      <c r="H89" s="99">
        <v>1457</v>
      </c>
      <c r="I89" s="108">
        <v>339</v>
      </c>
      <c r="J89" s="109">
        <f>(I89/F89)</f>
        <v>169.5</v>
      </c>
      <c r="K89" s="102">
        <f>H89/I89</f>
        <v>4.297935103244837</v>
      </c>
      <c r="L89" s="103">
        <f>61012+24426+6122+10040+4081+228+2698+1216+1678.5+1457</f>
        <v>112958.5</v>
      </c>
      <c r="M89" s="110">
        <f>5982+2401+678+1620+879+42+433+305+334+339</f>
        <v>13013</v>
      </c>
      <c r="N89" s="296">
        <f>L89/M89</f>
        <v>8.680434949665718</v>
      </c>
      <c r="O89" s="204">
        <v>1</v>
      </c>
    </row>
    <row r="90" spans="1:15" ht="15">
      <c r="A90" s="186">
        <v>87</v>
      </c>
      <c r="B90" s="298" t="s">
        <v>113</v>
      </c>
      <c r="C90" s="114">
        <v>40130</v>
      </c>
      <c r="D90" s="116" t="s">
        <v>155</v>
      </c>
      <c r="E90" s="324">
        <v>13</v>
      </c>
      <c r="F90" s="324">
        <v>2</v>
      </c>
      <c r="G90" s="324">
        <v>8</v>
      </c>
      <c r="H90" s="99">
        <v>1216</v>
      </c>
      <c r="I90" s="100">
        <v>305</v>
      </c>
      <c r="J90" s="101">
        <f>(I90/F90)</f>
        <v>152.5</v>
      </c>
      <c r="K90" s="102">
        <f>H90/I90</f>
        <v>3.9868852459016395</v>
      </c>
      <c r="L90" s="103">
        <f>61012+24426+6122+10040+4081+228+2698+1216</f>
        <v>109823</v>
      </c>
      <c r="M90" s="104">
        <f>5982+2401+678+1620+879+42+433+305</f>
        <v>12340</v>
      </c>
      <c r="N90" s="296">
        <f>L90/M90</f>
        <v>8.899756888168557</v>
      </c>
      <c r="O90" s="202">
        <v>1</v>
      </c>
    </row>
    <row r="91" spans="1:15" ht="15">
      <c r="A91" s="186">
        <v>88</v>
      </c>
      <c r="B91" s="298" t="s">
        <v>113</v>
      </c>
      <c r="C91" s="114">
        <v>40130</v>
      </c>
      <c r="D91" s="116" t="s">
        <v>155</v>
      </c>
      <c r="E91" s="324">
        <v>13</v>
      </c>
      <c r="F91" s="324">
        <v>1</v>
      </c>
      <c r="G91" s="324">
        <v>11</v>
      </c>
      <c r="H91" s="112">
        <v>452</v>
      </c>
      <c r="I91" s="108">
        <v>195</v>
      </c>
      <c r="J91" s="109">
        <f>(I91/F91)</f>
        <v>195</v>
      </c>
      <c r="K91" s="102">
        <f>H91/I91</f>
        <v>2.317948717948718</v>
      </c>
      <c r="L91" s="113">
        <f>61012+24426+6122+10040+4081+228+2698+1216+1678.5+1457+452</f>
        <v>113410.5</v>
      </c>
      <c r="M91" s="110">
        <f>5982+2401+678+1620+879+42+433+305+334+339+195</f>
        <v>13208</v>
      </c>
      <c r="N91" s="296">
        <f>L91/M91</f>
        <v>8.58650060569352</v>
      </c>
      <c r="O91" s="204">
        <v>1</v>
      </c>
    </row>
    <row r="92" spans="1:15" ht="15">
      <c r="A92" s="186">
        <v>89</v>
      </c>
      <c r="B92" s="298" t="s">
        <v>113</v>
      </c>
      <c r="C92" s="224">
        <v>40130</v>
      </c>
      <c r="D92" s="105" t="s">
        <v>155</v>
      </c>
      <c r="E92" s="270">
        <v>13</v>
      </c>
      <c r="F92" s="270">
        <v>1</v>
      </c>
      <c r="G92" s="270">
        <v>12</v>
      </c>
      <c r="H92" s="226">
        <v>472</v>
      </c>
      <c r="I92" s="227">
        <v>86</v>
      </c>
      <c r="J92" s="229">
        <f>(I92/F92)</f>
        <v>86</v>
      </c>
      <c r="K92" s="121">
        <f>H92/I92</f>
        <v>5.488372093023256</v>
      </c>
      <c r="L92" s="120">
        <f>61012+24426+6122+10040+4081+228+2698+1216+1678.5+1457+452+472</f>
        <v>113882.5</v>
      </c>
      <c r="M92" s="229">
        <f>5982+2401+678+1620+879+42+433+305+334+339+195+86</f>
        <v>13294</v>
      </c>
      <c r="N92" s="299">
        <f>L92/M92</f>
        <v>8.566458552730555</v>
      </c>
      <c r="O92" s="236">
        <v>1</v>
      </c>
    </row>
    <row r="93" spans="1:15" ht="15">
      <c r="A93" s="186">
        <v>90</v>
      </c>
      <c r="B93" s="294" t="s">
        <v>119</v>
      </c>
      <c r="C93" s="97">
        <v>40158</v>
      </c>
      <c r="D93" s="105" t="s">
        <v>157</v>
      </c>
      <c r="E93" s="323">
        <v>6</v>
      </c>
      <c r="F93" s="323">
        <v>3</v>
      </c>
      <c r="G93" s="323">
        <v>4</v>
      </c>
      <c r="H93" s="122">
        <v>1098</v>
      </c>
      <c r="I93" s="127">
        <v>177</v>
      </c>
      <c r="J93" s="128">
        <f>IF(H93&lt;&gt;0,I93/F93,"")</f>
        <v>59</v>
      </c>
      <c r="K93" s="129">
        <f>IF(H93&lt;&gt;0,H93/I93,"")</f>
        <v>6.203389830508475</v>
      </c>
      <c r="L93" s="126">
        <v>48973</v>
      </c>
      <c r="M93" s="229">
        <v>4330</v>
      </c>
      <c r="N93" s="303">
        <f>IF(L93&lt;&gt;0,L93/M93,"")</f>
        <v>11.310161662817553</v>
      </c>
      <c r="O93" s="203"/>
    </row>
    <row r="94" spans="1:15" ht="15">
      <c r="A94" s="186">
        <v>91</v>
      </c>
      <c r="B94" s="298" t="s">
        <v>119</v>
      </c>
      <c r="C94" s="114">
        <v>40158</v>
      </c>
      <c r="D94" s="105" t="s">
        <v>157</v>
      </c>
      <c r="E94" s="324">
        <v>6</v>
      </c>
      <c r="F94" s="324">
        <v>1</v>
      </c>
      <c r="G94" s="324">
        <v>7</v>
      </c>
      <c r="H94" s="222">
        <v>629.5</v>
      </c>
      <c r="I94" s="223">
        <v>173</v>
      </c>
      <c r="J94" s="229">
        <f>I94/F94</f>
        <v>173</v>
      </c>
      <c r="K94" s="121">
        <f>H94/I94</f>
        <v>3.638728323699422</v>
      </c>
      <c r="L94" s="120">
        <v>50166.5</v>
      </c>
      <c r="M94" s="229">
        <v>4593</v>
      </c>
      <c r="N94" s="299">
        <f>+L94/M94</f>
        <v>10.9223818854779</v>
      </c>
      <c r="O94" s="237"/>
    </row>
    <row r="95" spans="1:15" ht="15">
      <c r="A95" s="186">
        <v>92</v>
      </c>
      <c r="B95" s="294" t="s">
        <v>119</v>
      </c>
      <c r="C95" s="97">
        <v>40158</v>
      </c>
      <c r="D95" s="105" t="s">
        <v>157</v>
      </c>
      <c r="E95" s="323">
        <v>6</v>
      </c>
      <c r="F95" s="323">
        <v>4</v>
      </c>
      <c r="G95" s="323">
        <v>5</v>
      </c>
      <c r="H95" s="122">
        <v>442</v>
      </c>
      <c r="I95" s="123">
        <v>69</v>
      </c>
      <c r="J95" s="124">
        <f>IF(H95&lt;&gt;0,I95/F95,"")</f>
        <v>17.25</v>
      </c>
      <c r="K95" s="125">
        <f>IF(H95&lt;&gt;0,H95/I95,"")</f>
        <v>6.405797101449275</v>
      </c>
      <c r="L95" s="126">
        <v>49415</v>
      </c>
      <c r="M95" s="175">
        <v>4399</v>
      </c>
      <c r="N95" s="302">
        <f>IF(L95&lt;&gt;0,L95/M95,"")</f>
        <v>11.23323482609684</v>
      </c>
      <c r="O95" s="204"/>
    </row>
    <row r="96" spans="1:15" ht="15">
      <c r="A96" s="186">
        <v>93</v>
      </c>
      <c r="B96" s="298" t="s">
        <v>119</v>
      </c>
      <c r="C96" s="114">
        <v>40158</v>
      </c>
      <c r="D96" s="105" t="s">
        <v>157</v>
      </c>
      <c r="E96" s="324">
        <v>6</v>
      </c>
      <c r="F96" s="324">
        <v>1</v>
      </c>
      <c r="G96" s="324">
        <v>6</v>
      </c>
      <c r="H96" s="200">
        <v>122</v>
      </c>
      <c r="I96" s="201">
        <v>21</v>
      </c>
      <c r="J96" s="175">
        <f>IF(H96&lt;&gt;0,I96/F96,"")</f>
        <v>21</v>
      </c>
      <c r="K96" s="119">
        <f>IF(H96&lt;&gt;0,H96/I96,"")</f>
        <v>5.809523809523809</v>
      </c>
      <c r="L96" s="146">
        <v>49537</v>
      </c>
      <c r="M96" s="175">
        <v>4420</v>
      </c>
      <c r="N96" s="299">
        <f>IF(L96&lt;&gt;0,L96/M96,"")</f>
        <v>11.207466063348416</v>
      </c>
      <c r="O96" s="204"/>
    </row>
    <row r="97" spans="1:15" ht="15">
      <c r="A97" s="186">
        <v>94</v>
      </c>
      <c r="B97" s="294" t="s">
        <v>44</v>
      </c>
      <c r="C97" s="97">
        <v>40074</v>
      </c>
      <c r="D97" s="105" t="s">
        <v>157</v>
      </c>
      <c r="E97" s="323">
        <v>65</v>
      </c>
      <c r="F97" s="323">
        <v>2</v>
      </c>
      <c r="G97" s="323">
        <v>11</v>
      </c>
      <c r="H97" s="122">
        <v>448</v>
      </c>
      <c r="I97" s="123">
        <v>83</v>
      </c>
      <c r="J97" s="124">
        <f>IF(H97&lt;&gt;0,I97/F97,"")</f>
        <v>41.5</v>
      </c>
      <c r="K97" s="125">
        <f>IF(H97&lt;&gt;0,H97/I97,"")</f>
        <v>5.397590361445783</v>
      </c>
      <c r="L97" s="126">
        <v>558893</v>
      </c>
      <c r="M97" s="175">
        <v>62285</v>
      </c>
      <c r="N97" s="302">
        <f>IF(L97&lt;&gt;0,L97/M97,"")</f>
        <v>8.973155655454764</v>
      </c>
      <c r="O97" s="204"/>
    </row>
    <row r="98" spans="1:15" ht="15">
      <c r="A98" s="186">
        <v>95</v>
      </c>
      <c r="B98" s="298" t="s">
        <v>44</v>
      </c>
      <c r="C98" s="114">
        <v>40074</v>
      </c>
      <c r="D98" s="105" t="s">
        <v>157</v>
      </c>
      <c r="E98" s="324">
        <v>65</v>
      </c>
      <c r="F98" s="324">
        <v>1</v>
      </c>
      <c r="G98" s="324">
        <v>12</v>
      </c>
      <c r="H98" s="222">
        <v>433</v>
      </c>
      <c r="I98" s="223">
        <v>61</v>
      </c>
      <c r="J98" s="229">
        <f>IF(H98&lt;&gt;0,I98/F98,"")</f>
        <v>61</v>
      </c>
      <c r="K98" s="121">
        <f>IF(H98&lt;&gt;0,H98/I98,"")</f>
        <v>7.098360655737705</v>
      </c>
      <c r="L98" s="120">
        <v>559406</v>
      </c>
      <c r="M98" s="229">
        <v>62362</v>
      </c>
      <c r="N98" s="299">
        <f>IF(L98&lt;&gt;0,L98/M98,"")</f>
        <v>8.970302427760496</v>
      </c>
      <c r="O98" s="202"/>
    </row>
    <row r="99" spans="1:15" ht="15">
      <c r="A99" s="186">
        <v>96</v>
      </c>
      <c r="B99" s="298" t="s">
        <v>81</v>
      </c>
      <c r="C99" s="114">
        <v>40137</v>
      </c>
      <c r="D99" s="147" t="s">
        <v>154</v>
      </c>
      <c r="E99" s="324">
        <v>61</v>
      </c>
      <c r="F99" s="324">
        <v>4</v>
      </c>
      <c r="G99" s="324">
        <v>8</v>
      </c>
      <c r="H99" s="117">
        <v>2148</v>
      </c>
      <c r="I99" s="118">
        <v>594</v>
      </c>
      <c r="J99" s="229">
        <f aca="true" t="shared" si="11" ref="J99:J111">I99/F99</f>
        <v>148.5</v>
      </c>
      <c r="K99" s="121">
        <f>+H99/I99</f>
        <v>3.6161616161616164</v>
      </c>
      <c r="L99" s="120">
        <v>458401</v>
      </c>
      <c r="M99" s="229">
        <v>42433</v>
      </c>
      <c r="N99" s="299">
        <f aca="true" t="shared" si="12" ref="N99:N110">+L99/M99</f>
        <v>10.802936393844414</v>
      </c>
      <c r="O99" s="203"/>
    </row>
    <row r="100" spans="1:15" ht="15">
      <c r="A100" s="186">
        <v>97</v>
      </c>
      <c r="B100" s="298" t="s">
        <v>81</v>
      </c>
      <c r="C100" s="114">
        <v>40137</v>
      </c>
      <c r="D100" s="147" t="s">
        <v>154</v>
      </c>
      <c r="E100" s="324">
        <v>61</v>
      </c>
      <c r="F100" s="324">
        <v>1</v>
      </c>
      <c r="G100" s="324">
        <v>9</v>
      </c>
      <c r="H100" s="117">
        <v>989</v>
      </c>
      <c r="I100" s="145">
        <v>157</v>
      </c>
      <c r="J100" s="175">
        <f t="shared" si="11"/>
        <v>157</v>
      </c>
      <c r="K100" s="119">
        <f>+H100/I100</f>
        <v>6.2993630573248405</v>
      </c>
      <c r="L100" s="120">
        <v>459390</v>
      </c>
      <c r="M100" s="175">
        <v>42590</v>
      </c>
      <c r="N100" s="297">
        <f t="shared" si="12"/>
        <v>10.786334820380372</v>
      </c>
      <c r="O100" s="204"/>
    </row>
    <row r="101" spans="1:15" ht="15">
      <c r="A101" s="186">
        <v>98</v>
      </c>
      <c r="B101" s="306" t="s">
        <v>81</v>
      </c>
      <c r="C101" s="148">
        <v>40137</v>
      </c>
      <c r="D101" s="149" t="s">
        <v>154</v>
      </c>
      <c r="E101" s="327">
        <v>61</v>
      </c>
      <c r="F101" s="327">
        <v>1</v>
      </c>
      <c r="G101" s="327">
        <v>7</v>
      </c>
      <c r="H101" s="150">
        <v>768</v>
      </c>
      <c r="I101" s="166">
        <v>63</v>
      </c>
      <c r="J101" s="151">
        <f t="shared" si="11"/>
        <v>63</v>
      </c>
      <c r="K101" s="153">
        <f>+H101/I101</f>
        <v>12.19047619047619</v>
      </c>
      <c r="L101" s="152">
        <v>456253</v>
      </c>
      <c r="M101" s="151">
        <v>41839</v>
      </c>
      <c r="N101" s="307">
        <f t="shared" si="12"/>
        <v>10.9049690480174</v>
      </c>
      <c r="O101" s="202"/>
    </row>
    <row r="102" spans="1:15" ht="15">
      <c r="A102" s="186">
        <v>99</v>
      </c>
      <c r="B102" s="294" t="s">
        <v>82</v>
      </c>
      <c r="C102" s="114">
        <v>40137</v>
      </c>
      <c r="D102" s="105" t="s">
        <v>153</v>
      </c>
      <c r="E102" s="324">
        <v>20</v>
      </c>
      <c r="F102" s="324">
        <v>2</v>
      </c>
      <c r="G102" s="324">
        <v>11</v>
      </c>
      <c r="H102" s="144">
        <v>12778</v>
      </c>
      <c r="I102" s="145">
        <v>1094</v>
      </c>
      <c r="J102" s="175">
        <f t="shared" si="11"/>
        <v>547</v>
      </c>
      <c r="K102" s="119">
        <f aca="true" t="shared" si="13" ref="K102:K113">H102/I102</f>
        <v>11.680073126142595</v>
      </c>
      <c r="L102" s="146">
        <f>997860+4193+617+10063+7010+12778</f>
        <v>1032521</v>
      </c>
      <c r="M102" s="175">
        <f>81544+595+106+1265+874+1094</f>
        <v>85478</v>
      </c>
      <c r="N102" s="297">
        <f t="shared" si="12"/>
        <v>12.07937714967594</v>
      </c>
      <c r="O102" s="205"/>
    </row>
    <row r="103" spans="1:15" ht="15">
      <c r="A103" s="186">
        <v>100</v>
      </c>
      <c r="B103" s="294" t="s">
        <v>82</v>
      </c>
      <c r="C103" s="97">
        <v>40137</v>
      </c>
      <c r="D103" s="107" t="s">
        <v>153</v>
      </c>
      <c r="E103" s="323">
        <v>20</v>
      </c>
      <c r="F103" s="323">
        <v>2</v>
      </c>
      <c r="G103" s="323">
        <v>9</v>
      </c>
      <c r="H103" s="99">
        <v>10063</v>
      </c>
      <c r="I103" s="108">
        <v>1265</v>
      </c>
      <c r="J103" s="109">
        <f t="shared" si="11"/>
        <v>632.5</v>
      </c>
      <c r="K103" s="102">
        <f t="shared" si="13"/>
        <v>7.95494071146245</v>
      </c>
      <c r="L103" s="103">
        <f>997860+4193+617+10063</f>
        <v>1012733</v>
      </c>
      <c r="M103" s="110">
        <f>81544+595+106+1265</f>
        <v>83510</v>
      </c>
      <c r="N103" s="296">
        <f t="shared" si="12"/>
        <v>12.12708657645791</v>
      </c>
      <c r="O103" s="204"/>
    </row>
    <row r="104" spans="1:15" ht="15">
      <c r="A104" s="186">
        <v>101</v>
      </c>
      <c r="B104" s="294" t="s">
        <v>82</v>
      </c>
      <c r="C104" s="97">
        <v>40137</v>
      </c>
      <c r="D104" s="111" t="s">
        <v>153</v>
      </c>
      <c r="E104" s="323">
        <v>20</v>
      </c>
      <c r="F104" s="323">
        <v>2</v>
      </c>
      <c r="G104" s="323">
        <v>10</v>
      </c>
      <c r="H104" s="112">
        <v>7010</v>
      </c>
      <c r="I104" s="108">
        <v>874</v>
      </c>
      <c r="J104" s="109">
        <f t="shared" si="11"/>
        <v>437</v>
      </c>
      <c r="K104" s="102">
        <f t="shared" si="13"/>
        <v>8.020594965675057</v>
      </c>
      <c r="L104" s="113">
        <f>997860+4193+617+10063+7010</f>
        <v>1019743</v>
      </c>
      <c r="M104" s="110">
        <f>81544+595+106+1265+874</f>
        <v>84384</v>
      </c>
      <c r="N104" s="296">
        <f t="shared" si="12"/>
        <v>12.084553943875616</v>
      </c>
      <c r="O104" s="204"/>
    </row>
    <row r="105" spans="1:15" ht="15">
      <c r="A105" s="186">
        <v>102</v>
      </c>
      <c r="B105" s="294" t="s">
        <v>82</v>
      </c>
      <c r="C105" s="97">
        <v>40137</v>
      </c>
      <c r="D105" s="98" t="s">
        <v>153</v>
      </c>
      <c r="E105" s="323">
        <v>20</v>
      </c>
      <c r="F105" s="323">
        <v>1</v>
      </c>
      <c r="G105" s="323">
        <v>7</v>
      </c>
      <c r="H105" s="99">
        <v>4193</v>
      </c>
      <c r="I105" s="100">
        <v>595</v>
      </c>
      <c r="J105" s="101">
        <f t="shared" si="11"/>
        <v>595</v>
      </c>
      <c r="K105" s="102">
        <f t="shared" si="13"/>
        <v>7.047058823529412</v>
      </c>
      <c r="L105" s="103">
        <f>997860+4193</f>
        <v>1002053</v>
      </c>
      <c r="M105" s="104">
        <f>81544+595</f>
        <v>82139</v>
      </c>
      <c r="N105" s="296">
        <f t="shared" si="12"/>
        <v>12.1994789320542</v>
      </c>
      <c r="O105" s="202"/>
    </row>
    <row r="106" spans="1:15" ht="15">
      <c r="A106" s="186">
        <v>103</v>
      </c>
      <c r="B106" s="298" t="s">
        <v>82</v>
      </c>
      <c r="C106" s="114">
        <v>40137</v>
      </c>
      <c r="D106" s="105" t="s">
        <v>153</v>
      </c>
      <c r="E106" s="324">
        <v>20</v>
      </c>
      <c r="F106" s="324">
        <v>1</v>
      </c>
      <c r="G106" s="324">
        <v>14</v>
      </c>
      <c r="H106" s="222">
        <v>1190</v>
      </c>
      <c r="I106" s="223">
        <v>238</v>
      </c>
      <c r="J106" s="229">
        <f t="shared" si="11"/>
        <v>238</v>
      </c>
      <c r="K106" s="121">
        <f t="shared" si="13"/>
        <v>5</v>
      </c>
      <c r="L106" s="120">
        <v>1034451</v>
      </c>
      <c r="M106" s="229">
        <v>85822</v>
      </c>
      <c r="N106" s="299">
        <f t="shared" si="12"/>
        <v>12.053447833888747</v>
      </c>
      <c r="O106" s="235"/>
    </row>
    <row r="107" spans="1:15" ht="15">
      <c r="A107" s="186">
        <v>104</v>
      </c>
      <c r="B107" s="294" t="s">
        <v>82</v>
      </c>
      <c r="C107" s="97">
        <v>40137</v>
      </c>
      <c r="D107" s="105" t="s">
        <v>153</v>
      </c>
      <c r="E107" s="323">
        <v>20</v>
      </c>
      <c r="F107" s="323">
        <v>1</v>
      </c>
      <c r="G107" s="323">
        <v>8</v>
      </c>
      <c r="H107" s="99">
        <v>617</v>
      </c>
      <c r="I107" s="100">
        <v>106</v>
      </c>
      <c r="J107" s="101">
        <f t="shared" si="11"/>
        <v>106</v>
      </c>
      <c r="K107" s="106">
        <f t="shared" si="13"/>
        <v>5.820754716981132</v>
      </c>
      <c r="L107" s="103">
        <f>997860+4193+617</f>
        <v>1002670</v>
      </c>
      <c r="M107" s="104">
        <f>81544+595+106</f>
        <v>82245</v>
      </c>
      <c r="N107" s="295">
        <f t="shared" si="12"/>
        <v>12.19125782722354</v>
      </c>
      <c r="O107" s="203"/>
    </row>
    <row r="108" spans="1:15" ht="15">
      <c r="A108" s="186">
        <v>105</v>
      </c>
      <c r="B108" s="298" t="s">
        <v>82</v>
      </c>
      <c r="C108" s="114">
        <v>40137</v>
      </c>
      <c r="D108" s="105" t="s">
        <v>153</v>
      </c>
      <c r="E108" s="324">
        <v>20</v>
      </c>
      <c r="F108" s="324">
        <v>1</v>
      </c>
      <c r="G108" s="324">
        <v>13</v>
      </c>
      <c r="H108" s="222">
        <v>441</v>
      </c>
      <c r="I108" s="223">
        <v>63</v>
      </c>
      <c r="J108" s="229">
        <f t="shared" si="11"/>
        <v>63</v>
      </c>
      <c r="K108" s="121">
        <f t="shared" si="13"/>
        <v>7</v>
      </c>
      <c r="L108" s="120">
        <v>1033263</v>
      </c>
      <c r="M108" s="229">
        <v>85584</v>
      </c>
      <c r="N108" s="299">
        <f t="shared" si="12"/>
        <v>12.073086090858105</v>
      </c>
      <c r="O108" s="202"/>
    </row>
    <row r="109" spans="1:15" ht="15">
      <c r="A109" s="186">
        <v>106</v>
      </c>
      <c r="B109" s="298" t="s">
        <v>82</v>
      </c>
      <c r="C109" s="114">
        <v>40137</v>
      </c>
      <c r="D109" s="105" t="s">
        <v>153</v>
      </c>
      <c r="E109" s="324">
        <v>20</v>
      </c>
      <c r="F109" s="324">
        <v>1</v>
      </c>
      <c r="G109" s="324">
        <v>12</v>
      </c>
      <c r="H109" s="200">
        <v>301</v>
      </c>
      <c r="I109" s="201">
        <v>43</v>
      </c>
      <c r="J109" s="175">
        <f t="shared" si="11"/>
        <v>43</v>
      </c>
      <c r="K109" s="119">
        <f t="shared" si="13"/>
        <v>7</v>
      </c>
      <c r="L109" s="146">
        <f>1032521+301</f>
        <v>1032822</v>
      </c>
      <c r="M109" s="175">
        <f>85478+43</f>
        <v>85521</v>
      </c>
      <c r="N109" s="299">
        <f t="shared" si="12"/>
        <v>12.076823236398077</v>
      </c>
      <c r="O109" s="204"/>
    </row>
    <row r="110" spans="1:15" ht="15">
      <c r="A110" s="186">
        <v>107</v>
      </c>
      <c r="B110" s="298" t="s">
        <v>82</v>
      </c>
      <c r="C110" s="224">
        <v>40137</v>
      </c>
      <c r="D110" s="105" t="s">
        <v>153</v>
      </c>
      <c r="E110" s="270">
        <v>20</v>
      </c>
      <c r="F110" s="270">
        <v>1</v>
      </c>
      <c r="G110" s="270">
        <v>15</v>
      </c>
      <c r="H110" s="226">
        <v>144</v>
      </c>
      <c r="I110" s="227">
        <v>22</v>
      </c>
      <c r="J110" s="229">
        <f t="shared" si="11"/>
        <v>22</v>
      </c>
      <c r="K110" s="121">
        <f t="shared" si="13"/>
        <v>6.545454545454546</v>
      </c>
      <c r="L110" s="120">
        <v>1034595</v>
      </c>
      <c r="M110" s="229">
        <v>85844</v>
      </c>
      <c r="N110" s="299">
        <f t="shared" si="12"/>
        <v>12.052036251805601</v>
      </c>
      <c r="O110" s="236"/>
    </row>
    <row r="111" spans="1:15" ht="15">
      <c r="A111" s="186">
        <v>108</v>
      </c>
      <c r="B111" s="298" t="s">
        <v>173</v>
      </c>
      <c r="C111" s="114">
        <v>40123</v>
      </c>
      <c r="D111" s="105" t="s">
        <v>160</v>
      </c>
      <c r="E111" s="324">
        <v>25</v>
      </c>
      <c r="F111" s="324">
        <v>1</v>
      </c>
      <c r="G111" s="324">
        <v>9</v>
      </c>
      <c r="H111" s="222">
        <v>1423</v>
      </c>
      <c r="I111" s="223">
        <v>285</v>
      </c>
      <c r="J111" s="229">
        <f t="shared" si="11"/>
        <v>285</v>
      </c>
      <c r="K111" s="121">
        <f t="shared" si="13"/>
        <v>4.992982456140351</v>
      </c>
      <c r="L111" s="120">
        <v>272726</v>
      </c>
      <c r="M111" s="229">
        <v>22531</v>
      </c>
      <c r="N111" s="299">
        <f>L111/M111</f>
        <v>12.104478274377524</v>
      </c>
      <c r="O111" s="202"/>
    </row>
    <row r="112" spans="1:15" ht="15">
      <c r="A112" s="186">
        <v>109</v>
      </c>
      <c r="B112" s="298" t="s">
        <v>121</v>
      </c>
      <c r="C112" s="114">
        <v>40102</v>
      </c>
      <c r="D112" s="115" t="s">
        <v>155</v>
      </c>
      <c r="E112" s="324">
        <v>22</v>
      </c>
      <c r="F112" s="324">
        <v>1</v>
      </c>
      <c r="G112" s="324">
        <v>6</v>
      </c>
      <c r="H112" s="99">
        <v>1081.5</v>
      </c>
      <c r="I112" s="100">
        <v>369</v>
      </c>
      <c r="J112" s="101">
        <f>(I112/F112)</f>
        <v>369</v>
      </c>
      <c r="K112" s="106">
        <f t="shared" si="13"/>
        <v>2.930894308943089</v>
      </c>
      <c r="L112" s="103">
        <f>129717.5+110957+18478+6527+6853.5+1081.5</f>
        <v>273614.5</v>
      </c>
      <c r="M112" s="104">
        <f>10402+8975+1885+691+1109+369</f>
        <v>23431</v>
      </c>
      <c r="N112" s="295">
        <f>L112/M112</f>
        <v>11.677457214800905</v>
      </c>
      <c r="O112" s="202"/>
    </row>
    <row r="113" spans="1:15" ht="15">
      <c r="A113" s="186">
        <v>110</v>
      </c>
      <c r="B113" s="300" t="s">
        <v>121</v>
      </c>
      <c r="C113" s="130">
        <v>40102</v>
      </c>
      <c r="D113" s="131" t="s">
        <v>155</v>
      </c>
      <c r="E113" s="325">
        <v>22</v>
      </c>
      <c r="F113" s="325">
        <v>2</v>
      </c>
      <c r="G113" s="325">
        <v>7</v>
      </c>
      <c r="H113" s="99">
        <v>738.5</v>
      </c>
      <c r="I113" s="108">
        <v>262</v>
      </c>
      <c r="J113" s="109">
        <f>(I113/F113)</f>
        <v>131</v>
      </c>
      <c r="K113" s="102">
        <f t="shared" si="13"/>
        <v>2.818702290076336</v>
      </c>
      <c r="L113" s="103">
        <f>129717.5+110957+18478+6527+6853.5+1081.5+738.5</f>
        <v>274353</v>
      </c>
      <c r="M113" s="110">
        <f>10402+8975+1885+691+1109+369+262</f>
        <v>23693</v>
      </c>
      <c r="N113" s="296">
        <f>L113/M113</f>
        <v>11.579496053686743</v>
      </c>
      <c r="O113" s="204"/>
    </row>
    <row r="114" spans="1:15" ht="15">
      <c r="A114" s="186">
        <v>111</v>
      </c>
      <c r="B114" s="306" t="s">
        <v>88</v>
      </c>
      <c r="C114" s="148">
        <v>40172</v>
      </c>
      <c r="D114" s="149" t="s">
        <v>154</v>
      </c>
      <c r="E114" s="327">
        <v>51</v>
      </c>
      <c r="F114" s="327">
        <v>51</v>
      </c>
      <c r="G114" s="327">
        <v>2</v>
      </c>
      <c r="H114" s="150">
        <v>175309</v>
      </c>
      <c r="I114" s="166">
        <v>14721</v>
      </c>
      <c r="J114" s="151">
        <f>I114/F114</f>
        <v>288.6470588235294</v>
      </c>
      <c r="K114" s="153">
        <f>+H114/I114</f>
        <v>11.908769784661368</v>
      </c>
      <c r="L114" s="152">
        <v>448889</v>
      </c>
      <c r="M114" s="151">
        <v>39522</v>
      </c>
      <c r="N114" s="307">
        <f>+L114/M114</f>
        <v>11.35795253276656</v>
      </c>
      <c r="O114" s="202"/>
    </row>
    <row r="115" spans="1:15" ht="15">
      <c r="A115" s="186">
        <v>112</v>
      </c>
      <c r="B115" s="298" t="s">
        <v>88</v>
      </c>
      <c r="C115" s="114">
        <v>40172</v>
      </c>
      <c r="D115" s="147" t="s">
        <v>154</v>
      </c>
      <c r="E115" s="324">
        <v>51</v>
      </c>
      <c r="F115" s="324">
        <v>38</v>
      </c>
      <c r="G115" s="324">
        <v>3</v>
      </c>
      <c r="H115" s="117">
        <v>69657</v>
      </c>
      <c r="I115" s="118">
        <v>6224</v>
      </c>
      <c r="J115" s="229">
        <f>I115/F115</f>
        <v>163.78947368421052</v>
      </c>
      <c r="K115" s="121">
        <f>+H115/I115</f>
        <v>11.19167737789203</v>
      </c>
      <c r="L115" s="120">
        <v>518546</v>
      </c>
      <c r="M115" s="229">
        <v>45746</v>
      </c>
      <c r="N115" s="299">
        <f>+L115/M115</f>
        <v>11.335329864906221</v>
      </c>
      <c r="O115" s="203"/>
    </row>
    <row r="116" spans="1:15" ht="15">
      <c r="A116" s="186">
        <v>113</v>
      </c>
      <c r="B116" s="298" t="s">
        <v>88</v>
      </c>
      <c r="C116" s="114">
        <v>40172</v>
      </c>
      <c r="D116" s="147" t="s">
        <v>154</v>
      </c>
      <c r="E116" s="324">
        <v>51</v>
      </c>
      <c r="F116" s="324">
        <v>12</v>
      </c>
      <c r="G116" s="324">
        <v>4</v>
      </c>
      <c r="H116" s="117">
        <v>8478</v>
      </c>
      <c r="I116" s="145">
        <v>1260</v>
      </c>
      <c r="J116" s="175">
        <f>I116/F116</f>
        <v>105</v>
      </c>
      <c r="K116" s="119">
        <f>+H116/I116</f>
        <v>6.728571428571429</v>
      </c>
      <c r="L116" s="120">
        <v>527024</v>
      </c>
      <c r="M116" s="175">
        <v>47006</v>
      </c>
      <c r="N116" s="297">
        <f>+L116/M116</f>
        <v>11.211845296345148</v>
      </c>
      <c r="O116" s="204"/>
    </row>
    <row r="117" spans="1:15" ht="15">
      <c r="A117" s="186">
        <v>114</v>
      </c>
      <c r="B117" s="298" t="s">
        <v>88</v>
      </c>
      <c r="C117" s="114">
        <v>40172</v>
      </c>
      <c r="D117" s="154" t="s">
        <v>154</v>
      </c>
      <c r="E117" s="324">
        <v>51</v>
      </c>
      <c r="F117" s="324">
        <v>1</v>
      </c>
      <c r="G117" s="324">
        <v>5</v>
      </c>
      <c r="H117" s="144">
        <v>1239</v>
      </c>
      <c r="I117" s="145">
        <v>177</v>
      </c>
      <c r="J117" s="175">
        <f>I117/F117</f>
        <v>177</v>
      </c>
      <c r="K117" s="119">
        <f>+H117/I117</f>
        <v>7</v>
      </c>
      <c r="L117" s="146">
        <v>528263</v>
      </c>
      <c r="M117" s="175">
        <v>47183</v>
      </c>
      <c r="N117" s="297">
        <f>+L117/M117</f>
        <v>11.19604518576606</v>
      </c>
      <c r="O117" s="204"/>
    </row>
    <row r="118" spans="1:15" ht="15">
      <c r="A118" s="186">
        <v>115</v>
      </c>
      <c r="B118" s="298" t="s">
        <v>19</v>
      </c>
      <c r="C118" s="114">
        <v>40172</v>
      </c>
      <c r="D118" s="116" t="s">
        <v>76</v>
      </c>
      <c r="E118" s="324">
        <v>196</v>
      </c>
      <c r="F118" s="324">
        <v>196</v>
      </c>
      <c r="G118" s="324">
        <v>2</v>
      </c>
      <c r="H118" s="117">
        <v>546264.5</v>
      </c>
      <c r="I118" s="118">
        <v>66898</v>
      </c>
      <c r="J118" s="128">
        <f>IF(H118&lt;&gt;0,I118/F118,"")</f>
        <v>341.31632653061223</v>
      </c>
      <c r="K118" s="125">
        <f>IF(H118&lt;&gt;0,H118/I118,"")</f>
        <v>8.165632754342433</v>
      </c>
      <c r="L118" s="120">
        <f>821982.75+546264.5</f>
        <v>1368247.25</v>
      </c>
      <c r="M118" s="229">
        <f>109740+66898</f>
        <v>176638</v>
      </c>
      <c r="N118" s="302">
        <f>IF(L118&lt;&gt;0,L118/M118,"")</f>
        <v>7.746052661375242</v>
      </c>
      <c r="O118" s="202">
        <v>1</v>
      </c>
    </row>
    <row r="119" spans="1:15" ht="15">
      <c r="A119" s="186">
        <v>116</v>
      </c>
      <c r="B119" s="298" t="s">
        <v>91</v>
      </c>
      <c r="C119" s="114">
        <v>40172</v>
      </c>
      <c r="D119" s="115" t="s">
        <v>76</v>
      </c>
      <c r="E119" s="324">
        <v>196</v>
      </c>
      <c r="F119" s="324">
        <v>183</v>
      </c>
      <c r="G119" s="324">
        <v>3</v>
      </c>
      <c r="H119" s="117">
        <v>300546.5</v>
      </c>
      <c r="I119" s="118">
        <v>39464</v>
      </c>
      <c r="J119" s="229">
        <f>I119/F119</f>
        <v>215.65027322404373</v>
      </c>
      <c r="K119" s="121">
        <f>+H119/I119</f>
        <v>7.615713054936144</v>
      </c>
      <c r="L119" s="120">
        <f>821982.75+546264.5+300546.5</f>
        <v>1668793.75</v>
      </c>
      <c r="M119" s="229">
        <f>109740+66898+39464</f>
        <v>216102</v>
      </c>
      <c r="N119" s="299">
        <f>+L119/M119</f>
        <v>7.722250372509278</v>
      </c>
      <c r="O119" s="203">
        <v>1</v>
      </c>
    </row>
    <row r="120" spans="1:15" ht="15">
      <c r="A120" s="186">
        <v>117</v>
      </c>
      <c r="B120" s="298" t="s">
        <v>19</v>
      </c>
      <c r="C120" s="114">
        <v>40172</v>
      </c>
      <c r="D120" s="115" t="s">
        <v>76</v>
      </c>
      <c r="E120" s="324">
        <v>196</v>
      </c>
      <c r="F120" s="324">
        <v>148</v>
      </c>
      <c r="G120" s="324">
        <v>4</v>
      </c>
      <c r="H120" s="117">
        <v>218412</v>
      </c>
      <c r="I120" s="145">
        <v>31918</v>
      </c>
      <c r="J120" s="124">
        <f>+I120/F120</f>
        <v>215.66216216216216</v>
      </c>
      <c r="K120" s="125">
        <f>+H120/I120</f>
        <v>6.842909956764208</v>
      </c>
      <c r="L120" s="120">
        <f>821982.75+546264.5+300546.5+218412</f>
        <v>1887205.75</v>
      </c>
      <c r="M120" s="175">
        <f>109740+66898+39464+31918</f>
        <v>248020</v>
      </c>
      <c r="N120" s="297">
        <f>+L120/M120</f>
        <v>7.609086968792839</v>
      </c>
      <c r="O120" s="204">
        <v>1</v>
      </c>
    </row>
    <row r="121" spans="1:15" ht="15">
      <c r="A121" s="186">
        <v>118</v>
      </c>
      <c r="B121" s="298" t="s">
        <v>19</v>
      </c>
      <c r="C121" s="114">
        <v>40172</v>
      </c>
      <c r="D121" s="111" t="s">
        <v>76</v>
      </c>
      <c r="E121" s="324">
        <v>196</v>
      </c>
      <c r="F121" s="324">
        <v>25</v>
      </c>
      <c r="G121" s="324">
        <v>5</v>
      </c>
      <c r="H121" s="144">
        <v>49105</v>
      </c>
      <c r="I121" s="145">
        <v>7919</v>
      </c>
      <c r="J121" s="109">
        <f>I121/F121</f>
        <v>316.76</v>
      </c>
      <c r="K121" s="102">
        <f>H121/I121</f>
        <v>6.2009092057077915</v>
      </c>
      <c r="L121" s="146">
        <f>821982.75+546264.5+300546.5+218412+49105</f>
        <v>1936310.75</v>
      </c>
      <c r="M121" s="175">
        <f>109740+66898+39464+31918+7910</f>
        <v>255930</v>
      </c>
      <c r="N121" s="296">
        <f>+L121/M121</f>
        <v>7.565782635876998</v>
      </c>
      <c r="O121" s="204">
        <v>1</v>
      </c>
    </row>
    <row r="122" spans="1:15" ht="15">
      <c r="A122" s="186">
        <v>119</v>
      </c>
      <c r="B122" s="298" t="s">
        <v>19</v>
      </c>
      <c r="C122" s="114">
        <v>40172</v>
      </c>
      <c r="D122" s="105" t="s">
        <v>76</v>
      </c>
      <c r="E122" s="324">
        <v>196</v>
      </c>
      <c r="F122" s="324">
        <v>16</v>
      </c>
      <c r="G122" s="324">
        <v>6</v>
      </c>
      <c r="H122" s="144">
        <v>23614</v>
      </c>
      <c r="I122" s="145">
        <v>4204</v>
      </c>
      <c r="J122" s="175">
        <f>I122/F122</f>
        <v>262.75</v>
      </c>
      <c r="K122" s="119">
        <f>H122/I122</f>
        <v>5.617031398667935</v>
      </c>
      <c r="L122" s="146">
        <f>821982.75+546264.5+300546.5+218412+49105+23614+196</f>
        <v>1960120.75</v>
      </c>
      <c r="M122" s="175">
        <f>109740+66898+39464+31918+7910+4204-8</f>
        <v>260126</v>
      </c>
      <c r="N122" s="297">
        <f>L122/M122</f>
        <v>7.535274251708787</v>
      </c>
      <c r="O122" s="205">
        <v>1</v>
      </c>
    </row>
    <row r="123" spans="1:15" ht="15">
      <c r="A123" s="186">
        <v>120</v>
      </c>
      <c r="B123" s="298" t="s">
        <v>19</v>
      </c>
      <c r="C123" s="114">
        <v>40172</v>
      </c>
      <c r="D123" s="105" t="s">
        <v>76</v>
      </c>
      <c r="E123" s="324">
        <v>196</v>
      </c>
      <c r="F123" s="324">
        <v>14</v>
      </c>
      <c r="G123" s="324">
        <v>7</v>
      </c>
      <c r="H123" s="200">
        <v>9844</v>
      </c>
      <c r="I123" s="201">
        <v>1658</v>
      </c>
      <c r="J123" s="175">
        <f>(I123/F123)</f>
        <v>118.42857142857143</v>
      </c>
      <c r="K123" s="119">
        <f>(J123/G123)</f>
        <v>16.918367346938776</v>
      </c>
      <c r="L123" s="146">
        <f>821982.75+546264.5+300546.5+218412+49105+23614+196+9844</f>
        <v>1969964.75</v>
      </c>
      <c r="M123" s="175">
        <f>109740+66898+39464+31918+7910+4204-8+1658-1</f>
        <v>261783</v>
      </c>
      <c r="N123" s="299">
        <f>L123/M123</f>
        <v>7.525182116485792</v>
      </c>
      <c r="O123" s="204">
        <v>1</v>
      </c>
    </row>
    <row r="124" spans="1:15" ht="15">
      <c r="A124" s="186">
        <v>121</v>
      </c>
      <c r="B124" s="308" t="s">
        <v>174</v>
      </c>
      <c r="C124" s="114">
        <v>40172</v>
      </c>
      <c r="D124" s="225" t="s">
        <v>76</v>
      </c>
      <c r="E124" s="324">
        <v>196</v>
      </c>
      <c r="F124" s="324">
        <v>2</v>
      </c>
      <c r="G124" s="324">
        <v>9</v>
      </c>
      <c r="H124" s="222">
        <v>2445</v>
      </c>
      <c r="I124" s="223">
        <v>431</v>
      </c>
      <c r="J124" s="229">
        <f>I124/F124</f>
        <v>215.5</v>
      </c>
      <c r="K124" s="121">
        <f>H124/I124</f>
        <v>5.672853828306264</v>
      </c>
      <c r="L124" s="120">
        <f>821982.75+546264.5+300546.5+218412+49105+23614+196+9844+340-11+2445</f>
        <v>1972738.75</v>
      </c>
      <c r="M124" s="229">
        <f>109740+66898+39464+31918+7910+4204-8+1658-1+56+431+18</f>
        <v>262288</v>
      </c>
      <c r="N124" s="299">
        <f>+L124/M124</f>
        <v>7.521269558653084</v>
      </c>
      <c r="O124" s="234">
        <v>1</v>
      </c>
    </row>
    <row r="125" spans="1:15" ht="15">
      <c r="A125" s="186">
        <v>122</v>
      </c>
      <c r="B125" s="308" t="s">
        <v>174</v>
      </c>
      <c r="C125" s="224">
        <v>40172</v>
      </c>
      <c r="D125" s="225" t="s">
        <v>76</v>
      </c>
      <c r="E125" s="270">
        <v>196</v>
      </c>
      <c r="F125" s="270">
        <v>2</v>
      </c>
      <c r="G125" s="270">
        <v>8</v>
      </c>
      <c r="H125" s="226">
        <v>340</v>
      </c>
      <c r="I125" s="227">
        <v>56</v>
      </c>
      <c r="J125" s="229">
        <f>+I125/F125</f>
        <v>28</v>
      </c>
      <c r="K125" s="121">
        <f>+H125/I125</f>
        <v>6.071428571428571</v>
      </c>
      <c r="L125" s="228">
        <f>821982.75+546264.5+300546.5+218412+49105+23614+196+9844+340-11</f>
        <v>1970293.75</v>
      </c>
      <c r="M125" s="231">
        <f>109740+66898+39464+31918+7910+4204-8+1658-1+56</f>
        <v>261839</v>
      </c>
      <c r="N125" s="299">
        <f>+L125/M125</f>
        <v>7.524829188929075</v>
      </c>
      <c r="O125" s="202">
        <v>1</v>
      </c>
    </row>
    <row r="126" spans="1:15" ht="15">
      <c r="A126" s="186">
        <v>123</v>
      </c>
      <c r="B126" s="304" t="s">
        <v>28</v>
      </c>
      <c r="C126" s="97">
        <v>39920</v>
      </c>
      <c r="D126" s="155" t="s">
        <v>130</v>
      </c>
      <c r="E126" s="326">
        <v>132</v>
      </c>
      <c r="F126" s="326">
        <v>3</v>
      </c>
      <c r="G126" s="326">
        <v>19</v>
      </c>
      <c r="H126" s="156">
        <v>2655</v>
      </c>
      <c r="I126" s="157">
        <v>531</v>
      </c>
      <c r="J126" s="124">
        <f>+I126/F126</f>
        <v>177</v>
      </c>
      <c r="K126" s="125">
        <f>+H126/I126</f>
        <v>5</v>
      </c>
      <c r="L126" s="158">
        <v>914710</v>
      </c>
      <c r="M126" s="159">
        <v>117082</v>
      </c>
      <c r="N126" s="302">
        <f>+L126/M126</f>
        <v>7.812558719529902</v>
      </c>
      <c r="O126" s="204">
        <v>1</v>
      </c>
    </row>
    <row r="127" spans="1:15" ht="15">
      <c r="A127" s="186">
        <v>124</v>
      </c>
      <c r="B127" s="298" t="s">
        <v>45</v>
      </c>
      <c r="C127" s="114">
        <v>39926</v>
      </c>
      <c r="D127" s="165" t="s">
        <v>155</v>
      </c>
      <c r="E127" s="324">
        <v>40</v>
      </c>
      <c r="F127" s="324">
        <v>2</v>
      </c>
      <c r="G127" s="324">
        <v>30</v>
      </c>
      <c r="H127" s="99">
        <v>1280</v>
      </c>
      <c r="I127" s="100">
        <v>182</v>
      </c>
      <c r="J127" s="101">
        <f>(I127/F127)</f>
        <v>91</v>
      </c>
      <c r="K127" s="102">
        <f>H127/I127</f>
        <v>7.032967032967033</v>
      </c>
      <c r="L127" s="103">
        <f>35864.5+53058.5+35303.5+15734.5+12778.5+9687.5+8045+13953.5+10307+6140.75+1296+667+231+755+1970+2246+752.5+591.5+130+445+2051+750+1477+2060+1816+47+72+84+378+2301+1280</f>
        <v>222273.25</v>
      </c>
      <c r="M127" s="104">
        <f>3971+5771+3969+2398+2257+2131+1634+2509+1783+912+230+126+48+181+472+311+114+91+20+78+493+183+365+462+452+9+24+28+94+494+182</f>
        <v>31792</v>
      </c>
      <c r="N127" s="296">
        <f>L127/M127</f>
        <v>6.991483706592853</v>
      </c>
      <c r="O127" s="202"/>
    </row>
    <row r="128" spans="1:15" ht="15">
      <c r="A128" s="186">
        <v>125</v>
      </c>
      <c r="B128" s="298" t="s">
        <v>45</v>
      </c>
      <c r="C128" s="114">
        <v>39926</v>
      </c>
      <c r="D128" s="155" t="s">
        <v>155</v>
      </c>
      <c r="E128" s="324">
        <v>40</v>
      </c>
      <c r="F128" s="324">
        <v>2</v>
      </c>
      <c r="G128" s="324">
        <v>31</v>
      </c>
      <c r="H128" s="99">
        <v>700</v>
      </c>
      <c r="I128" s="100">
        <v>115</v>
      </c>
      <c r="J128" s="101">
        <f>(I128/F128)</f>
        <v>57.5</v>
      </c>
      <c r="K128" s="106">
        <f>H128/I128</f>
        <v>6.086956521739131</v>
      </c>
      <c r="L128" s="103">
        <f>35864.5+53058.5+35303.5+15734.5+12778.5+9687.5+8045+13953.5+10307+6140.75+1296+667+231+755+1970+2246+752.5+591.5+130+445+2051+750+1477+2060+1816+47+72+84+378+2301+1280+700</f>
        <v>222973.25</v>
      </c>
      <c r="M128" s="104">
        <f>3971+5771+3969+2398+2257+2131+1634+2509+1783+912+230+126+48+181+472+311+114+91+20+78+493+183+365+462+452+9+24+28+94+494+182+115</f>
        <v>31907</v>
      </c>
      <c r="N128" s="295">
        <f>L128/M128</f>
        <v>6.988223587300593</v>
      </c>
      <c r="O128" s="202"/>
    </row>
    <row r="129" spans="1:15" ht="15">
      <c r="A129" s="186">
        <v>126</v>
      </c>
      <c r="B129" s="298" t="s">
        <v>45</v>
      </c>
      <c r="C129" s="114">
        <v>39926</v>
      </c>
      <c r="D129" s="155" t="s">
        <v>155</v>
      </c>
      <c r="E129" s="324">
        <v>40</v>
      </c>
      <c r="F129" s="324">
        <v>1</v>
      </c>
      <c r="G129" s="324">
        <v>32</v>
      </c>
      <c r="H129" s="99">
        <v>256</v>
      </c>
      <c r="I129" s="108">
        <v>64</v>
      </c>
      <c r="J129" s="109">
        <f>(I129/F129)</f>
        <v>64</v>
      </c>
      <c r="K129" s="102">
        <f>H129/I129</f>
        <v>4</v>
      </c>
      <c r="L129" s="103">
        <f>35864.5+53058.5+35303.5+15734.5+12778.5+9687.5+8045+13953.5+10307+6140.75+1296+667+231+755+1970+2246+752.5+591.5+130+445+2051+750+1477+2060+1816+47+72+84+378+2301+1280+700+256</f>
        <v>223229.25</v>
      </c>
      <c r="M129" s="110">
        <f>3971+5771+3969+2398+2257+2131+1634+2509+1783+912+230+126+48+181+472+311+114+91+20+78+493+183+365+462+452+9+24+28+94+494+182+115+64</f>
        <v>31971</v>
      </c>
      <c r="N129" s="296">
        <f>L129/M129</f>
        <v>6.982241719057896</v>
      </c>
      <c r="O129" s="204"/>
    </row>
    <row r="130" spans="1:15" ht="15">
      <c r="A130" s="186">
        <v>127</v>
      </c>
      <c r="B130" s="294" t="s">
        <v>78</v>
      </c>
      <c r="C130" s="97">
        <v>40123</v>
      </c>
      <c r="D130" s="105" t="s">
        <v>157</v>
      </c>
      <c r="E130" s="323">
        <v>58</v>
      </c>
      <c r="F130" s="323">
        <v>7</v>
      </c>
      <c r="G130" s="323">
        <v>9</v>
      </c>
      <c r="H130" s="122">
        <v>2843</v>
      </c>
      <c r="I130" s="127">
        <v>406</v>
      </c>
      <c r="J130" s="128">
        <f>IF(H130&lt;&gt;0,I130/F130,"")</f>
        <v>58</v>
      </c>
      <c r="K130" s="129">
        <f>IF(H130&lt;&gt;0,H130/I130,"")</f>
        <v>7.002463054187192</v>
      </c>
      <c r="L130" s="126">
        <v>471356.75</v>
      </c>
      <c r="M130" s="229">
        <v>45156</v>
      </c>
      <c r="N130" s="303">
        <f>IF(L130&lt;&gt;0,L130/M130,"")</f>
        <v>10.438407963504297</v>
      </c>
      <c r="O130" s="203"/>
    </row>
    <row r="131" spans="1:15" ht="15">
      <c r="A131" s="186">
        <v>128</v>
      </c>
      <c r="B131" s="298" t="s">
        <v>78</v>
      </c>
      <c r="C131" s="114">
        <v>40123</v>
      </c>
      <c r="D131" s="105" t="s">
        <v>157</v>
      </c>
      <c r="E131" s="324">
        <v>58</v>
      </c>
      <c r="F131" s="324">
        <v>3</v>
      </c>
      <c r="G131" s="324">
        <v>12</v>
      </c>
      <c r="H131" s="144">
        <v>2007</v>
      </c>
      <c r="I131" s="145">
        <v>364</v>
      </c>
      <c r="J131" s="175">
        <f>I131/F131</f>
        <v>121.33333333333333</v>
      </c>
      <c r="K131" s="119">
        <f>H131/I131</f>
        <v>5.513736263736264</v>
      </c>
      <c r="L131" s="146">
        <v>474913.75</v>
      </c>
      <c r="M131" s="175">
        <v>45796</v>
      </c>
      <c r="N131" s="297">
        <f>L131/M131</f>
        <v>10.370201545986548</v>
      </c>
      <c r="O131" s="205"/>
    </row>
    <row r="132" spans="1:15" ht="15">
      <c r="A132" s="186">
        <v>129</v>
      </c>
      <c r="B132" s="294" t="s">
        <v>78</v>
      </c>
      <c r="C132" s="97">
        <v>40123</v>
      </c>
      <c r="D132" s="105" t="s">
        <v>157</v>
      </c>
      <c r="E132" s="323">
        <v>58</v>
      </c>
      <c r="F132" s="323">
        <v>4</v>
      </c>
      <c r="G132" s="323">
        <v>10</v>
      </c>
      <c r="H132" s="122">
        <v>1180</v>
      </c>
      <c r="I132" s="123">
        <v>202</v>
      </c>
      <c r="J132" s="124">
        <f>IF(H132&lt;&gt;0,I132/F132,"")</f>
        <v>50.5</v>
      </c>
      <c r="K132" s="125">
        <f>IF(H132&lt;&gt;0,H132/I132,"")</f>
        <v>5.841584158415841</v>
      </c>
      <c r="L132" s="126">
        <v>472536.75</v>
      </c>
      <c r="M132" s="175">
        <v>45358</v>
      </c>
      <c r="N132" s="302">
        <f>IF(L132&lt;&gt;0,L132/M132,"")</f>
        <v>10.417936196481326</v>
      </c>
      <c r="O132" s="204"/>
    </row>
    <row r="133" spans="1:15" ht="15">
      <c r="A133" s="186">
        <v>130</v>
      </c>
      <c r="B133" s="298" t="s">
        <v>78</v>
      </c>
      <c r="C133" s="114">
        <v>40123</v>
      </c>
      <c r="D133" s="105" t="s">
        <v>157</v>
      </c>
      <c r="E133" s="324">
        <v>58</v>
      </c>
      <c r="F133" s="324">
        <v>2</v>
      </c>
      <c r="G133" s="324">
        <v>13</v>
      </c>
      <c r="H133" s="200">
        <v>1001</v>
      </c>
      <c r="I133" s="201">
        <v>135</v>
      </c>
      <c r="J133" s="175">
        <f>(I133/F133)</f>
        <v>67.5</v>
      </c>
      <c r="K133" s="119">
        <f>(J133/G133)</f>
        <v>5.1923076923076925</v>
      </c>
      <c r="L133" s="146">
        <v>475914.75</v>
      </c>
      <c r="M133" s="175">
        <v>45931</v>
      </c>
      <c r="N133" s="299">
        <f>L133/M133</f>
        <v>10.36151509873506</v>
      </c>
      <c r="O133" s="204"/>
    </row>
    <row r="134" spans="1:15" ht="15">
      <c r="A134" s="186">
        <v>131</v>
      </c>
      <c r="B134" s="298" t="s">
        <v>78</v>
      </c>
      <c r="C134" s="114">
        <v>40123</v>
      </c>
      <c r="D134" s="105" t="s">
        <v>157</v>
      </c>
      <c r="E134" s="324">
        <v>58</v>
      </c>
      <c r="F134" s="324">
        <v>1</v>
      </c>
      <c r="G134" s="324">
        <v>14</v>
      </c>
      <c r="H134" s="222">
        <v>563</v>
      </c>
      <c r="I134" s="223">
        <v>98</v>
      </c>
      <c r="J134" s="229">
        <f>IF(H134&lt;&gt;0,I134/F134,"")</f>
        <v>98</v>
      </c>
      <c r="K134" s="121">
        <f>IF(H134&lt;&gt;0,H134/I134,"")</f>
        <v>5.744897959183674</v>
      </c>
      <c r="L134" s="120">
        <v>476477.75</v>
      </c>
      <c r="M134" s="229">
        <v>46029</v>
      </c>
      <c r="N134" s="299">
        <f>IF(L134&lt;&gt;0,L134/M134,"")</f>
        <v>10.351685893675727</v>
      </c>
      <c r="O134" s="202"/>
    </row>
    <row r="135" spans="1:15" ht="15">
      <c r="A135" s="186">
        <v>132</v>
      </c>
      <c r="B135" s="294" t="s">
        <v>78</v>
      </c>
      <c r="C135" s="97">
        <v>40123</v>
      </c>
      <c r="D135" s="111" t="s">
        <v>157</v>
      </c>
      <c r="E135" s="323">
        <v>58</v>
      </c>
      <c r="F135" s="323">
        <v>1</v>
      </c>
      <c r="G135" s="323">
        <v>8</v>
      </c>
      <c r="H135" s="122">
        <v>414</v>
      </c>
      <c r="I135" s="127">
        <v>83</v>
      </c>
      <c r="J135" s="128">
        <f>IF(H135&lt;&gt;0,I135/F135,"")</f>
        <v>83</v>
      </c>
      <c r="K135" s="125">
        <f>IF(H135&lt;&gt;0,H135/I135,"")</f>
        <v>4.9879518072289155</v>
      </c>
      <c r="L135" s="126">
        <v>468513.75</v>
      </c>
      <c r="M135" s="229">
        <v>44750</v>
      </c>
      <c r="N135" s="302">
        <f>IF(L135&lt;&gt;0,L135/M135,"")</f>
        <v>10.469581005586592</v>
      </c>
      <c r="O135" s="202"/>
    </row>
    <row r="136" spans="1:15" ht="15">
      <c r="A136" s="186">
        <v>133</v>
      </c>
      <c r="B136" s="298" t="s">
        <v>78</v>
      </c>
      <c r="C136" s="114">
        <v>40123</v>
      </c>
      <c r="D136" s="116" t="s">
        <v>157</v>
      </c>
      <c r="E136" s="324">
        <v>58</v>
      </c>
      <c r="F136" s="324">
        <v>4</v>
      </c>
      <c r="G136" s="324">
        <v>11</v>
      </c>
      <c r="H136" s="112">
        <v>370</v>
      </c>
      <c r="I136" s="108">
        <v>74</v>
      </c>
      <c r="J136" s="109">
        <f>IF(H136&lt;&gt;0,I136/F136,"")</f>
        <v>18.5</v>
      </c>
      <c r="K136" s="102">
        <f>IF(H136&lt;&gt;0,H136/I136,"")</f>
        <v>5</v>
      </c>
      <c r="L136" s="113">
        <v>472906.75</v>
      </c>
      <c r="M136" s="110">
        <v>45432</v>
      </c>
      <c r="N136" s="296">
        <f>IF(L136&lt;&gt;0,L136/M136,"")</f>
        <v>10.409111419263954</v>
      </c>
      <c r="O136" s="204"/>
    </row>
    <row r="137" spans="1:15" ht="15">
      <c r="A137" s="186">
        <v>134</v>
      </c>
      <c r="B137" s="298" t="s">
        <v>78</v>
      </c>
      <c r="C137" s="224">
        <v>40123</v>
      </c>
      <c r="D137" s="105" t="s">
        <v>157</v>
      </c>
      <c r="E137" s="270">
        <v>58</v>
      </c>
      <c r="F137" s="270">
        <v>2</v>
      </c>
      <c r="G137" s="270">
        <v>15</v>
      </c>
      <c r="H137" s="226">
        <v>303</v>
      </c>
      <c r="I137" s="227">
        <v>50</v>
      </c>
      <c r="J137" s="229">
        <f>I137/F137</f>
        <v>25</v>
      </c>
      <c r="K137" s="121">
        <f>H137/I137</f>
        <v>6.06</v>
      </c>
      <c r="L137" s="120">
        <v>476780.75</v>
      </c>
      <c r="M137" s="229">
        <v>46079</v>
      </c>
      <c r="N137" s="299">
        <f>+L137/M137</f>
        <v>10.34702901538662</v>
      </c>
      <c r="O137" s="236"/>
    </row>
    <row r="138" spans="1:15" ht="15">
      <c r="A138" s="186">
        <v>135</v>
      </c>
      <c r="B138" s="298" t="s">
        <v>83</v>
      </c>
      <c r="C138" s="114">
        <v>40151</v>
      </c>
      <c r="D138" s="115" t="s">
        <v>155</v>
      </c>
      <c r="E138" s="324">
        <v>8</v>
      </c>
      <c r="F138" s="324">
        <v>7</v>
      </c>
      <c r="G138" s="324">
        <v>6</v>
      </c>
      <c r="H138" s="99">
        <v>4958.5</v>
      </c>
      <c r="I138" s="100">
        <v>693</v>
      </c>
      <c r="J138" s="101">
        <f>(I138/F138)</f>
        <v>99</v>
      </c>
      <c r="K138" s="106">
        <f>H138/I138</f>
        <v>7.155122655122655</v>
      </c>
      <c r="L138" s="103">
        <f>69195.5+29540+2797+8009+1473.5+4958.5</f>
        <v>115973.5</v>
      </c>
      <c r="M138" s="104">
        <f>5170+2208+292+904+296+693</f>
        <v>9563</v>
      </c>
      <c r="N138" s="295">
        <f aca="true" t="shared" si="14" ref="N138:N143">L138/M138</f>
        <v>12.127313604517411</v>
      </c>
      <c r="O138" s="202"/>
    </row>
    <row r="139" spans="1:15" ht="15">
      <c r="A139" s="186">
        <v>136</v>
      </c>
      <c r="B139" s="300" t="s">
        <v>83</v>
      </c>
      <c r="C139" s="130">
        <v>40151</v>
      </c>
      <c r="D139" s="131" t="s">
        <v>155</v>
      </c>
      <c r="E139" s="325">
        <v>8</v>
      </c>
      <c r="F139" s="325">
        <v>6</v>
      </c>
      <c r="G139" s="325">
        <v>7</v>
      </c>
      <c r="H139" s="99">
        <v>4691.5</v>
      </c>
      <c r="I139" s="108">
        <v>949</v>
      </c>
      <c r="J139" s="109">
        <f>(I139/F139)</f>
        <v>158.16666666666666</v>
      </c>
      <c r="K139" s="102">
        <f>H139/I139</f>
        <v>4.943624868282402</v>
      </c>
      <c r="L139" s="103">
        <f>69195.5+29540+2797+8009+1473.5+4958.5+4691.5</f>
        <v>120665</v>
      </c>
      <c r="M139" s="110">
        <f>5170+2208+292+904+296+693+949</f>
        <v>10512</v>
      </c>
      <c r="N139" s="296">
        <f t="shared" si="14"/>
        <v>11.478786149162861</v>
      </c>
      <c r="O139" s="204"/>
    </row>
    <row r="140" spans="1:15" ht="15">
      <c r="A140" s="186">
        <v>137</v>
      </c>
      <c r="B140" s="298" t="s">
        <v>83</v>
      </c>
      <c r="C140" s="114">
        <v>40151</v>
      </c>
      <c r="D140" s="105" t="s">
        <v>155</v>
      </c>
      <c r="E140" s="324">
        <v>8</v>
      </c>
      <c r="F140" s="324">
        <v>4</v>
      </c>
      <c r="G140" s="324">
        <v>10</v>
      </c>
      <c r="H140" s="200">
        <v>3228</v>
      </c>
      <c r="I140" s="201">
        <v>613</v>
      </c>
      <c r="J140" s="175">
        <f>I140/F140</f>
        <v>153.25</v>
      </c>
      <c r="K140" s="119">
        <f>+H140/I140</f>
        <v>5.265905383360522</v>
      </c>
      <c r="L140" s="146">
        <f>69195.5+29540+2797+8009+1473.5+4958.5+4691.5+45+762+3228</f>
        <v>124700</v>
      </c>
      <c r="M140" s="175">
        <f>5170+2208+292+904+296+693+949+9+122+613</f>
        <v>11256</v>
      </c>
      <c r="N140" s="299">
        <f t="shared" si="14"/>
        <v>11.078535891968729</v>
      </c>
      <c r="O140" s="204"/>
    </row>
    <row r="141" spans="1:15" ht="15">
      <c r="A141" s="186">
        <v>138</v>
      </c>
      <c r="B141" s="298" t="s">
        <v>83</v>
      </c>
      <c r="C141" s="114">
        <v>40151</v>
      </c>
      <c r="D141" s="116" t="s">
        <v>155</v>
      </c>
      <c r="E141" s="324">
        <v>8</v>
      </c>
      <c r="F141" s="324">
        <v>3</v>
      </c>
      <c r="G141" s="324">
        <v>5</v>
      </c>
      <c r="H141" s="99">
        <v>1473.5</v>
      </c>
      <c r="I141" s="100">
        <v>296</v>
      </c>
      <c r="J141" s="101">
        <f>(I141/F141)</f>
        <v>98.66666666666667</v>
      </c>
      <c r="K141" s="102">
        <f>H141/I141</f>
        <v>4.97804054054054</v>
      </c>
      <c r="L141" s="103">
        <f>69195.5+29540+2797+8009+1473.5</f>
        <v>111015</v>
      </c>
      <c r="M141" s="104">
        <f>5170+2208+292+904+296</f>
        <v>8870</v>
      </c>
      <c r="N141" s="296">
        <f t="shared" si="14"/>
        <v>12.515783540022548</v>
      </c>
      <c r="O141" s="202"/>
    </row>
    <row r="142" spans="1:15" ht="15">
      <c r="A142" s="186">
        <v>139</v>
      </c>
      <c r="B142" s="300" t="s">
        <v>83</v>
      </c>
      <c r="C142" s="130">
        <v>40151</v>
      </c>
      <c r="D142" s="131" t="s">
        <v>155</v>
      </c>
      <c r="E142" s="325">
        <v>8</v>
      </c>
      <c r="F142" s="325">
        <v>2</v>
      </c>
      <c r="G142" s="325">
        <v>9</v>
      </c>
      <c r="H142" s="112">
        <v>738</v>
      </c>
      <c r="I142" s="108">
        <v>114</v>
      </c>
      <c r="J142" s="109">
        <f>(I142/F142)</f>
        <v>57</v>
      </c>
      <c r="K142" s="119">
        <f>+H142/I142</f>
        <v>6.473684210526316</v>
      </c>
      <c r="L142" s="113">
        <f>69195.5+29540+2797+8009+1473.5+4958.5+4691.5+45+738</f>
        <v>121448</v>
      </c>
      <c r="M142" s="110">
        <f>5170+2208+292+904+296+693+949+9+114</f>
        <v>10635</v>
      </c>
      <c r="N142" s="301">
        <f t="shared" si="14"/>
        <v>11.419652092148565</v>
      </c>
      <c r="O142" s="205"/>
    </row>
    <row r="143" spans="1:15" ht="15">
      <c r="A143" s="186">
        <v>140</v>
      </c>
      <c r="B143" s="298" t="s">
        <v>83</v>
      </c>
      <c r="C143" s="114">
        <v>40151</v>
      </c>
      <c r="D143" s="116" t="s">
        <v>155</v>
      </c>
      <c r="E143" s="324">
        <v>8</v>
      </c>
      <c r="F143" s="324">
        <v>1</v>
      </c>
      <c r="G143" s="324">
        <v>8</v>
      </c>
      <c r="H143" s="112">
        <v>45</v>
      </c>
      <c r="I143" s="108">
        <v>9</v>
      </c>
      <c r="J143" s="109">
        <f>(I143/F143)</f>
        <v>9</v>
      </c>
      <c r="K143" s="102">
        <f>H143/I143</f>
        <v>5</v>
      </c>
      <c r="L143" s="113">
        <f>69195.5+29540+2797+8009+1473.5+4958.5+4691.5+45</f>
        <v>120710</v>
      </c>
      <c r="M143" s="110">
        <f>5170+2208+292+904+296+693+949+9</f>
        <v>10521</v>
      </c>
      <c r="N143" s="296">
        <f t="shared" si="14"/>
        <v>11.473243988214048</v>
      </c>
      <c r="O143" s="204"/>
    </row>
    <row r="144" spans="1:15" ht="15">
      <c r="A144" s="186">
        <v>141</v>
      </c>
      <c r="B144" s="298" t="s">
        <v>118</v>
      </c>
      <c r="C144" s="114">
        <v>40102</v>
      </c>
      <c r="D144" s="147" t="s">
        <v>154</v>
      </c>
      <c r="E144" s="324">
        <v>62</v>
      </c>
      <c r="F144" s="324">
        <v>2</v>
      </c>
      <c r="G144" s="324">
        <v>13</v>
      </c>
      <c r="H144" s="117">
        <v>3422</v>
      </c>
      <c r="I144" s="145">
        <v>491</v>
      </c>
      <c r="J144" s="175">
        <f>I144/F144</f>
        <v>245.5</v>
      </c>
      <c r="K144" s="119">
        <f>+H144/I144</f>
        <v>6.969450101832994</v>
      </c>
      <c r="L144" s="120">
        <v>493437</v>
      </c>
      <c r="M144" s="175">
        <v>56198</v>
      </c>
      <c r="N144" s="297">
        <f>+L144/M144</f>
        <v>8.780330260863376</v>
      </c>
      <c r="O144" s="204"/>
    </row>
    <row r="145" spans="1:15" ht="15">
      <c r="A145" s="186">
        <v>142</v>
      </c>
      <c r="B145" s="298" t="s">
        <v>118</v>
      </c>
      <c r="C145" s="114">
        <v>40102</v>
      </c>
      <c r="D145" s="147" t="s">
        <v>154</v>
      </c>
      <c r="E145" s="324">
        <v>62</v>
      </c>
      <c r="F145" s="324">
        <v>1</v>
      </c>
      <c r="G145" s="324">
        <v>12</v>
      </c>
      <c r="H145" s="117">
        <v>1258</v>
      </c>
      <c r="I145" s="118">
        <v>177</v>
      </c>
      <c r="J145" s="229">
        <f>I145/F145</f>
        <v>177</v>
      </c>
      <c r="K145" s="121">
        <f>+H145/I145</f>
        <v>7.107344632768362</v>
      </c>
      <c r="L145" s="120">
        <v>490015</v>
      </c>
      <c r="M145" s="229">
        <v>55707</v>
      </c>
      <c r="N145" s="299">
        <f>+L145/M145</f>
        <v>8.796291309889241</v>
      </c>
      <c r="O145" s="203"/>
    </row>
    <row r="146" spans="1:15" ht="15">
      <c r="A146" s="186">
        <v>143</v>
      </c>
      <c r="B146" s="298" t="s">
        <v>118</v>
      </c>
      <c r="C146" s="114">
        <v>40102</v>
      </c>
      <c r="D146" s="154" t="s">
        <v>154</v>
      </c>
      <c r="E146" s="324">
        <v>62</v>
      </c>
      <c r="F146" s="324">
        <v>1</v>
      </c>
      <c r="G146" s="324">
        <v>14</v>
      </c>
      <c r="H146" s="144">
        <v>297</v>
      </c>
      <c r="I146" s="145">
        <v>42</v>
      </c>
      <c r="J146" s="175">
        <f>I146/F146</f>
        <v>42</v>
      </c>
      <c r="K146" s="119">
        <f>+H146/I146</f>
        <v>7.071428571428571</v>
      </c>
      <c r="L146" s="146">
        <v>493734</v>
      </c>
      <c r="M146" s="175">
        <v>56240</v>
      </c>
      <c r="N146" s="297">
        <f>+L146/M146</f>
        <v>8.779054054054054</v>
      </c>
      <c r="O146" s="204"/>
    </row>
    <row r="147" spans="1:15" ht="15">
      <c r="A147" s="186">
        <v>144</v>
      </c>
      <c r="B147" s="298" t="s">
        <v>77</v>
      </c>
      <c r="C147" s="114">
        <v>40116</v>
      </c>
      <c r="D147" s="105" t="s">
        <v>76</v>
      </c>
      <c r="E147" s="324">
        <v>24</v>
      </c>
      <c r="F147" s="324">
        <v>2</v>
      </c>
      <c r="G147" s="324">
        <v>9</v>
      </c>
      <c r="H147" s="144">
        <v>865</v>
      </c>
      <c r="I147" s="145">
        <v>152</v>
      </c>
      <c r="J147" s="175">
        <f>I147/F147</f>
        <v>76</v>
      </c>
      <c r="K147" s="119">
        <f>H147/I147</f>
        <v>5.690789473684211</v>
      </c>
      <c r="L147" s="146">
        <f>87403.25+34862.75+15508.5+2797+944+915+1620+497+865</f>
        <v>145412.5</v>
      </c>
      <c r="M147" s="175">
        <f>14575+405+81+152</f>
        <v>15213</v>
      </c>
      <c r="N147" s="297">
        <f>L147/M147</f>
        <v>9.558436863209097</v>
      </c>
      <c r="O147" s="205"/>
    </row>
    <row r="148" spans="1:15" ht="15">
      <c r="A148" s="186">
        <v>145</v>
      </c>
      <c r="B148" s="298" t="s">
        <v>77</v>
      </c>
      <c r="C148" s="114">
        <v>40116</v>
      </c>
      <c r="D148" s="116" t="s">
        <v>139</v>
      </c>
      <c r="E148" s="324">
        <v>24</v>
      </c>
      <c r="F148" s="324">
        <v>1</v>
      </c>
      <c r="G148" s="324">
        <v>8</v>
      </c>
      <c r="H148" s="117">
        <v>497</v>
      </c>
      <c r="I148" s="118">
        <v>81</v>
      </c>
      <c r="J148" s="128">
        <f>IF(H148&lt;&gt;0,I148/F148,"")</f>
        <v>81</v>
      </c>
      <c r="K148" s="125">
        <f>IF(H148&lt;&gt;0,H148/I148,"")</f>
        <v>6.135802469135802</v>
      </c>
      <c r="L148" s="120">
        <f>87403.25+34862.75+15508.5+2797+944+915+1620+497</f>
        <v>144547.5</v>
      </c>
      <c r="M148" s="229">
        <f>14575+405+81</f>
        <v>15061</v>
      </c>
      <c r="N148" s="302">
        <f>IF(L148&lt;&gt;0,L148/M148,"")</f>
        <v>9.59747028749751</v>
      </c>
      <c r="O148" s="202"/>
    </row>
    <row r="149" spans="1:15" ht="15">
      <c r="A149" s="186">
        <v>146</v>
      </c>
      <c r="B149" s="298" t="s">
        <v>77</v>
      </c>
      <c r="C149" s="114">
        <v>40116</v>
      </c>
      <c r="D149" s="105" t="s">
        <v>76</v>
      </c>
      <c r="E149" s="324">
        <v>24</v>
      </c>
      <c r="F149" s="324">
        <v>1</v>
      </c>
      <c r="G149" s="324">
        <v>10</v>
      </c>
      <c r="H149" s="200">
        <v>439</v>
      </c>
      <c r="I149" s="201">
        <v>83</v>
      </c>
      <c r="J149" s="175">
        <f>(I149/F149)</f>
        <v>83</v>
      </c>
      <c r="K149" s="119">
        <f>(J149/G149)</f>
        <v>8.3</v>
      </c>
      <c r="L149" s="146">
        <f>87403.25+34862.75+15508.5+2797+944+915+1620+497+865+439</f>
        <v>145851.5</v>
      </c>
      <c r="M149" s="175">
        <f>14575+405+81+152+83</f>
        <v>15296</v>
      </c>
      <c r="N149" s="299">
        <f>L149/M149</f>
        <v>9.535270658995817</v>
      </c>
      <c r="O149" s="204"/>
    </row>
    <row r="150" spans="1:15" ht="15">
      <c r="A150" s="186">
        <v>147</v>
      </c>
      <c r="B150" s="298" t="s">
        <v>84</v>
      </c>
      <c r="C150" s="114">
        <v>40151</v>
      </c>
      <c r="D150" s="116" t="s">
        <v>155</v>
      </c>
      <c r="E150" s="324">
        <v>2</v>
      </c>
      <c r="F150" s="324">
        <v>2</v>
      </c>
      <c r="G150" s="324">
        <v>5</v>
      </c>
      <c r="H150" s="99">
        <v>2853</v>
      </c>
      <c r="I150" s="100">
        <v>502</v>
      </c>
      <c r="J150" s="101">
        <f>(I150/F150)</f>
        <v>251</v>
      </c>
      <c r="K150" s="102">
        <f>H150/I150</f>
        <v>5.683266932270916</v>
      </c>
      <c r="L150" s="103">
        <f>14952+6112+2196+2975+2853</f>
        <v>29088</v>
      </c>
      <c r="M150" s="104">
        <f>1468+666+254+478+502</f>
        <v>3368</v>
      </c>
      <c r="N150" s="296">
        <f>L150/M150</f>
        <v>8.636579572446555</v>
      </c>
      <c r="O150" s="202"/>
    </row>
    <row r="151" spans="1:15" ht="15">
      <c r="A151" s="186">
        <v>148</v>
      </c>
      <c r="B151" s="298" t="s">
        <v>84</v>
      </c>
      <c r="C151" s="114">
        <v>40151</v>
      </c>
      <c r="D151" s="115" t="s">
        <v>155</v>
      </c>
      <c r="E151" s="324">
        <v>2</v>
      </c>
      <c r="F151" s="324">
        <v>2</v>
      </c>
      <c r="G151" s="324">
        <v>6</v>
      </c>
      <c r="H151" s="99">
        <v>674</v>
      </c>
      <c r="I151" s="100">
        <v>81</v>
      </c>
      <c r="J151" s="101">
        <f>(I151/F151)</f>
        <v>40.5</v>
      </c>
      <c r="K151" s="106">
        <f>H151/I151</f>
        <v>8.320987654320987</v>
      </c>
      <c r="L151" s="103">
        <f>14952+6112+2196+2975+2853+674</f>
        <v>29762</v>
      </c>
      <c r="M151" s="104">
        <f>1468+666+254+478+502+81</f>
        <v>3449</v>
      </c>
      <c r="N151" s="295">
        <f>L151/M151</f>
        <v>8.629167874746303</v>
      </c>
      <c r="O151" s="202"/>
    </row>
    <row r="152" spans="1:15" ht="15">
      <c r="A152" s="186">
        <v>149</v>
      </c>
      <c r="B152" s="298" t="s">
        <v>84</v>
      </c>
      <c r="C152" s="114">
        <v>40151</v>
      </c>
      <c r="D152" s="105" t="s">
        <v>155</v>
      </c>
      <c r="E152" s="324">
        <v>2</v>
      </c>
      <c r="F152" s="324">
        <v>1</v>
      </c>
      <c r="G152" s="324">
        <v>8</v>
      </c>
      <c r="H152" s="222">
        <v>530</v>
      </c>
      <c r="I152" s="223">
        <v>107</v>
      </c>
      <c r="J152" s="229">
        <f>(I152/F152)</f>
        <v>107</v>
      </c>
      <c r="K152" s="121">
        <f>H152/I152</f>
        <v>4.953271028037383</v>
      </c>
      <c r="L152" s="120">
        <f>14952+6112+2196+2975+2853+674+1006+530</f>
        <v>31298</v>
      </c>
      <c r="M152" s="229">
        <f>1468+666+254+478+502+81+130+107</f>
        <v>3686</v>
      </c>
      <c r="N152" s="299">
        <f>L152/M152</f>
        <v>8.491047205642973</v>
      </c>
      <c r="O152" s="202"/>
    </row>
    <row r="153" spans="1:15" ht="15">
      <c r="A153" s="186">
        <v>150</v>
      </c>
      <c r="B153" s="294" t="s">
        <v>66</v>
      </c>
      <c r="C153" s="114">
        <v>40109</v>
      </c>
      <c r="D153" s="105" t="s">
        <v>130</v>
      </c>
      <c r="E153" s="324">
        <v>27</v>
      </c>
      <c r="F153" s="324">
        <v>3</v>
      </c>
      <c r="G153" s="324">
        <v>7</v>
      </c>
      <c r="H153" s="144">
        <v>1383</v>
      </c>
      <c r="I153" s="145">
        <v>193</v>
      </c>
      <c r="J153" s="175">
        <f>+I153/F153</f>
        <v>64.33333333333333</v>
      </c>
      <c r="K153" s="119">
        <f>+H153/I153</f>
        <v>7.16580310880829</v>
      </c>
      <c r="L153" s="146">
        <v>145394</v>
      </c>
      <c r="M153" s="175">
        <v>12128</v>
      </c>
      <c r="N153" s="297">
        <f>+L153/M153</f>
        <v>11.988291556728232</v>
      </c>
      <c r="O153" s="205"/>
    </row>
    <row r="154" spans="1:15" ht="15">
      <c r="A154" s="186">
        <v>151</v>
      </c>
      <c r="B154" s="294" t="s">
        <v>66</v>
      </c>
      <c r="C154" s="97">
        <v>40109</v>
      </c>
      <c r="D154" s="111" t="s">
        <v>130</v>
      </c>
      <c r="E154" s="323">
        <v>27</v>
      </c>
      <c r="F154" s="323">
        <v>1</v>
      </c>
      <c r="G154" s="323">
        <v>6</v>
      </c>
      <c r="H154" s="112">
        <v>189</v>
      </c>
      <c r="I154" s="108">
        <v>26</v>
      </c>
      <c r="J154" s="109">
        <f>I154/F154</f>
        <v>26</v>
      </c>
      <c r="K154" s="102">
        <f>H154/I154</f>
        <v>7.269230769230769</v>
      </c>
      <c r="L154" s="113">
        <v>142817</v>
      </c>
      <c r="M154" s="110">
        <v>11768</v>
      </c>
      <c r="N154" s="296">
        <f>+L154/M154</f>
        <v>12.136046906866078</v>
      </c>
      <c r="O154" s="204"/>
    </row>
    <row r="155" spans="1:15" ht="15">
      <c r="A155" s="186">
        <v>152</v>
      </c>
      <c r="B155" s="309" t="s">
        <v>36</v>
      </c>
      <c r="C155" s="97">
        <v>40074</v>
      </c>
      <c r="D155" s="155" t="s">
        <v>103</v>
      </c>
      <c r="E155" s="328" t="s">
        <v>115</v>
      </c>
      <c r="F155" s="328" t="s">
        <v>116</v>
      </c>
      <c r="G155" s="328" t="s">
        <v>117</v>
      </c>
      <c r="H155" s="156">
        <v>1385</v>
      </c>
      <c r="I155" s="160">
        <v>222</v>
      </c>
      <c r="J155" s="161">
        <f>+I155/F155</f>
        <v>222</v>
      </c>
      <c r="K155" s="129">
        <f>IF(H155&lt;&gt;0,H155/I155,"")</f>
        <v>6.238738738738738</v>
      </c>
      <c r="L155" s="158">
        <v>176398</v>
      </c>
      <c r="M155" s="162">
        <v>21849</v>
      </c>
      <c r="N155" s="303">
        <f>IF(L155&lt;&gt;0,L155/M155,"")</f>
        <v>8.073504508215478</v>
      </c>
      <c r="O155" s="203"/>
    </row>
    <row r="156" spans="1:15" ht="15">
      <c r="A156" s="186">
        <v>153</v>
      </c>
      <c r="B156" s="309" t="s">
        <v>36</v>
      </c>
      <c r="C156" s="97">
        <v>40074</v>
      </c>
      <c r="D156" s="155" t="s">
        <v>103</v>
      </c>
      <c r="E156" s="328" t="s">
        <v>115</v>
      </c>
      <c r="F156" s="328" t="s">
        <v>116</v>
      </c>
      <c r="G156" s="328" t="s">
        <v>37</v>
      </c>
      <c r="H156" s="156">
        <v>1145</v>
      </c>
      <c r="I156" s="157">
        <v>203</v>
      </c>
      <c r="J156" s="163">
        <f>+I156/F156</f>
        <v>203</v>
      </c>
      <c r="K156" s="164"/>
      <c r="L156" s="158">
        <v>177543</v>
      </c>
      <c r="M156" s="159">
        <v>22052</v>
      </c>
      <c r="N156" s="302">
        <f>IF(L156&lt;&gt;0,L156/M156,"")</f>
        <v>8.05110647560312</v>
      </c>
      <c r="O156" s="204"/>
    </row>
    <row r="157" spans="1:15" ht="15">
      <c r="A157" s="186">
        <v>154</v>
      </c>
      <c r="B157" s="298" t="s">
        <v>46</v>
      </c>
      <c r="C157" s="114">
        <v>39962</v>
      </c>
      <c r="D157" s="115" t="s">
        <v>155</v>
      </c>
      <c r="E157" s="324">
        <v>1</v>
      </c>
      <c r="F157" s="324">
        <v>1</v>
      </c>
      <c r="G157" s="324">
        <v>16</v>
      </c>
      <c r="H157" s="99">
        <v>84</v>
      </c>
      <c r="I157" s="108">
        <v>20</v>
      </c>
      <c r="J157" s="109">
        <f>(I157/F157)</f>
        <v>20</v>
      </c>
      <c r="K157" s="102">
        <f>H157/I157</f>
        <v>4.2</v>
      </c>
      <c r="L157" s="103">
        <f>2055+1340+750+709+604+925+1270+1220+776+981+343+858+383+597+2376+84</f>
        <v>15271</v>
      </c>
      <c r="M157" s="110">
        <f>411+268+150+85+70+118+161+152+99+144+47+143+48+95+594+20</f>
        <v>2605</v>
      </c>
      <c r="N157" s="296">
        <f>L157/M157</f>
        <v>5.862188099808061</v>
      </c>
      <c r="O157" s="204"/>
    </row>
    <row r="158" spans="1:15" ht="15">
      <c r="A158" s="186">
        <v>155</v>
      </c>
      <c r="B158" s="298" t="s">
        <v>46</v>
      </c>
      <c r="C158" s="114">
        <v>39962</v>
      </c>
      <c r="D158" s="116" t="s">
        <v>155</v>
      </c>
      <c r="E158" s="324">
        <v>1</v>
      </c>
      <c r="F158" s="324">
        <v>1</v>
      </c>
      <c r="G158" s="324">
        <v>17</v>
      </c>
      <c r="H158" s="112">
        <v>51</v>
      </c>
      <c r="I158" s="108">
        <v>17</v>
      </c>
      <c r="J158" s="109">
        <f>(I158/F158)</f>
        <v>17</v>
      </c>
      <c r="K158" s="102">
        <f>H158/I158</f>
        <v>3</v>
      </c>
      <c r="L158" s="113">
        <f>2055+1340+750+709+604+925+1270+1220+776+981+343+858+383+597+2376+84+51</f>
        <v>15322</v>
      </c>
      <c r="M158" s="110">
        <f>411+268+150+85+70+118+161+152+99+144+47+143+48+95+594+20+17</f>
        <v>2622</v>
      </c>
      <c r="N158" s="296">
        <f>L158/M158</f>
        <v>5.843630816170862</v>
      </c>
      <c r="O158" s="204"/>
    </row>
    <row r="159" spans="1:15" ht="15">
      <c r="A159" s="186">
        <v>156</v>
      </c>
      <c r="B159" s="294" t="s">
        <v>65</v>
      </c>
      <c r="C159" s="97">
        <v>40088</v>
      </c>
      <c r="D159" s="111" t="s">
        <v>130</v>
      </c>
      <c r="E159" s="323">
        <v>53</v>
      </c>
      <c r="F159" s="323">
        <v>2</v>
      </c>
      <c r="G159" s="323">
        <v>12</v>
      </c>
      <c r="H159" s="112">
        <v>206</v>
      </c>
      <c r="I159" s="108">
        <v>33</v>
      </c>
      <c r="J159" s="109">
        <f>I159/F159</f>
        <v>16.5</v>
      </c>
      <c r="K159" s="102">
        <f>H159/I159</f>
        <v>6.242424242424242</v>
      </c>
      <c r="L159" s="113">
        <v>520501</v>
      </c>
      <c r="M159" s="110">
        <v>51318</v>
      </c>
      <c r="N159" s="296">
        <f aca="true" t="shared" si="15" ref="N159:N165">+L159/M159</f>
        <v>10.142659495693518</v>
      </c>
      <c r="O159" s="204"/>
    </row>
    <row r="160" spans="1:15" ht="15">
      <c r="A160" s="186">
        <v>157</v>
      </c>
      <c r="B160" s="294" t="s">
        <v>65</v>
      </c>
      <c r="C160" s="114">
        <v>40088</v>
      </c>
      <c r="D160" s="105" t="s">
        <v>130</v>
      </c>
      <c r="E160" s="324">
        <v>53</v>
      </c>
      <c r="F160" s="324">
        <v>1</v>
      </c>
      <c r="G160" s="324">
        <v>13</v>
      </c>
      <c r="H160" s="144">
        <v>48</v>
      </c>
      <c r="I160" s="145">
        <v>8</v>
      </c>
      <c r="J160" s="175">
        <f>+I160/F160</f>
        <v>8</v>
      </c>
      <c r="K160" s="119">
        <f>+H160/I160</f>
        <v>6</v>
      </c>
      <c r="L160" s="146">
        <v>520549</v>
      </c>
      <c r="M160" s="175">
        <v>51326</v>
      </c>
      <c r="N160" s="297">
        <f t="shared" si="15"/>
        <v>10.14201379417839</v>
      </c>
      <c r="O160" s="205"/>
    </row>
    <row r="161" spans="1:15" ht="15">
      <c r="A161" s="186">
        <v>158</v>
      </c>
      <c r="B161" s="304" t="s">
        <v>22</v>
      </c>
      <c r="C161" s="97">
        <v>40158</v>
      </c>
      <c r="D161" s="165" t="s">
        <v>130</v>
      </c>
      <c r="E161" s="326">
        <v>148</v>
      </c>
      <c r="F161" s="326">
        <v>91</v>
      </c>
      <c r="G161" s="326">
        <v>4</v>
      </c>
      <c r="H161" s="156">
        <v>119681</v>
      </c>
      <c r="I161" s="160">
        <v>17048</v>
      </c>
      <c r="J161" s="128">
        <f>+I161/F161</f>
        <v>187.34065934065933</v>
      </c>
      <c r="K161" s="125">
        <f>+H161/I161</f>
        <v>7.020236977944627</v>
      </c>
      <c r="L161" s="158">
        <v>2757217</v>
      </c>
      <c r="M161" s="162">
        <v>323709</v>
      </c>
      <c r="N161" s="302">
        <f t="shared" si="15"/>
        <v>8.517579060205307</v>
      </c>
      <c r="O161" s="202">
        <v>1</v>
      </c>
    </row>
    <row r="162" spans="1:15" ht="15">
      <c r="A162" s="186">
        <v>159</v>
      </c>
      <c r="B162" s="304" t="s">
        <v>96</v>
      </c>
      <c r="C162" s="97">
        <v>40158</v>
      </c>
      <c r="D162" s="155" t="s">
        <v>130</v>
      </c>
      <c r="E162" s="326">
        <v>148</v>
      </c>
      <c r="F162" s="326">
        <v>77</v>
      </c>
      <c r="G162" s="326">
        <v>5</v>
      </c>
      <c r="H162" s="156">
        <v>62188</v>
      </c>
      <c r="I162" s="160">
        <v>9495</v>
      </c>
      <c r="J162" s="128">
        <f>+I162/F162</f>
        <v>123.31168831168831</v>
      </c>
      <c r="K162" s="129">
        <f>+H162/I162</f>
        <v>6.549552395997893</v>
      </c>
      <c r="L162" s="158">
        <v>2819404</v>
      </c>
      <c r="M162" s="162">
        <v>333204</v>
      </c>
      <c r="N162" s="303">
        <f t="shared" si="15"/>
        <v>8.461495060083312</v>
      </c>
      <c r="O162" s="203">
        <v>1</v>
      </c>
    </row>
    <row r="163" spans="1:15" ht="15">
      <c r="A163" s="186">
        <v>160</v>
      </c>
      <c r="B163" s="304" t="s">
        <v>22</v>
      </c>
      <c r="C163" s="97">
        <v>40158</v>
      </c>
      <c r="D163" s="155" t="s">
        <v>130</v>
      </c>
      <c r="E163" s="326">
        <v>148</v>
      </c>
      <c r="F163" s="326">
        <v>39</v>
      </c>
      <c r="G163" s="326">
        <v>6</v>
      </c>
      <c r="H163" s="156">
        <v>28359</v>
      </c>
      <c r="I163" s="157">
        <v>4830</v>
      </c>
      <c r="J163" s="124">
        <f>+I163/F163</f>
        <v>123.84615384615384</v>
      </c>
      <c r="K163" s="125">
        <f>+H163/I163</f>
        <v>5.871428571428571</v>
      </c>
      <c r="L163" s="158">
        <v>2847763</v>
      </c>
      <c r="M163" s="159">
        <v>338034</v>
      </c>
      <c r="N163" s="302">
        <f t="shared" si="15"/>
        <v>8.42448688593455</v>
      </c>
      <c r="O163" s="204">
        <v>1</v>
      </c>
    </row>
    <row r="164" spans="1:15" ht="15">
      <c r="A164" s="186">
        <v>161</v>
      </c>
      <c r="B164" s="294" t="s">
        <v>96</v>
      </c>
      <c r="C164" s="97">
        <v>40158</v>
      </c>
      <c r="D164" s="111" t="s">
        <v>130</v>
      </c>
      <c r="E164" s="323">
        <v>148</v>
      </c>
      <c r="F164" s="323">
        <v>16</v>
      </c>
      <c r="G164" s="323">
        <v>7</v>
      </c>
      <c r="H164" s="112">
        <v>12514</v>
      </c>
      <c r="I164" s="108">
        <v>2441</v>
      </c>
      <c r="J164" s="109">
        <f>I164/F164</f>
        <v>152.5625</v>
      </c>
      <c r="K164" s="102">
        <f>H164/I164</f>
        <v>5.126587464154035</v>
      </c>
      <c r="L164" s="113">
        <v>2860277</v>
      </c>
      <c r="M164" s="110">
        <v>340475</v>
      </c>
      <c r="N164" s="296">
        <f t="shared" si="15"/>
        <v>8.40084294001028</v>
      </c>
      <c r="O164" s="204">
        <v>1</v>
      </c>
    </row>
    <row r="165" spans="1:15" ht="15">
      <c r="A165" s="186">
        <v>162</v>
      </c>
      <c r="B165" s="294" t="s">
        <v>96</v>
      </c>
      <c r="C165" s="114">
        <v>40158</v>
      </c>
      <c r="D165" s="105" t="s">
        <v>130</v>
      </c>
      <c r="E165" s="324">
        <v>148</v>
      </c>
      <c r="F165" s="324">
        <v>6</v>
      </c>
      <c r="G165" s="324">
        <v>8</v>
      </c>
      <c r="H165" s="144">
        <v>2612</v>
      </c>
      <c r="I165" s="145">
        <v>424</v>
      </c>
      <c r="J165" s="175">
        <f>+I165/F165</f>
        <v>70.66666666666667</v>
      </c>
      <c r="K165" s="119">
        <f>+H165/I165</f>
        <v>6.160377358490566</v>
      </c>
      <c r="L165" s="146">
        <v>2862889</v>
      </c>
      <c r="M165" s="175">
        <v>340899</v>
      </c>
      <c r="N165" s="297">
        <f t="shared" si="15"/>
        <v>8.39805631580028</v>
      </c>
      <c r="O165" s="205">
        <v>1</v>
      </c>
    </row>
    <row r="166" spans="1:15" ht="15">
      <c r="A166" s="186">
        <v>163</v>
      </c>
      <c r="B166" s="298" t="s">
        <v>22</v>
      </c>
      <c r="C166" s="114">
        <v>40158</v>
      </c>
      <c r="D166" s="105" t="s">
        <v>130</v>
      </c>
      <c r="E166" s="324">
        <v>148</v>
      </c>
      <c r="F166" s="324">
        <v>2</v>
      </c>
      <c r="G166" s="324">
        <v>9</v>
      </c>
      <c r="H166" s="200">
        <v>836</v>
      </c>
      <c r="I166" s="201">
        <v>126</v>
      </c>
      <c r="J166" s="175">
        <f>(I166/F166)</f>
        <v>63</v>
      </c>
      <c r="K166" s="119">
        <f>(J166/G166)</f>
        <v>7</v>
      </c>
      <c r="L166" s="146">
        <v>2863725</v>
      </c>
      <c r="M166" s="175">
        <v>341025</v>
      </c>
      <c r="N166" s="299">
        <f>L166/M166</f>
        <v>8.397404882340004</v>
      </c>
      <c r="O166" s="204">
        <v>1</v>
      </c>
    </row>
    <row r="167" spans="1:15" ht="15">
      <c r="A167" s="186">
        <v>164</v>
      </c>
      <c r="B167" s="298" t="s">
        <v>22</v>
      </c>
      <c r="C167" s="114">
        <v>40158</v>
      </c>
      <c r="D167" s="105" t="s">
        <v>130</v>
      </c>
      <c r="E167" s="324">
        <v>148</v>
      </c>
      <c r="F167" s="324">
        <v>1</v>
      </c>
      <c r="G167" s="324">
        <v>10</v>
      </c>
      <c r="H167" s="222">
        <v>473</v>
      </c>
      <c r="I167" s="223">
        <v>81</v>
      </c>
      <c r="J167" s="229">
        <f>+I167/F167</f>
        <v>81</v>
      </c>
      <c r="K167" s="121">
        <f>+H167/I167</f>
        <v>5.839506172839506</v>
      </c>
      <c r="L167" s="120">
        <v>2864198</v>
      </c>
      <c r="M167" s="229">
        <v>341106</v>
      </c>
      <c r="N167" s="299">
        <f>+L167/M167</f>
        <v>8.396797476444272</v>
      </c>
      <c r="O167" s="202">
        <v>1</v>
      </c>
    </row>
    <row r="168" spans="1:15" ht="15">
      <c r="A168" s="186">
        <v>165</v>
      </c>
      <c r="B168" s="298" t="s">
        <v>22</v>
      </c>
      <c r="C168" s="224">
        <v>40158</v>
      </c>
      <c r="D168" s="225" t="s">
        <v>130</v>
      </c>
      <c r="E168" s="270">
        <v>148</v>
      </c>
      <c r="F168" s="270">
        <v>1</v>
      </c>
      <c r="G168" s="270">
        <v>11</v>
      </c>
      <c r="H168" s="226">
        <v>176</v>
      </c>
      <c r="I168" s="227">
        <v>30</v>
      </c>
      <c r="J168" s="229">
        <f>I168/F168</f>
        <v>30</v>
      </c>
      <c r="K168" s="121">
        <f>H168/I168</f>
        <v>5.866666666666666</v>
      </c>
      <c r="L168" s="120">
        <v>2864374</v>
      </c>
      <c r="M168" s="229">
        <v>341136</v>
      </c>
      <c r="N168" s="299">
        <f>+L168/M168</f>
        <v>8.396574973031283</v>
      </c>
      <c r="O168" s="236">
        <v>1</v>
      </c>
    </row>
    <row r="169" spans="1:15" ht="15">
      <c r="A169" s="186">
        <v>166</v>
      </c>
      <c r="B169" s="306" t="s">
        <v>71</v>
      </c>
      <c r="C169" s="148">
        <v>40074</v>
      </c>
      <c r="D169" s="149" t="s">
        <v>154</v>
      </c>
      <c r="E169" s="327">
        <v>61</v>
      </c>
      <c r="F169" s="327">
        <v>1</v>
      </c>
      <c r="G169" s="327">
        <v>15</v>
      </c>
      <c r="H169" s="150">
        <v>1521</v>
      </c>
      <c r="I169" s="166">
        <v>408</v>
      </c>
      <c r="J169" s="151">
        <f>I169/F169</f>
        <v>408</v>
      </c>
      <c r="K169" s="153">
        <f>+H169/I169</f>
        <v>3.7279411764705883</v>
      </c>
      <c r="L169" s="152">
        <v>1027374</v>
      </c>
      <c r="M169" s="151">
        <v>103387</v>
      </c>
      <c r="N169" s="307">
        <f>+L169/M169</f>
        <v>9.937168115913993</v>
      </c>
      <c r="O169" s="202"/>
    </row>
    <row r="170" spans="1:15" ht="15">
      <c r="A170" s="186">
        <v>167</v>
      </c>
      <c r="B170" s="298" t="s">
        <v>71</v>
      </c>
      <c r="C170" s="114">
        <v>40074</v>
      </c>
      <c r="D170" s="147" t="s">
        <v>154</v>
      </c>
      <c r="E170" s="324">
        <v>61</v>
      </c>
      <c r="F170" s="324">
        <v>2</v>
      </c>
      <c r="G170" s="324">
        <v>17</v>
      </c>
      <c r="H170" s="117">
        <v>1503</v>
      </c>
      <c r="I170" s="145">
        <v>241</v>
      </c>
      <c r="J170" s="175">
        <f>I170/F170</f>
        <v>120.5</v>
      </c>
      <c r="K170" s="119">
        <f>+H170/I170</f>
        <v>6.236514522821577</v>
      </c>
      <c r="L170" s="120">
        <v>1028993</v>
      </c>
      <c r="M170" s="175">
        <v>103644</v>
      </c>
      <c r="N170" s="297">
        <f>+L170/M170</f>
        <v>9.92814827679364</v>
      </c>
      <c r="O170" s="204"/>
    </row>
    <row r="171" spans="1:15" ht="15">
      <c r="A171" s="186">
        <v>168</v>
      </c>
      <c r="B171" s="298" t="s">
        <v>71</v>
      </c>
      <c r="C171" s="114">
        <v>40074</v>
      </c>
      <c r="D171" s="147" t="s">
        <v>154</v>
      </c>
      <c r="E171" s="324">
        <v>61</v>
      </c>
      <c r="F171" s="324">
        <v>1</v>
      </c>
      <c r="G171" s="324">
        <v>16</v>
      </c>
      <c r="H171" s="117">
        <v>116</v>
      </c>
      <c r="I171" s="118">
        <v>16</v>
      </c>
      <c r="J171" s="229">
        <f>I171/F171</f>
        <v>16</v>
      </c>
      <c r="K171" s="121">
        <f>+H171/I171</f>
        <v>7.25</v>
      </c>
      <c r="L171" s="120">
        <v>1027490</v>
      </c>
      <c r="M171" s="229">
        <v>103403</v>
      </c>
      <c r="N171" s="299">
        <f>+L171/M171</f>
        <v>9.936752318598106</v>
      </c>
      <c r="O171" s="203"/>
    </row>
    <row r="172" spans="1:15" ht="15">
      <c r="A172" s="186">
        <v>169</v>
      </c>
      <c r="B172" s="300" t="s">
        <v>4</v>
      </c>
      <c r="C172" s="130">
        <v>39878</v>
      </c>
      <c r="D172" s="131" t="s">
        <v>155</v>
      </c>
      <c r="E172" s="325">
        <v>39</v>
      </c>
      <c r="F172" s="325">
        <v>1</v>
      </c>
      <c r="G172" s="325">
        <v>29</v>
      </c>
      <c r="H172" s="112">
        <v>1780</v>
      </c>
      <c r="I172" s="108">
        <v>445</v>
      </c>
      <c r="J172" s="109">
        <f>(I172/F172)</f>
        <v>445</v>
      </c>
      <c r="K172" s="119">
        <f>+H172/I172</f>
        <v>4</v>
      </c>
      <c r="L172" s="113">
        <f>143992.5+82756.5+42509+41229+27290.5+16668+27602+17675+4710+8504.5+2403+4164+2272+3469+1997+135+299+674+178+30+240+1413+1006+209+393+680+1780+4040+1780</f>
        <v>440099</v>
      </c>
      <c r="M172" s="110">
        <f>15320+9228+5096+5970+4485+3115+5134+3946+1139+2307+509+879+411+637+472+29+62+165+32+6+48+348+139+43+54+68+445+1010+445</f>
        <v>61542</v>
      </c>
      <c r="N172" s="301">
        <f aca="true" t="shared" si="16" ref="N172:N185">L172/M172</f>
        <v>7.151197556140522</v>
      </c>
      <c r="O172" s="205"/>
    </row>
    <row r="173" spans="1:15" ht="15">
      <c r="A173" s="186">
        <v>170</v>
      </c>
      <c r="B173" s="298" t="s">
        <v>4</v>
      </c>
      <c r="C173" s="114">
        <v>39878</v>
      </c>
      <c r="D173" s="105" t="s">
        <v>155</v>
      </c>
      <c r="E173" s="324">
        <v>39</v>
      </c>
      <c r="F173" s="324">
        <v>1</v>
      </c>
      <c r="G173" s="324">
        <v>30</v>
      </c>
      <c r="H173" s="200">
        <v>1780</v>
      </c>
      <c r="I173" s="201">
        <v>445</v>
      </c>
      <c r="J173" s="175">
        <f>I173/F173</f>
        <v>445</v>
      </c>
      <c r="K173" s="119">
        <f>+H173/I173</f>
        <v>4</v>
      </c>
      <c r="L173" s="146">
        <f>143992.5+82756.5+42509+41229+27290.5+16668+27602+17675+4710+8504.5+2403+4164+2272+3469+1997+135+299+674+178+30+240+1413+1006+209+393+680+1780+4040+1780+1780</f>
        <v>441879</v>
      </c>
      <c r="M173" s="175">
        <f>15320+9228+5096+5970+4485+3115+5134+3946+1139+2307+509+879+411+637+472+29+62+165+32+6+48+348+139+43+54+68+445+1010+445+445</f>
        <v>61987</v>
      </c>
      <c r="N173" s="299">
        <f t="shared" si="16"/>
        <v>7.1285753464436095</v>
      </c>
      <c r="O173" s="204"/>
    </row>
    <row r="174" spans="1:15" ht="15">
      <c r="A174" s="186">
        <v>171</v>
      </c>
      <c r="B174" s="298" t="s">
        <v>169</v>
      </c>
      <c r="C174" s="114">
        <v>39884</v>
      </c>
      <c r="D174" s="105" t="s">
        <v>130</v>
      </c>
      <c r="E174" s="324">
        <v>355</v>
      </c>
      <c r="F174" s="324">
        <v>1</v>
      </c>
      <c r="G174" s="324">
        <v>14</v>
      </c>
      <c r="H174" s="200">
        <v>1500</v>
      </c>
      <c r="I174" s="201">
        <v>300</v>
      </c>
      <c r="J174" s="175">
        <f>(I174/F174)</f>
        <v>300</v>
      </c>
      <c r="K174" s="119">
        <f>(J174/G174)</f>
        <v>21.428571428571427</v>
      </c>
      <c r="L174" s="146">
        <v>19045225</v>
      </c>
      <c r="M174" s="175">
        <v>2491754</v>
      </c>
      <c r="N174" s="299">
        <f t="shared" si="16"/>
        <v>7.6433006629065305</v>
      </c>
      <c r="O174" s="204">
        <v>1</v>
      </c>
    </row>
    <row r="175" spans="1:15" ht="15">
      <c r="A175" s="186">
        <v>172</v>
      </c>
      <c r="B175" s="298" t="s">
        <v>164</v>
      </c>
      <c r="C175" s="114">
        <v>39892</v>
      </c>
      <c r="D175" s="105" t="s">
        <v>155</v>
      </c>
      <c r="E175" s="324">
        <v>5</v>
      </c>
      <c r="F175" s="324">
        <v>1</v>
      </c>
      <c r="G175" s="324">
        <v>20</v>
      </c>
      <c r="H175" s="200">
        <v>114</v>
      </c>
      <c r="I175" s="201">
        <v>23</v>
      </c>
      <c r="J175" s="175">
        <f aca="true" t="shared" si="17" ref="J175:J185">(I175/F175)</f>
        <v>23</v>
      </c>
      <c r="K175" s="119">
        <f>H175/I175</f>
        <v>4.956521739130435</v>
      </c>
      <c r="L175" s="146">
        <f>18881.5+13473+6553+4173.5+2378+3269+2172+792+240+60+1236+552+1321+1757+465+884+565+65+261+952+114</f>
        <v>60164</v>
      </c>
      <c r="M175" s="175">
        <f>2268+1745+795+568+579+610+541+209+80+20+215+68+169+337+93+144+93+15+56+238+23</f>
        <v>8866</v>
      </c>
      <c r="N175" s="299">
        <f t="shared" si="16"/>
        <v>6.785923753665689</v>
      </c>
      <c r="O175" s="204"/>
    </row>
    <row r="176" spans="1:15" ht="15">
      <c r="A176" s="186">
        <v>173</v>
      </c>
      <c r="B176" s="298" t="s">
        <v>164</v>
      </c>
      <c r="C176" s="114">
        <v>39892</v>
      </c>
      <c r="D176" s="105" t="s">
        <v>155</v>
      </c>
      <c r="E176" s="324">
        <v>5</v>
      </c>
      <c r="F176" s="324">
        <v>1</v>
      </c>
      <c r="G176" s="324">
        <v>22</v>
      </c>
      <c r="H176" s="222">
        <v>51</v>
      </c>
      <c r="I176" s="223">
        <v>20</v>
      </c>
      <c r="J176" s="229">
        <f t="shared" si="17"/>
        <v>20</v>
      </c>
      <c r="K176" s="121">
        <f>H176/I176</f>
        <v>2.55</v>
      </c>
      <c r="L176" s="120">
        <f>18881.5+13473+6553+4173.5+2378+3269+2172+792+240+60+1236+552+1321+1757+465+884+565+65+261+952+114+51</f>
        <v>60215</v>
      </c>
      <c r="M176" s="229">
        <f>2268+1745+795+568+579+610+541+209+80+20+215+68+169+337+93+144+93+15+56+238+23+20</f>
        <v>8886</v>
      </c>
      <c r="N176" s="299">
        <f t="shared" si="16"/>
        <v>6.776389826693675</v>
      </c>
      <c r="O176" s="202"/>
    </row>
    <row r="177" spans="1:15" ht="15">
      <c r="A177" s="186">
        <v>174</v>
      </c>
      <c r="B177" s="300" t="s">
        <v>7</v>
      </c>
      <c r="C177" s="130">
        <v>40088</v>
      </c>
      <c r="D177" s="131" t="s">
        <v>155</v>
      </c>
      <c r="E177" s="325">
        <v>22</v>
      </c>
      <c r="F177" s="325">
        <v>1</v>
      </c>
      <c r="G177" s="325">
        <v>9</v>
      </c>
      <c r="H177" s="112">
        <v>1424</v>
      </c>
      <c r="I177" s="108">
        <v>356</v>
      </c>
      <c r="J177" s="109">
        <f t="shared" si="17"/>
        <v>356</v>
      </c>
      <c r="K177" s="119">
        <f>+H177/I177</f>
        <v>4</v>
      </c>
      <c r="L177" s="113">
        <f>25195+10013.5+1152+270+83.5+141+48+709.5+1424</f>
        <v>39036.5</v>
      </c>
      <c r="M177" s="110">
        <f>2139+1282+178+44+14+26+8+240+356</f>
        <v>4287</v>
      </c>
      <c r="N177" s="301">
        <f t="shared" si="16"/>
        <v>9.10578493118731</v>
      </c>
      <c r="O177" s="205"/>
    </row>
    <row r="178" spans="1:15" ht="15">
      <c r="A178" s="186">
        <v>175</v>
      </c>
      <c r="B178" s="298" t="s">
        <v>7</v>
      </c>
      <c r="C178" s="114">
        <v>40088</v>
      </c>
      <c r="D178" s="105" t="s">
        <v>155</v>
      </c>
      <c r="E178" s="324">
        <v>22</v>
      </c>
      <c r="F178" s="324">
        <v>3</v>
      </c>
      <c r="G178" s="324">
        <v>10</v>
      </c>
      <c r="H178" s="200">
        <v>1356</v>
      </c>
      <c r="I178" s="201">
        <v>299</v>
      </c>
      <c r="J178" s="175">
        <f t="shared" si="17"/>
        <v>99.66666666666667</v>
      </c>
      <c r="K178" s="119">
        <f>(J178/G178)</f>
        <v>9.966666666666667</v>
      </c>
      <c r="L178" s="146">
        <f>25195+10013.5+1152+270+83.5+141+48+709.5+1424+1356</f>
        <v>40392.5</v>
      </c>
      <c r="M178" s="175">
        <f>2139+1282+178+44+14+26+8+240+356+299</f>
        <v>4586</v>
      </c>
      <c r="N178" s="299">
        <f t="shared" si="16"/>
        <v>8.807784561709552</v>
      </c>
      <c r="O178" s="204"/>
    </row>
    <row r="179" spans="1:15" ht="15">
      <c r="A179" s="186">
        <v>176</v>
      </c>
      <c r="B179" s="300" t="s">
        <v>38</v>
      </c>
      <c r="C179" s="130">
        <v>40151</v>
      </c>
      <c r="D179" s="131" t="s">
        <v>155</v>
      </c>
      <c r="E179" s="325">
        <v>2</v>
      </c>
      <c r="F179" s="325">
        <v>2</v>
      </c>
      <c r="G179" s="325">
        <v>7</v>
      </c>
      <c r="H179" s="99">
        <v>1006</v>
      </c>
      <c r="I179" s="108">
        <v>130</v>
      </c>
      <c r="J179" s="109">
        <f t="shared" si="17"/>
        <v>65</v>
      </c>
      <c r="K179" s="102">
        <f>H179/I179</f>
        <v>7.7384615384615385</v>
      </c>
      <c r="L179" s="103">
        <f>14952+6112+2196+2975+2853+674+1006</f>
        <v>30768</v>
      </c>
      <c r="M179" s="110">
        <f>1468+666+254+478+502+81+130</f>
        <v>3579</v>
      </c>
      <c r="N179" s="296">
        <f t="shared" si="16"/>
        <v>8.596814752724224</v>
      </c>
      <c r="O179" s="204"/>
    </row>
    <row r="180" spans="1:15" ht="15">
      <c r="A180" s="186">
        <v>177</v>
      </c>
      <c r="B180" s="300" t="s">
        <v>68</v>
      </c>
      <c r="C180" s="130">
        <v>39995</v>
      </c>
      <c r="D180" s="131" t="s">
        <v>155</v>
      </c>
      <c r="E180" s="325">
        <v>209</v>
      </c>
      <c r="F180" s="325">
        <v>4</v>
      </c>
      <c r="G180" s="325">
        <v>29</v>
      </c>
      <c r="H180" s="99">
        <v>5898</v>
      </c>
      <c r="I180" s="108">
        <v>1381</v>
      </c>
      <c r="J180" s="109">
        <f t="shared" si="17"/>
        <v>345.25</v>
      </c>
      <c r="K180" s="102">
        <f>H180/I180</f>
        <v>4.270818247646633</v>
      </c>
      <c r="L180" s="103">
        <f>872160.5+3062686.25+2016658.5+1330226.25+943221.5+742732+516667.5+450351.5+331944.75+238834+191406+133484.5+252388.75+88483.5+54821.5+50455.5+10393.5+13219.5+4551+15537+5404+869+4082+1834+3805+1635+750+1385+2821+5898</f>
        <v>11348706.5</v>
      </c>
      <c r="M180" s="110">
        <f>115039+364710+241056+162109+115810+90639+66180+59650+44695+33272+25508+18324+32600+11489+6695+7353+1723+3013+920+3530+1123+138+968+454+919+396+210+249+551+1381</f>
        <v>1410704</v>
      </c>
      <c r="N180" s="296">
        <f t="shared" si="16"/>
        <v>8.044711363971464</v>
      </c>
      <c r="O180" s="204"/>
    </row>
    <row r="181" spans="1:15" ht="15">
      <c r="A181" s="186">
        <v>178</v>
      </c>
      <c r="B181" s="300" t="s">
        <v>68</v>
      </c>
      <c r="C181" s="130">
        <v>39995</v>
      </c>
      <c r="D181" s="131" t="s">
        <v>155</v>
      </c>
      <c r="E181" s="325">
        <v>209</v>
      </c>
      <c r="F181" s="325">
        <v>5</v>
      </c>
      <c r="G181" s="325">
        <v>31</v>
      </c>
      <c r="H181" s="112">
        <v>5853</v>
      </c>
      <c r="I181" s="108">
        <v>1328</v>
      </c>
      <c r="J181" s="109">
        <f t="shared" si="17"/>
        <v>265.6</v>
      </c>
      <c r="K181" s="119">
        <f>+H181/I181</f>
        <v>4.407379518072289</v>
      </c>
      <c r="L181" s="113">
        <f>872160.5+3062686.25+2016658.5+1330226.25+943221.5+742732+516667.5+450351.5+331944.75+238834+191406+133484.5+252388.75+88483.5+54821.5+50455.5+10393.5+13219.5+4551+15537+5404+869+4082+1834+3805+1635+750+1385+2821+5898+4584.5+5853</f>
        <v>11359144</v>
      </c>
      <c r="M181" s="110">
        <f>115039+364710+241056+162109+115810+90639+66180+59650+44695+33272+25508+18324+32600+11489+6695+7353+1723+3013+920+3530+1123+138+968+454+919+396+210+249+551+1381+976+1328</f>
        <v>1413008</v>
      </c>
      <c r="N181" s="301">
        <f t="shared" si="16"/>
        <v>8.038980671022387</v>
      </c>
      <c r="O181" s="205"/>
    </row>
    <row r="182" spans="1:15" ht="15">
      <c r="A182" s="186">
        <v>179</v>
      </c>
      <c r="B182" s="298" t="s">
        <v>68</v>
      </c>
      <c r="C182" s="114">
        <v>39995</v>
      </c>
      <c r="D182" s="116" t="s">
        <v>155</v>
      </c>
      <c r="E182" s="324">
        <v>209</v>
      </c>
      <c r="F182" s="324">
        <v>6</v>
      </c>
      <c r="G182" s="324">
        <v>30</v>
      </c>
      <c r="H182" s="112">
        <v>4584.5</v>
      </c>
      <c r="I182" s="108">
        <v>976</v>
      </c>
      <c r="J182" s="109">
        <f t="shared" si="17"/>
        <v>162.66666666666666</v>
      </c>
      <c r="K182" s="102">
        <f>H182/I182</f>
        <v>4.697233606557377</v>
      </c>
      <c r="L182" s="113">
        <f>872160.5+3062686.25+2016658.5+1330226.25+943221.5+742732+516667.5+450351.5+331944.75+238834+191406+133484.5+252388.75+88483.5+54821.5+50455.5+10393.5+13219.5+4551+15537+5404+869+4082+1834+3805+1635+750+1385+2821+5898+4584.5</f>
        <v>11353291</v>
      </c>
      <c r="M182" s="110">
        <f>115039+364710+241056+162109+115810+90639+66180+59650+44695+33272+25508+18324+32600+11489+6695+7353+1723+3013+920+3530+1123+138+968+454+919+396+210+249+551+1381+976</f>
        <v>1411680</v>
      </c>
      <c r="N182" s="296">
        <f t="shared" si="16"/>
        <v>8.042397002153463</v>
      </c>
      <c r="O182" s="204"/>
    </row>
    <row r="183" spans="1:15" ht="15">
      <c r="A183" s="186">
        <v>180</v>
      </c>
      <c r="B183" s="298" t="s">
        <v>68</v>
      </c>
      <c r="C183" s="114">
        <v>39995</v>
      </c>
      <c r="D183" s="115" t="s">
        <v>155</v>
      </c>
      <c r="E183" s="324">
        <v>209</v>
      </c>
      <c r="F183" s="324">
        <v>3</v>
      </c>
      <c r="G183" s="324">
        <v>28</v>
      </c>
      <c r="H183" s="99">
        <v>2821</v>
      </c>
      <c r="I183" s="100">
        <v>551</v>
      </c>
      <c r="J183" s="101">
        <f t="shared" si="17"/>
        <v>183.66666666666666</v>
      </c>
      <c r="K183" s="106">
        <f>H183/I183</f>
        <v>5.11978221415608</v>
      </c>
      <c r="L183" s="103">
        <f>872160.5+3062686.25+2016658.5+1330226.25+943221.5+742732+516667.5+450351.5+331944.75+238834+191406+133484.5+252388.75+88483.5+54821.5+50455.5+10393.5+13219.5+4551+15537+5404+869+4082+1834+3805+1635+750+1385+2821</f>
        <v>11342808.5</v>
      </c>
      <c r="M183" s="104">
        <f>115039+364710+241056+162109+115810+90639+66180+59650+44695+33272+25508+18324+32600+11489+6695+7353+1723+3013+920+3530+1123+138+968+454+919+396+210+249+551</f>
        <v>1409323</v>
      </c>
      <c r="N183" s="295">
        <f t="shared" si="16"/>
        <v>8.048409413597877</v>
      </c>
      <c r="O183" s="202"/>
    </row>
    <row r="184" spans="1:15" ht="15">
      <c r="A184" s="186">
        <v>181</v>
      </c>
      <c r="B184" s="298" t="s">
        <v>68</v>
      </c>
      <c r="C184" s="114">
        <v>39995</v>
      </c>
      <c r="D184" s="105" t="s">
        <v>155</v>
      </c>
      <c r="E184" s="324">
        <v>209</v>
      </c>
      <c r="F184" s="324">
        <v>3</v>
      </c>
      <c r="G184" s="324">
        <v>32</v>
      </c>
      <c r="H184" s="200">
        <v>2137</v>
      </c>
      <c r="I184" s="201">
        <v>506</v>
      </c>
      <c r="J184" s="175">
        <f t="shared" si="17"/>
        <v>168.66666666666666</v>
      </c>
      <c r="K184" s="119">
        <f>(J184/G184)</f>
        <v>5.270833333333333</v>
      </c>
      <c r="L184" s="146">
        <f>872160.5+3062686.25+2016658.5+1330226.25+943221.5+742732+516667.5+450351.5+331944.75+238834+191406+133484.5+252388.75+88483.5+54821.5+50455.5+10393.5+13219.5+4551+15537+5404+869+4082+1834+3805+1635+750+1385+2821+5898+4584.5+5853+2137</f>
        <v>11361281</v>
      </c>
      <c r="M184" s="175">
        <f>115039+364710+241056+162109+115810+90639+66180+59650+44695+33272+25508+18324+32600+11489+6695+7353+1723+3013+920+3530+1123+138+968+454+919+396+210+249+551+1381+976+1328+506</f>
        <v>1413514</v>
      </c>
      <c r="N184" s="299">
        <f t="shared" si="16"/>
        <v>8.037614767168915</v>
      </c>
      <c r="O184" s="204"/>
    </row>
    <row r="185" spans="1:15" ht="15">
      <c r="A185" s="186">
        <v>182</v>
      </c>
      <c r="B185" s="298" t="s">
        <v>68</v>
      </c>
      <c r="C185" s="114">
        <v>39995</v>
      </c>
      <c r="D185" s="116" t="s">
        <v>155</v>
      </c>
      <c r="E185" s="324">
        <v>209</v>
      </c>
      <c r="F185" s="324">
        <v>2</v>
      </c>
      <c r="G185" s="324">
        <v>27</v>
      </c>
      <c r="H185" s="99">
        <v>1385</v>
      </c>
      <c r="I185" s="100">
        <v>249</v>
      </c>
      <c r="J185" s="101">
        <f t="shared" si="17"/>
        <v>124.5</v>
      </c>
      <c r="K185" s="102">
        <f>H185/I185</f>
        <v>5.562248995983936</v>
      </c>
      <c r="L185" s="103">
        <f>872160.5+3062686.25+2016658.5+1330226.25+943221.5+742732+516667.5+450351.5+331944.75+238834+191406+133484.5+252388.75+88483.5+54821.5+50455.5+10393.5+13219.5+4551+15537+5404+869+4082+1834+3805+1635+750+1385</f>
        <v>11339987.5</v>
      </c>
      <c r="M185" s="104">
        <f>115039+364710+241056+162109+115810+90639+66180+59650+44695+33272+25508+18324+32600+11489+6695+7353+1723+3013+920+3530+1123+138+968+454+919+396+210+249</f>
        <v>1408772</v>
      </c>
      <c r="N185" s="296">
        <f t="shared" si="16"/>
        <v>8.049554860545213</v>
      </c>
      <c r="O185" s="202"/>
    </row>
    <row r="186" spans="1:15" ht="15">
      <c r="A186" s="186">
        <v>183</v>
      </c>
      <c r="B186" s="298" t="s">
        <v>68</v>
      </c>
      <c r="C186" s="114">
        <v>39995</v>
      </c>
      <c r="D186" s="105" t="s">
        <v>155</v>
      </c>
      <c r="E186" s="324">
        <v>209</v>
      </c>
      <c r="F186" s="324">
        <v>1</v>
      </c>
      <c r="G186" s="324">
        <v>33</v>
      </c>
      <c r="H186" s="222">
        <v>508</v>
      </c>
      <c r="I186" s="223">
        <v>127</v>
      </c>
      <c r="J186" s="229">
        <f>I186/F186</f>
        <v>127</v>
      </c>
      <c r="K186" s="121">
        <f>H186/I186</f>
        <v>4</v>
      </c>
      <c r="L186" s="120">
        <f>872160.5+3062686.25+2016658.5+1330226.25+943221.5+742732+516667.5+450351.5+331944.75+238834+191406+133484.5+252388.75+88483.5+54821.5+50455.5+10393.5+13219.5+4551+15537+5404+869+4082+1834+3805+1635+750+1385+2821+5898+4584.5+5853+2137+508</f>
        <v>11361789</v>
      </c>
      <c r="M186" s="229">
        <f>115039+364710+241056+162109+115810+90639+66180+59650+44695+33272+25508+18324+32600+11489+6695+7353+1723+3013+920+3530+1123+138+968+454+919+396+210+249+551+1381+976+1328+506+127</f>
        <v>1413641</v>
      </c>
      <c r="N186" s="299">
        <f>+L186/M186</f>
        <v>8.037252032163753</v>
      </c>
      <c r="O186" s="232"/>
    </row>
    <row r="187" spans="1:15" ht="15">
      <c r="A187" s="186">
        <v>184</v>
      </c>
      <c r="B187" s="298" t="s">
        <v>68</v>
      </c>
      <c r="C187" s="224">
        <v>39995</v>
      </c>
      <c r="D187" s="105" t="s">
        <v>155</v>
      </c>
      <c r="E187" s="270">
        <v>209</v>
      </c>
      <c r="F187" s="270">
        <v>1</v>
      </c>
      <c r="G187" s="270">
        <v>34</v>
      </c>
      <c r="H187" s="226">
        <v>1440</v>
      </c>
      <c r="I187" s="227">
        <v>240</v>
      </c>
      <c r="J187" s="229">
        <f>(I187/F187)</f>
        <v>240</v>
      </c>
      <c r="K187" s="121">
        <f>H187/I187</f>
        <v>6</v>
      </c>
      <c r="L187" s="120">
        <f>872160.5+3062686.25+2016658.5+1330226.25+943221.5+742732+516667.5+450351.5+331944.75+238834+191406+133484.5+252388.75+88483.5+54821.5+50455.5+10393.5+13219.5+4551+15537+5404+869+4082+1834+3805+1635+750+1385+2821+5898+4584.5+5853+2137+508+1440</f>
        <v>11363229</v>
      </c>
      <c r="M187" s="229">
        <f>115039+364710+241056+162109+115810+90639+66180+59650+44695+33272+25508+18324+32600+11489+6695+7353+1723+3013+920+3530+1123+138+968+454+919+396+210+249+551+1381+976+1328+506+127+240</f>
        <v>1413881</v>
      </c>
      <c r="N187" s="299">
        <f>L187/M187</f>
        <v>8.036906217708562</v>
      </c>
      <c r="O187" s="236"/>
    </row>
    <row r="188" spans="1:15" ht="15">
      <c r="A188" s="186">
        <v>185</v>
      </c>
      <c r="B188" s="298" t="s">
        <v>162</v>
      </c>
      <c r="C188" s="114">
        <v>39738</v>
      </c>
      <c r="D188" s="105" t="s">
        <v>155</v>
      </c>
      <c r="E188" s="324">
        <v>67</v>
      </c>
      <c r="F188" s="324">
        <v>1</v>
      </c>
      <c r="G188" s="324">
        <v>31</v>
      </c>
      <c r="H188" s="200">
        <v>1780</v>
      </c>
      <c r="I188" s="201">
        <v>445</v>
      </c>
      <c r="J188" s="175">
        <f>I188/F188</f>
        <v>445</v>
      </c>
      <c r="K188" s="119">
        <f>+H188/I188</f>
        <v>4</v>
      </c>
      <c r="L188" s="146">
        <f>167196+176809+54428+37340+38330.5+23467+11581+5867+4382+2577+3552+2137+545+4006+9422+7992+4936+1547+1147+288+371+2842+1282+168+610+1948+150+3292+132+65+1780</f>
        <v>570189.5</v>
      </c>
      <c r="M188" s="175">
        <f>19168+21164+7719+6215+6404+4964+2339+1306+907+580+859+440+127+905+2170+1822+1050+392+333+56+73+734+411+21+61+466+30+807+26+13+445</f>
        <v>82007</v>
      </c>
      <c r="N188" s="299">
        <f>L188/M188</f>
        <v>6.952936944407185</v>
      </c>
      <c r="O188" s="204"/>
    </row>
    <row r="189" spans="1:15" ht="15">
      <c r="A189" s="186">
        <v>186</v>
      </c>
      <c r="B189" s="298" t="s">
        <v>162</v>
      </c>
      <c r="C189" s="114">
        <v>39738</v>
      </c>
      <c r="D189" s="105" t="s">
        <v>155</v>
      </c>
      <c r="E189" s="324">
        <v>67</v>
      </c>
      <c r="F189" s="324">
        <v>1</v>
      </c>
      <c r="G189" s="324">
        <v>32</v>
      </c>
      <c r="H189" s="222">
        <v>1780</v>
      </c>
      <c r="I189" s="223">
        <v>445</v>
      </c>
      <c r="J189" s="229">
        <f>(I189/F189)</f>
        <v>445</v>
      </c>
      <c r="K189" s="121">
        <f>H189/I189</f>
        <v>4</v>
      </c>
      <c r="L189" s="120">
        <f>167196+176809+54428+37340+38330.5+23467+11581+5867+4382+2577+3552+2137+545+4006+9422+7992+4936+1547+1147+288+371+2842+1282+168+610+1948+150+3292+132+65+1780+1780</f>
        <v>571969.5</v>
      </c>
      <c r="M189" s="229">
        <f>19168+21164+7719+6215+6404+4964+2339+1306+907+580+859+440+127+905+2170+1822+1050+392+333+56+73+734+411+21+61+466+30+807+26+13+445+445</f>
        <v>82452</v>
      </c>
      <c r="N189" s="299">
        <f>L189/M189</f>
        <v>6.9369997089215545</v>
      </c>
      <c r="O189" s="202"/>
    </row>
    <row r="190" spans="1:15" ht="15">
      <c r="A190" s="186">
        <v>187</v>
      </c>
      <c r="B190" s="298" t="s">
        <v>62</v>
      </c>
      <c r="C190" s="114">
        <v>40046</v>
      </c>
      <c r="D190" s="154" t="s">
        <v>154</v>
      </c>
      <c r="E190" s="324">
        <v>55</v>
      </c>
      <c r="F190" s="324">
        <v>1</v>
      </c>
      <c r="G190" s="324">
        <v>20</v>
      </c>
      <c r="H190" s="144">
        <v>609</v>
      </c>
      <c r="I190" s="145">
        <v>280</v>
      </c>
      <c r="J190" s="175">
        <f>I190/F190</f>
        <v>280</v>
      </c>
      <c r="K190" s="119">
        <f>+H190/I190</f>
        <v>2.175</v>
      </c>
      <c r="L190" s="146">
        <v>2895934</v>
      </c>
      <c r="M190" s="175">
        <v>289454</v>
      </c>
      <c r="N190" s="297">
        <f>+L190/M190</f>
        <v>10.004815963849179</v>
      </c>
      <c r="O190" s="204"/>
    </row>
    <row r="191" spans="1:15" ht="15">
      <c r="A191" s="186">
        <v>188</v>
      </c>
      <c r="B191" s="298" t="s">
        <v>60</v>
      </c>
      <c r="C191" s="114">
        <v>39836</v>
      </c>
      <c r="D191" s="116" t="s">
        <v>157</v>
      </c>
      <c r="E191" s="324">
        <v>86</v>
      </c>
      <c r="F191" s="324">
        <v>1</v>
      </c>
      <c r="G191" s="324">
        <v>20</v>
      </c>
      <c r="H191" s="112">
        <v>2941</v>
      </c>
      <c r="I191" s="108">
        <v>588</v>
      </c>
      <c r="J191" s="109">
        <f>IF(H191&lt;&gt;0,I191/F191,"")</f>
        <v>588</v>
      </c>
      <c r="K191" s="102">
        <f>IF(H191&lt;&gt;0,H191/I191,"")</f>
        <v>5.0017006802721085</v>
      </c>
      <c r="L191" s="113">
        <v>1450591.5</v>
      </c>
      <c r="M191" s="110">
        <v>167594</v>
      </c>
      <c r="N191" s="296">
        <f>IF(L191&lt;&gt;0,L191/M191,"")</f>
        <v>8.655390407771161</v>
      </c>
      <c r="O191" s="204"/>
    </row>
    <row r="192" spans="1:15" ht="15">
      <c r="A192" s="186">
        <v>189</v>
      </c>
      <c r="B192" s="298" t="s">
        <v>99</v>
      </c>
      <c r="C192" s="114">
        <v>40109</v>
      </c>
      <c r="D192" s="115" t="s">
        <v>155</v>
      </c>
      <c r="E192" s="324">
        <v>25</v>
      </c>
      <c r="F192" s="324">
        <v>8</v>
      </c>
      <c r="G192" s="324">
        <v>12</v>
      </c>
      <c r="H192" s="99">
        <v>13931</v>
      </c>
      <c r="I192" s="100">
        <v>2457</v>
      </c>
      <c r="J192" s="101">
        <f>(I192/F192)</f>
        <v>307.125</v>
      </c>
      <c r="K192" s="106">
        <f>H192/I192</f>
        <v>5.66992266992267</v>
      </c>
      <c r="L192" s="103">
        <f>198009+121514.5+95148.5+66495+23091+12092+17648.5+7279+6352.5+7838.5+3895+13931</f>
        <v>573294.5</v>
      </c>
      <c r="M192" s="104">
        <f>27092+16078+14204+10980+3903+1664+3329+1236+1212+1399+730+2457</f>
        <v>84284</v>
      </c>
      <c r="N192" s="295">
        <f aca="true" t="shared" si="18" ref="N192:N197">L192/M192</f>
        <v>6.801937497033838</v>
      </c>
      <c r="O192" s="202">
        <v>1</v>
      </c>
    </row>
    <row r="193" spans="1:15" ht="15">
      <c r="A193" s="186">
        <v>190</v>
      </c>
      <c r="B193" s="300" t="s">
        <v>99</v>
      </c>
      <c r="C193" s="130">
        <v>40109</v>
      </c>
      <c r="D193" s="131" t="s">
        <v>155</v>
      </c>
      <c r="E193" s="325">
        <v>25</v>
      </c>
      <c r="F193" s="325">
        <v>7</v>
      </c>
      <c r="G193" s="325">
        <v>13</v>
      </c>
      <c r="H193" s="99">
        <v>9467.5</v>
      </c>
      <c r="I193" s="108">
        <v>1694</v>
      </c>
      <c r="J193" s="109">
        <f>(I193/F193)</f>
        <v>242</v>
      </c>
      <c r="K193" s="102">
        <f>H193/I193</f>
        <v>5.588842975206612</v>
      </c>
      <c r="L193" s="103">
        <f>198009+121514.5+95148.5+66495+23091+12092+17648.5+7279+6352.5+7838.5+3895+13931+9467.5</f>
        <v>582762</v>
      </c>
      <c r="M193" s="110">
        <f>27092+16078+14204+10980+3903+1664+3329+1236+1212+1399+730+2457+1694</f>
        <v>85978</v>
      </c>
      <c r="N193" s="296">
        <f t="shared" si="18"/>
        <v>6.778036241829305</v>
      </c>
      <c r="O193" s="204">
        <v>1</v>
      </c>
    </row>
    <row r="194" spans="1:15" ht="15">
      <c r="A194" s="186">
        <v>191</v>
      </c>
      <c r="B194" s="298" t="s">
        <v>99</v>
      </c>
      <c r="C194" s="114">
        <v>40109</v>
      </c>
      <c r="D194" s="116" t="s">
        <v>155</v>
      </c>
      <c r="E194" s="324">
        <v>25</v>
      </c>
      <c r="F194" s="324">
        <v>5</v>
      </c>
      <c r="G194" s="324">
        <v>11</v>
      </c>
      <c r="H194" s="99">
        <v>3895</v>
      </c>
      <c r="I194" s="100">
        <v>730</v>
      </c>
      <c r="J194" s="101">
        <f>(I194/F194)</f>
        <v>146</v>
      </c>
      <c r="K194" s="102">
        <f>H194/I194</f>
        <v>5.335616438356165</v>
      </c>
      <c r="L194" s="103">
        <f>198009+121514.5+95148.5+66495+23091+12092+17648.5+7279+6352.5+7838.5+3895</f>
        <v>559363.5</v>
      </c>
      <c r="M194" s="104">
        <f>27092+16078+14204+10980+3903+1664+3329+1236+1212+1399+730</f>
        <v>81827</v>
      </c>
      <c r="N194" s="296">
        <f t="shared" si="18"/>
        <v>6.835928238845369</v>
      </c>
      <c r="O194" s="202">
        <v>1</v>
      </c>
    </row>
    <row r="195" spans="1:15" ht="15">
      <c r="A195" s="186">
        <v>192</v>
      </c>
      <c r="B195" s="298" t="s">
        <v>58</v>
      </c>
      <c r="C195" s="114">
        <v>40109</v>
      </c>
      <c r="D195" s="116" t="s">
        <v>155</v>
      </c>
      <c r="E195" s="324">
        <v>25</v>
      </c>
      <c r="F195" s="324">
        <v>3</v>
      </c>
      <c r="G195" s="324">
        <v>14</v>
      </c>
      <c r="H195" s="112">
        <v>3364</v>
      </c>
      <c r="I195" s="108">
        <v>753</v>
      </c>
      <c r="J195" s="109">
        <f>(I195/F195)</f>
        <v>251</v>
      </c>
      <c r="K195" s="102">
        <f>H195/I195</f>
        <v>4.46746347941567</v>
      </c>
      <c r="L195" s="113">
        <f>198009+121514.5+95148.5+66495+23091+12092+17648.5+7279+6352.5+7838.5+3895+13931+9479.5+3364</f>
        <v>586138</v>
      </c>
      <c r="M195" s="110">
        <f>27092+16078+14204+10980+3903+1664+3329+1236+1212+1399+730+2457+1696+753</f>
        <v>86733</v>
      </c>
      <c r="N195" s="296">
        <f t="shared" si="18"/>
        <v>6.757958331892128</v>
      </c>
      <c r="O195" s="204">
        <v>1</v>
      </c>
    </row>
    <row r="196" spans="1:15" ht="15">
      <c r="A196" s="186">
        <v>193</v>
      </c>
      <c r="B196" s="298" t="s">
        <v>99</v>
      </c>
      <c r="C196" s="114">
        <v>40109</v>
      </c>
      <c r="D196" s="105" t="s">
        <v>155</v>
      </c>
      <c r="E196" s="324">
        <v>25</v>
      </c>
      <c r="F196" s="324">
        <v>1</v>
      </c>
      <c r="G196" s="324">
        <v>16</v>
      </c>
      <c r="H196" s="200">
        <v>1019</v>
      </c>
      <c r="I196" s="201">
        <v>178</v>
      </c>
      <c r="J196" s="175">
        <f>I196/F196</f>
        <v>178</v>
      </c>
      <c r="K196" s="119">
        <f>+H196/I196</f>
        <v>5.724719101123595</v>
      </c>
      <c r="L196" s="146">
        <f>198009+121514.5+95148.5+66495+23091+12092+17648.5+7279+6352.5+7838.5+3895+13931+9479.5+3364+826.5+1019</f>
        <v>587983.5</v>
      </c>
      <c r="M196" s="175">
        <f>27092+16078+14204+10980+3903+1664+3329+1236+1212+1399+730+2457+1696+753+144+178</f>
        <v>87055</v>
      </c>
      <c r="N196" s="299">
        <f t="shared" si="18"/>
        <v>6.754161162483488</v>
      </c>
      <c r="O196" s="204">
        <v>1</v>
      </c>
    </row>
    <row r="197" spans="1:15" ht="15">
      <c r="A197" s="186">
        <v>194</v>
      </c>
      <c r="B197" s="298" t="s">
        <v>58</v>
      </c>
      <c r="C197" s="130">
        <v>40109</v>
      </c>
      <c r="D197" s="131" t="s">
        <v>155</v>
      </c>
      <c r="E197" s="325">
        <v>25</v>
      </c>
      <c r="F197" s="325">
        <v>1</v>
      </c>
      <c r="G197" s="325">
        <v>15</v>
      </c>
      <c r="H197" s="112">
        <v>826.5</v>
      </c>
      <c r="I197" s="108">
        <v>144</v>
      </c>
      <c r="J197" s="109">
        <f>(I197/F197)</f>
        <v>144</v>
      </c>
      <c r="K197" s="119">
        <f>+H197/I197</f>
        <v>5.739583333333333</v>
      </c>
      <c r="L197" s="113">
        <f>198009+121514.5+95148.5+66495+23091+12092+17648.5+7279+6352.5+7838.5+3895+13931+9479.5+3364+826.5</f>
        <v>586964.5</v>
      </c>
      <c r="M197" s="110">
        <f>27092+16078+14204+10980+3903+1664+3329+1236+1212+1399+730+2457+1696+753+144</f>
        <v>86877</v>
      </c>
      <c r="N197" s="301">
        <f t="shared" si="18"/>
        <v>6.756270359243528</v>
      </c>
      <c r="O197" s="205">
        <v>1</v>
      </c>
    </row>
    <row r="198" spans="1:15" ht="15">
      <c r="A198" s="186">
        <v>195</v>
      </c>
      <c r="B198" s="298" t="s">
        <v>124</v>
      </c>
      <c r="C198" s="114">
        <v>40074</v>
      </c>
      <c r="D198" s="115" t="s">
        <v>76</v>
      </c>
      <c r="E198" s="324">
        <v>20</v>
      </c>
      <c r="F198" s="324">
        <v>1</v>
      </c>
      <c r="G198" s="324">
        <v>8</v>
      </c>
      <c r="H198" s="117">
        <v>622</v>
      </c>
      <c r="I198" s="118">
        <v>104</v>
      </c>
      <c r="J198" s="229">
        <f>I198/F198</f>
        <v>104</v>
      </c>
      <c r="K198" s="121">
        <f>+H198/I198</f>
        <v>5.980769230769231</v>
      </c>
      <c r="L198" s="120">
        <f>29605.75+13687.5+1715.5+10167+0.5+1482+874+865+622</f>
        <v>59019.25</v>
      </c>
      <c r="M198" s="229">
        <f>2984+1583+274+1724+229+164+167+104</f>
        <v>7229</v>
      </c>
      <c r="N198" s="299">
        <f>+L198/M198</f>
        <v>8.164234333932772</v>
      </c>
      <c r="O198" s="203">
        <v>1</v>
      </c>
    </row>
    <row r="199" spans="1:15" ht="15">
      <c r="A199" s="186">
        <v>196</v>
      </c>
      <c r="B199" s="298" t="s">
        <v>47</v>
      </c>
      <c r="C199" s="114">
        <v>40074</v>
      </c>
      <c r="D199" s="115" t="s">
        <v>76</v>
      </c>
      <c r="E199" s="324">
        <v>20</v>
      </c>
      <c r="F199" s="324">
        <v>1</v>
      </c>
      <c r="G199" s="324">
        <v>9</v>
      </c>
      <c r="H199" s="117">
        <v>52</v>
      </c>
      <c r="I199" s="145">
        <v>12</v>
      </c>
      <c r="J199" s="124">
        <f>+I199/F199</f>
        <v>12</v>
      </c>
      <c r="K199" s="125">
        <f>+H199/I199</f>
        <v>4.333333333333333</v>
      </c>
      <c r="L199" s="120">
        <f>29605.75+13687.5+1715.5+10167+0.5+1482+874+865+622+52</f>
        <v>59071.25</v>
      </c>
      <c r="M199" s="175">
        <f>2984+1583+274+1724+229+164+167+104+12</f>
        <v>7241</v>
      </c>
      <c r="N199" s="302">
        <f>+L199/M199</f>
        <v>8.157885651153155</v>
      </c>
      <c r="O199" s="204">
        <v>1</v>
      </c>
    </row>
    <row r="200" spans="1:15" ht="15">
      <c r="A200" s="186">
        <v>197</v>
      </c>
      <c r="B200" s="298" t="s">
        <v>74</v>
      </c>
      <c r="C200" s="114">
        <v>40109</v>
      </c>
      <c r="D200" s="115" t="s">
        <v>155</v>
      </c>
      <c r="E200" s="324">
        <v>35</v>
      </c>
      <c r="F200" s="324">
        <v>4</v>
      </c>
      <c r="G200" s="324">
        <v>10</v>
      </c>
      <c r="H200" s="99">
        <v>2698</v>
      </c>
      <c r="I200" s="100">
        <v>403</v>
      </c>
      <c r="J200" s="101">
        <f>(I200/F200)</f>
        <v>100.75</v>
      </c>
      <c r="K200" s="106">
        <f>H200/I200</f>
        <v>6.694789081885856</v>
      </c>
      <c r="L200" s="103">
        <f>138311.75+79345.25+13093+10041+3739+971+1340+254+1082+2698</f>
        <v>250875</v>
      </c>
      <c r="M200" s="104">
        <f>12918+7558+2061+1540+644+195+252+48+177+403</f>
        <v>25796</v>
      </c>
      <c r="N200" s="295">
        <f>L200/M200</f>
        <v>9.725345014730966</v>
      </c>
      <c r="O200" s="202"/>
    </row>
    <row r="201" spans="1:15" ht="15">
      <c r="A201" s="186">
        <v>198</v>
      </c>
      <c r="B201" s="300" t="s">
        <v>74</v>
      </c>
      <c r="C201" s="130">
        <v>40109</v>
      </c>
      <c r="D201" s="131" t="s">
        <v>155</v>
      </c>
      <c r="E201" s="325">
        <v>35</v>
      </c>
      <c r="F201" s="325">
        <v>2</v>
      </c>
      <c r="G201" s="325">
        <v>11</v>
      </c>
      <c r="H201" s="99">
        <v>1314</v>
      </c>
      <c r="I201" s="108">
        <v>212</v>
      </c>
      <c r="J201" s="109">
        <f>(I201/F201)</f>
        <v>106</v>
      </c>
      <c r="K201" s="102">
        <f>H201/I201</f>
        <v>6.19811320754717</v>
      </c>
      <c r="L201" s="103">
        <f>138311.75+79345.25+13093+10041+3739+971+1340+254+1082+2698+1314</f>
        <v>252189</v>
      </c>
      <c r="M201" s="110">
        <f>12918+7558+2061+1540+644+195+252+48+177+403+212</f>
        <v>26008</v>
      </c>
      <c r="N201" s="296">
        <f>L201/M201</f>
        <v>9.696593355890496</v>
      </c>
      <c r="O201" s="204"/>
    </row>
    <row r="202" spans="1:15" ht="15">
      <c r="A202" s="186">
        <v>199</v>
      </c>
      <c r="B202" s="298" t="s">
        <v>74</v>
      </c>
      <c r="C202" s="114">
        <v>40109</v>
      </c>
      <c r="D202" s="116" t="s">
        <v>155</v>
      </c>
      <c r="E202" s="324">
        <v>35</v>
      </c>
      <c r="F202" s="324">
        <v>1</v>
      </c>
      <c r="G202" s="324">
        <v>9</v>
      </c>
      <c r="H202" s="99">
        <v>1082</v>
      </c>
      <c r="I202" s="100">
        <v>177</v>
      </c>
      <c r="J202" s="101">
        <f>(I202/F202)</f>
        <v>177</v>
      </c>
      <c r="K202" s="102">
        <f>H202/I202</f>
        <v>6.112994350282486</v>
      </c>
      <c r="L202" s="103">
        <f>138311.75+79345.25+13093+10041+3739+971+1340+254+1082</f>
        <v>248177</v>
      </c>
      <c r="M202" s="104">
        <f>12918+7558+2061+1540+644+195+252+48+177</f>
        <v>25393</v>
      </c>
      <c r="N202" s="296">
        <f>L202/M202</f>
        <v>9.77344149962588</v>
      </c>
      <c r="O202" s="202"/>
    </row>
    <row r="203" spans="1:15" ht="15">
      <c r="A203" s="186">
        <v>200</v>
      </c>
      <c r="B203" s="298" t="s">
        <v>74</v>
      </c>
      <c r="C203" s="114">
        <v>40109</v>
      </c>
      <c r="D203" s="105" t="s">
        <v>155</v>
      </c>
      <c r="E203" s="324">
        <v>35</v>
      </c>
      <c r="F203" s="324">
        <v>1</v>
      </c>
      <c r="G203" s="324">
        <v>13</v>
      </c>
      <c r="H203" s="200">
        <v>952</v>
      </c>
      <c r="I203" s="201">
        <v>238</v>
      </c>
      <c r="J203" s="175">
        <f>(I203/F203)</f>
        <v>238</v>
      </c>
      <c r="K203" s="119">
        <f>(J203/G203)</f>
        <v>18.307692307692307</v>
      </c>
      <c r="L203" s="146">
        <f>138311.75+79345.25+13093+10041+3739+971+1340+254+1082+2698+1314+676+952</f>
        <v>253817</v>
      </c>
      <c r="M203" s="175">
        <f>12918+7558+2061+1540+644+195+252+48+177+403+212+110+238</f>
        <v>26356</v>
      </c>
      <c r="N203" s="299">
        <f>L203/M203</f>
        <v>9.630330854454394</v>
      </c>
      <c r="O203" s="204"/>
    </row>
    <row r="204" spans="1:15" ht="15">
      <c r="A204" s="186">
        <v>201</v>
      </c>
      <c r="B204" s="298" t="s">
        <v>74</v>
      </c>
      <c r="C204" s="114">
        <v>40109</v>
      </c>
      <c r="D204" s="116" t="s">
        <v>155</v>
      </c>
      <c r="E204" s="324">
        <v>35</v>
      </c>
      <c r="F204" s="324">
        <v>2</v>
      </c>
      <c r="G204" s="324">
        <v>12</v>
      </c>
      <c r="H204" s="112">
        <v>676</v>
      </c>
      <c r="I204" s="108">
        <v>110</v>
      </c>
      <c r="J204" s="109">
        <f>(I204/F204)</f>
        <v>55</v>
      </c>
      <c r="K204" s="102">
        <f>H204/I204</f>
        <v>6.1454545454545455</v>
      </c>
      <c r="L204" s="113">
        <f>138311.75+79345.25+13093+10041+3739+971+1340+254+1082+2698+1314+676</f>
        <v>252865</v>
      </c>
      <c r="M204" s="110">
        <f>12918+7558+2061+1540+644+195+252+48+177+403+212+110</f>
        <v>26118</v>
      </c>
      <c r="N204" s="296">
        <f>L204/M204</f>
        <v>9.681637185083085</v>
      </c>
      <c r="O204" s="204"/>
    </row>
    <row r="205" spans="1:15" ht="15">
      <c r="A205" s="186">
        <v>202</v>
      </c>
      <c r="B205" s="294" t="s">
        <v>42</v>
      </c>
      <c r="C205" s="97">
        <v>40088</v>
      </c>
      <c r="D205" s="105" t="s">
        <v>157</v>
      </c>
      <c r="E205" s="323">
        <v>55</v>
      </c>
      <c r="F205" s="323">
        <v>1</v>
      </c>
      <c r="G205" s="323">
        <v>11</v>
      </c>
      <c r="H205" s="122">
        <v>653</v>
      </c>
      <c r="I205" s="123">
        <v>131</v>
      </c>
      <c r="J205" s="124">
        <f>IF(H205&lt;&gt;0,I205/F205,"")</f>
        <v>131</v>
      </c>
      <c r="K205" s="125">
        <f>IF(H205&lt;&gt;0,H205/I205,"")</f>
        <v>4.984732824427481</v>
      </c>
      <c r="L205" s="126">
        <v>148114</v>
      </c>
      <c r="M205" s="175">
        <v>18332</v>
      </c>
      <c r="N205" s="302">
        <f>IF(L205&lt;&gt;0,L205/M205,"")</f>
        <v>8.079533056949597</v>
      </c>
      <c r="O205" s="204">
        <v>1</v>
      </c>
    </row>
    <row r="206" spans="1:15" ht="15">
      <c r="A206" s="186">
        <v>203</v>
      </c>
      <c r="B206" s="298" t="s">
        <v>125</v>
      </c>
      <c r="C206" s="114">
        <v>40088</v>
      </c>
      <c r="D206" s="105" t="s">
        <v>157</v>
      </c>
      <c r="E206" s="324">
        <v>55</v>
      </c>
      <c r="F206" s="324">
        <v>1</v>
      </c>
      <c r="G206" s="324">
        <v>13</v>
      </c>
      <c r="H206" s="222">
        <v>518</v>
      </c>
      <c r="I206" s="223">
        <v>90</v>
      </c>
      <c r="J206" s="229">
        <f>I206/F206</f>
        <v>90</v>
      </c>
      <c r="K206" s="121">
        <f>H206/I206</f>
        <v>5.7555555555555555</v>
      </c>
      <c r="L206" s="120">
        <v>148902</v>
      </c>
      <c r="M206" s="229">
        <v>18460</v>
      </c>
      <c r="N206" s="299">
        <f>+L206/M206</f>
        <v>8.066197183098591</v>
      </c>
      <c r="O206" s="237"/>
    </row>
    <row r="207" spans="1:15" ht="15">
      <c r="A207" s="186">
        <v>204</v>
      </c>
      <c r="B207" s="298" t="s">
        <v>42</v>
      </c>
      <c r="C207" s="114">
        <v>40088</v>
      </c>
      <c r="D207" s="116" t="s">
        <v>157</v>
      </c>
      <c r="E207" s="324">
        <v>55</v>
      </c>
      <c r="F207" s="324">
        <v>1</v>
      </c>
      <c r="G207" s="324">
        <v>12</v>
      </c>
      <c r="H207" s="112">
        <v>270</v>
      </c>
      <c r="I207" s="108">
        <v>38</v>
      </c>
      <c r="J207" s="109">
        <f>IF(H207&lt;&gt;0,I207/F207,"")</f>
        <v>38</v>
      </c>
      <c r="K207" s="102">
        <f>IF(H207&lt;&gt;0,H207/I207,"")</f>
        <v>7.105263157894737</v>
      </c>
      <c r="L207" s="113">
        <v>148384</v>
      </c>
      <c r="M207" s="110">
        <v>18370</v>
      </c>
      <c r="N207" s="296">
        <f>IF(L207&lt;&gt;0,L207/M207,"")</f>
        <v>8.07751769188895</v>
      </c>
      <c r="O207" s="204">
        <v>1</v>
      </c>
    </row>
    <row r="208" spans="1:15" ht="15">
      <c r="A208" s="186">
        <v>205</v>
      </c>
      <c r="B208" s="294" t="s">
        <v>125</v>
      </c>
      <c r="C208" s="97">
        <v>40088</v>
      </c>
      <c r="D208" s="105" t="s">
        <v>126</v>
      </c>
      <c r="E208" s="323">
        <v>55</v>
      </c>
      <c r="F208" s="323">
        <v>1</v>
      </c>
      <c r="G208" s="323">
        <v>10</v>
      </c>
      <c r="H208" s="122">
        <v>210</v>
      </c>
      <c r="I208" s="127">
        <v>42</v>
      </c>
      <c r="J208" s="128">
        <f>IF(H208&lt;&gt;0,I208/F208,"")</f>
        <v>42</v>
      </c>
      <c r="K208" s="129">
        <f>IF(H208&lt;&gt;0,H208/I208,"")</f>
        <v>5</v>
      </c>
      <c r="L208" s="126">
        <v>147461</v>
      </c>
      <c r="M208" s="229">
        <v>18201</v>
      </c>
      <c r="N208" s="303">
        <f>IF(L208&lt;&gt;0,L208/M208,"")</f>
        <v>8.101807592989395</v>
      </c>
      <c r="O208" s="203">
        <v>1</v>
      </c>
    </row>
    <row r="209" spans="1:15" ht="15">
      <c r="A209" s="186">
        <v>206</v>
      </c>
      <c r="B209" s="300" t="s">
        <v>32</v>
      </c>
      <c r="C209" s="130">
        <v>40109</v>
      </c>
      <c r="D209" s="131" t="s">
        <v>155</v>
      </c>
      <c r="E209" s="325">
        <v>179</v>
      </c>
      <c r="F209" s="325">
        <v>1</v>
      </c>
      <c r="G209" s="325">
        <v>12</v>
      </c>
      <c r="H209" s="99">
        <v>1563</v>
      </c>
      <c r="I209" s="108">
        <v>274</v>
      </c>
      <c r="J209" s="109">
        <f>(I209/F209)</f>
        <v>274</v>
      </c>
      <c r="K209" s="102">
        <f>H209/I209</f>
        <v>5.704379562043796</v>
      </c>
      <c r="L209" s="103">
        <f>1128559+561773+266735+93447+7005+1818+273+24520+599+3199+564+1563</f>
        <v>2090055</v>
      </c>
      <c r="M209" s="110">
        <f>129422+68620+41591+19064+1291+300+35+6130+81+717+91+274</f>
        <v>267616</v>
      </c>
      <c r="N209" s="296">
        <f>L209/M209</f>
        <v>7.809902995336602</v>
      </c>
      <c r="O209" s="204">
        <v>1</v>
      </c>
    </row>
    <row r="210" spans="1:15" ht="15">
      <c r="A210" s="186">
        <v>207</v>
      </c>
      <c r="B210" s="298" t="s">
        <v>32</v>
      </c>
      <c r="C210" s="114">
        <v>40109</v>
      </c>
      <c r="D210" s="116" t="s">
        <v>155</v>
      </c>
      <c r="E210" s="324">
        <v>179</v>
      </c>
      <c r="F210" s="324">
        <v>2</v>
      </c>
      <c r="G210" s="324">
        <v>11</v>
      </c>
      <c r="H210" s="99">
        <v>564</v>
      </c>
      <c r="I210" s="100">
        <v>91</v>
      </c>
      <c r="J210" s="101">
        <f>(I210/F210)</f>
        <v>45.5</v>
      </c>
      <c r="K210" s="102">
        <f>H210/I210</f>
        <v>6.197802197802198</v>
      </c>
      <c r="L210" s="103">
        <f>1128559+561773+266735+93447+7005+1818+273+24520+599+3199+564</f>
        <v>2088492</v>
      </c>
      <c r="M210" s="104">
        <f>129422+68620+41591+19064+1291+300+35+6130+81+717+91</f>
        <v>267342</v>
      </c>
      <c r="N210" s="296">
        <f>L210/M210</f>
        <v>7.8120609556298675</v>
      </c>
      <c r="O210" s="202">
        <v>1</v>
      </c>
    </row>
    <row r="211" spans="1:15" ht="15">
      <c r="A211" s="186">
        <v>208</v>
      </c>
      <c r="B211" s="298" t="s">
        <v>120</v>
      </c>
      <c r="C211" s="114">
        <v>39934</v>
      </c>
      <c r="D211" s="115" t="s">
        <v>76</v>
      </c>
      <c r="E211" s="324">
        <v>125</v>
      </c>
      <c r="F211" s="324">
        <v>1</v>
      </c>
      <c r="G211" s="324">
        <v>11</v>
      </c>
      <c r="H211" s="117">
        <v>1085</v>
      </c>
      <c r="I211" s="118">
        <v>217</v>
      </c>
      <c r="J211" s="229">
        <f>I211/F211</f>
        <v>217</v>
      </c>
      <c r="K211" s="121">
        <f>+H211/I211</f>
        <v>5</v>
      </c>
      <c r="L211" s="120">
        <f>114460.75+42138+22420+8194+3259+329+823+25444.5+546+3853+1085</f>
        <v>222552.25</v>
      </c>
      <c r="M211" s="229">
        <f>15343+6534+4108+1491+680+62+130+4241+100+770+217</f>
        <v>33676</v>
      </c>
      <c r="N211" s="299">
        <f>+L211/M211</f>
        <v>6.608630775626559</v>
      </c>
      <c r="O211" s="203">
        <v>1</v>
      </c>
    </row>
    <row r="212" spans="1:15" ht="15">
      <c r="A212" s="186">
        <v>209</v>
      </c>
      <c r="B212" s="298" t="s">
        <v>40</v>
      </c>
      <c r="C212" s="114">
        <v>39934</v>
      </c>
      <c r="D212" s="115" t="s">
        <v>76</v>
      </c>
      <c r="E212" s="324">
        <v>125</v>
      </c>
      <c r="F212" s="324">
        <v>1</v>
      </c>
      <c r="G212" s="324">
        <v>12</v>
      </c>
      <c r="H212" s="117">
        <v>700</v>
      </c>
      <c r="I212" s="145">
        <v>140</v>
      </c>
      <c r="J212" s="124">
        <f>+I212/F212</f>
        <v>140</v>
      </c>
      <c r="K212" s="125">
        <f>+H212/I212</f>
        <v>5</v>
      </c>
      <c r="L212" s="120">
        <f>114460.75+42138+22420+8194+3259+329+823+25444.5+546+3853+1085+700</f>
        <v>223252.25</v>
      </c>
      <c r="M212" s="175">
        <f>15343+6534+4108+1491+680+62+130+4241+100+770+217+140</f>
        <v>33816</v>
      </c>
      <c r="N212" s="297">
        <f>+L212/M212</f>
        <v>6.601970960492075</v>
      </c>
      <c r="O212" s="204">
        <v>1</v>
      </c>
    </row>
    <row r="213" spans="1:15" ht="15">
      <c r="A213" s="186">
        <v>210</v>
      </c>
      <c r="B213" s="294" t="s">
        <v>114</v>
      </c>
      <c r="C213" s="97">
        <v>40123</v>
      </c>
      <c r="D213" s="111" t="s">
        <v>157</v>
      </c>
      <c r="E213" s="323">
        <v>40</v>
      </c>
      <c r="F213" s="323">
        <v>3</v>
      </c>
      <c r="G213" s="323">
        <v>8</v>
      </c>
      <c r="H213" s="122">
        <v>2876</v>
      </c>
      <c r="I213" s="127">
        <v>477</v>
      </c>
      <c r="J213" s="128">
        <f>IF(H213&lt;&gt;0,I213/F213,"")</f>
        <v>159</v>
      </c>
      <c r="K213" s="125">
        <f>IF(H213&lt;&gt;0,H213/I213,"")</f>
        <v>6.029350104821803</v>
      </c>
      <c r="L213" s="126">
        <v>260364.25</v>
      </c>
      <c r="M213" s="229">
        <v>26330</v>
      </c>
      <c r="N213" s="302">
        <f>IF(L213&lt;&gt;0,L213/M213,"")</f>
        <v>9.888501709077099</v>
      </c>
      <c r="O213" s="202">
        <v>1</v>
      </c>
    </row>
    <row r="214" spans="1:15" ht="15">
      <c r="A214" s="186">
        <v>211</v>
      </c>
      <c r="B214" s="298" t="s">
        <v>31</v>
      </c>
      <c r="C214" s="114">
        <v>40123</v>
      </c>
      <c r="D214" s="105" t="s">
        <v>157</v>
      </c>
      <c r="E214" s="324">
        <v>40</v>
      </c>
      <c r="F214" s="324">
        <v>2</v>
      </c>
      <c r="G214" s="324">
        <v>14</v>
      </c>
      <c r="H214" s="222">
        <v>2069</v>
      </c>
      <c r="I214" s="223">
        <v>334</v>
      </c>
      <c r="J214" s="229">
        <f>IF(H214&lt;&gt;0,I214/F214,"")</f>
        <v>167</v>
      </c>
      <c r="K214" s="121">
        <f>IF(H214&lt;&gt;0,H214/I214,"")</f>
        <v>6.1946107784431135</v>
      </c>
      <c r="L214" s="120">
        <v>268817.25</v>
      </c>
      <c r="M214" s="229">
        <v>27789</v>
      </c>
      <c r="N214" s="299">
        <f>IF(L214&lt;&gt;0,L214/M214,"")</f>
        <v>9.673512900788081</v>
      </c>
      <c r="O214" s="202">
        <v>1</v>
      </c>
    </row>
    <row r="215" spans="1:15" ht="15">
      <c r="A215" s="186">
        <v>212</v>
      </c>
      <c r="B215" s="294" t="s">
        <v>31</v>
      </c>
      <c r="C215" s="97">
        <v>40123</v>
      </c>
      <c r="D215" s="105" t="s">
        <v>157</v>
      </c>
      <c r="E215" s="323">
        <v>40</v>
      </c>
      <c r="F215" s="323">
        <v>5</v>
      </c>
      <c r="G215" s="323">
        <v>10</v>
      </c>
      <c r="H215" s="122">
        <v>1905</v>
      </c>
      <c r="I215" s="123">
        <v>315</v>
      </c>
      <c r="J215" s="124">
        <f>IF(H215&lt;&gt;0,I215/F215,"")</f>
        <v>63</v>
      </c>
      <c r="K215" s="125">
        <f>IF(H215&lt;&gt;0,H215/I215,"")</f>
        <v>6.0476190476190474</v>
      </c>
      <c r="L215" s="126">
        <v>263941.25</v>
      </c>
      <c r="M215" s="175">
        <v>26959</v>
      </c>
      <c r="N215" s="302">
        <f>IF(L215&lt;&gt;0,L215/M215,"")</f>
        <v>9.790468860120924</v>
      </c>
      <c r="O215" s="204">
        <v>1</v>
      </c>
    </row>
    <row r="216" spans="1:15" ht="15">
      <c r="A216" s="186">
        <v>213</v>
      </c>
      <c r="B216" s="294" t="s">
        <v>114</v>
      </c>
      <c r="C216" s="97">
        <v>40123</v>
      </c>
      <c r="D216" s="105" t="s">
        <v>157</v>
      </c>
      <c r="E216" s="323">
        <v>40</v>
      </c>
      <c r="F216" s="323">
        <v>4</v>
      </c>
      <c r="G216" s="323">
        <v>9</v>
      </c>
      <c r="H216" s="122">
        <v>1672</v>
      </c>
      <c r="I216" s="127">
        <v>314</v>
      </c>
      <c r="J216" s="128">
        <f>IF(H216&lt;&gt;0,I216/F216,"")</f>
        <v>78.5</v>
      </c>
      <c r="K216" s="129">
        <f>IF(H216&lt;&gt;0,H216/I216,"")</f>
        <v>5.32484076433121</v>
      </c>
      <c r="L216" s="126">
        <v>262036.25</v>
      </c>
      <c r="M216" s="229">
        <v>26644</v>
      </c>
      <c r="N216" s="303">
        <f>IF(L216&lt;&gt;0,L216/M216,"")</f>
        <v>9.834718886053146</v>
      </c>
      <c r="O216" s="203">
        <v>1</v>
      </c>
    </row>
    <row r="217" spans="1:15" ht="15">
      <c r="A217" s="186">
        <v>214</v>
      </c>
      <c r="B217" s="298" t="s">
        <v>31</v>
      </c>
      <c r="C217" s="114">
        <v>40123</v>
      </c>
      <c r="D217" s="105" t="s">
        <v>157</v>
      </c>
      <c r="E217" s="324">
        <v>40</v>
      </c>
      <c r="F217" s="324">
        <v>2</v>
      </c>
      <c r="G217" s="324">
        <v>13</v>
      </c>
      <c r="H217" s="200">
        <v>1270.5</v>
      </c>
      <c r="I217" s="201">
        <v>209</v>
      </c>
      <c r="J217" s="175">
        <f>I217/F217</f>
        <v>104.5</v>
      </c>
      <c r="K217" s="119">
        <f>+H217/I217</f>
        <v>6.078947368421052</v>
      </c>
      <c r="L217" s="146">
        <v>266748.25</v>
      </c>
      <c r="M217" s="175">
        <v>27455</v>
      </c>
      <c r="N217" s="299">
        <f>L217/M217</f>
        <v>9.715835002731742</v>
      </c>
      <c r="O217" s="204">
        <v>1</v>
      </c>
    </row>
    <row r="218" spans="1:15" ht="15">
      <c r="A218" s="186">
        <v>215</v>
      </c>
      <c r="B218" s="298" t="s">
        <v>31</v>
      </c>
      <c r="C218" s="114">
        <v>40123</v>
      </c>
      <c r="D218" s="105" t="s">
        <v>157</v>
      </c>
      <c r="E218" s="324">
        <v>40</v>
      </c>
      <c r="F218" s="324">
        <v>1</v>
      </c>
      <c r="G218" s="324">
        <v>15</v>
      </c>
      <c r="H218" s="222">
        <v>1075</v>
      </c>
      <c r="I218" s="223">
        <v>120</v>
      </c>
      <c r="J218" s="229">
        <f>I218/F218</f>
        <v>120</v>
      </c>
      <c r="K218" s="121">
        <f>H218/I218</f>
        <v>8.958333333333334</v>
      </c>
      <c r="L218" s="120">
        <v>269892.25</v>
      </c>
      <c r="M218" s="229">
        <v>27909</v>
      </c>
      <c r="N218" s="299">
        <f>+L218/M218</f>
        <v>9.670437851589092</v>
      </c>
      <c r="O218" s="237"/>
    </row>
    <row r="219" spans="1:15" ht="15">
      <c r="A219" s="186">
        <v>216</v>
      </c>
      <c r="B219" s="298" t="s">
        <v>114</v>
      </c>
      <c r="C219" s="114">
        <v>40123</v>
      </c>
      <c r="D219" s="116" t="s">
        <v>157</v>
      </c>
      <c r="E219" s="324">
        <v>40</v>
      </c>
      <c r="F219" s="324">
        <v>4</v>
      </c>
      <c r="G219" s="324">
        <v>11</v>
      </c>
      <c r="H219" s="112">
        <v>1018</v>
      </c>
      <c r="I219" s="108">
        <v>176</v>
      </c>
      <c r="J219" s="109">
        <f>IF(H219&lt;&gt;0,I219/F219,"")</f>
        <v>44</v>
      </c>
      <c r="K219" s="102">
        <f>IF(H219&lt;&gt;0,H219/I219,"")</f>
        <v>5.784090909090909</v>
      </c>
      <c r="L219" s="113">
        <v>264959.25</v>
      </c>
      <c r="M219" s="110">
        <v>27135</v>
      </c>
      <c r="N219" s="296">
        <f>IF(L219&lt;&gt;0,L219/M219,"")</f>
        <v>9.764483139856274</v>
      </c>
      <c r="O219" s="204">
        <v>1</v>
      </c>
    </row>
    <row r="220" spans="1:15" ht="15">
      <c r="A220" s="186">
        <v>217</v>
      </c>
      <c r="B220" s="298" t="s">
        <v>114</v>
      </c>
      <c r="C220" s="114">
        <v>40123</v>
      </c>
      <c r="D220" s="105" t="s">
        <v>157</v>
      </c>
      <c r="E220" s="324">
        <v>40</v>
      </c>
      <c r="F220" s="324">
        <v>3</v>
      </c>
      <c r="G220" s="324">
        <v>12</v>
      </c>
      <c r="H220" s="144">
        <v>518.5</v>
      </c>
      <c r="I220" s="145">
        <v>111</v>
      </c>
      <c r="J220" s="175">
        <f>I220/F220</f>
        <v>37</v>
      </c>
      <c r="K220" s="119">
        <f>H220/I220</f>
        <v>4.671171171171171</v>
      </c>
      <c r="L220" s="146">
        <v>265477.75</v>
      </c>
      <c r="M220" s="175">
        <v>27246</v>
      </c>
      <c r="N220" s="297">
        <f>L220/M220</f>
        <v>9.743733025031197</v>
      </c>
      <c r="O220" s="205">
        <v>1</v>
      </c>
    </row>
    <row r="221" spans="1:15" ht="15">
      <c r="A221" s="186">
        <v>218</v>
      </c>
      <c r="B221" s="298" t="s">
        <v>31</v>
      </c>
      <c r="C221" s="224">
        <v>40123</v>
      </c>
      <c r="D221" s="105" t="s">
        <v>157</v>
      </c>
      <c r="E221" s="270">
        <v>40</v>
      </c>
      <c r="F221" s="270">
        <v>1</v>
      </c>
      <c r="G221" s="270">
        <v>16</v>
      </c>
      <c r="H221" s="226">
        <v>520</v>
      </c>
      <c r="I221" s="227">
        <v>219</v>
      </c>
      <c r="J221" s="229">
        <f>I221/F221</f>
        <v>219</v>
      </c>
      <c r="K221" s="121">
        <f>H221/I221</f>
        <v>2.374429223744292</v>
      </c>
      <c r="L221" s="120">
        <v>270412.25</v>
      </c>
      <c r="M221" s="229">
        <v>28128</v>
      </c>
      <c r="N221" s="299">
        <f>+L221/M221</f>
        <v>9.613632323663253</v>
      </c>
      <c r="O221" s="236">
        <v>1</v>
      </c>
    </row>
    <row r="222" spans="1:15" ht="15">
      <c r="A222" s="186">
        <v>219</v>
      </c>
      <c r="B222" s="298" t="s">
        <v>13</v>
      </c>
      <c r="C222" s="114">
        <v>40116</v>
      </c>
      <c r="D222" s="116" t="s">
        <v>76</v>
      </c>
      <c r="E222" s="324">
        <v>252</v>
      </c>
      <c r="F222" s="324">
        <v>3</v>
      </c>
      <c r="G222" s="324">
        <v>10</v>
      </c>
      <c r="H222" s="117">
        <v>3546</v>
      </c>
      <c r="I222" s="118">
        <v>675</v>
      </c>
      <c r="J222" s="128">
        <f>IF(H222&lt;&gt;0,I222/F222,"")</f>
        <v>225</v>
      </c>
      <c r="K222" s="125">
        <f>IF(H222&lt;&gt;0,H222/I222,"")</f>
        <v>5.253333333333333</v>
      </c>
      <c r="L222" s="120">
        <f>1669127.75+948082.25+584112.75-1430.5+253635+167357+9936+0.5+7987+1963+4065+3546</f>
        <v>3648381.75</v>
      </c>
      <c r="M222" s="229">
        <f>200044+117374+72700-112+36636+25117+1706+1163+472+1036+675</f>
        <v>456811</v>
      </c>
      <c r="N222" s="302">
        <f>IF(L222&lt;&gt;0,L222/M222,"")</f>
        <v>7.986632874427279</v>
      </c>
      <c r="O222" s="202">
        <v>1</v>
      </c>
    </row>
    <row r="223" spans="1:15" ht="15">
      <c r="A223" s="186">
        <v>220</v>
      </c>
      <c r="B223" s="298" t="s">
        <v>33</v>
      </c>
      <c r="C223" s="114">
        <v>40116</v>
      </c>
      <c r="D223" s="115" t="s">
        <v>76</v>
      </c>
      <c r="E223" s="324">
        <v>252</v>
      </c>
      <c r="F223" s="324">
        <v>3</v>
      </c>
      <c r="G223" s="324">
        <v>12</v>
      </c>
      <c r="H223" s="117">
        <v>1470</v>
      </c>
      <c r="I223" s="145">
        <v>234</v>
      </c>
      <c r="J223" s="124">
        <f>+I223/F223</f>
        <v>78</v>
      </c>
      <c r="K223" s="125">
        <f>+H223/I223</f>
        <v>6.282051282051282</v>
      </c>
      <c r="L223" s="120">
        <f>1669127.75+948082.25+584112.75-1430.5+253635+167357+9936+0.5+7987+1963+4065+3546+1275+1470</f>
        <v>3651126.75</v>
      </c>
      <c r="M223" s="175">
        <f>200044+117374+72700-112+36636+25117+1706+1163+472+1036+675+224+234</f>
        <v>457269</v>
      </c>
      <c r="N223" s="297">
        <f>+L223/M223</f>
        <v>7.984636504989404</v>
      </c>
      <c r="O223" s="204">
        <v>1</v>
      </c>
    </row>
    <row r="224" spans="1:15" ht="15">
      <c r="A224" s="186">
        <v>221</v>
      </c>
      <c r="B224" s="298" t="s">
        <v>33</v>
      </c>
      <c r="C224" s="114">
        <v>40116</v>
      </c>
      <c r="D224" s="115" t="s">
        <v>76</v>
      </c>
      <c r="E224" s="324">
        <v>252</v>
      </c>
      <c r="F224" s="324">
        <v>2</v>
      </c>
      <c r="G224" s="324">
        <v>11</v>
      </c>
      <c r="H224" s="117">
        <v>1275</v>
      </c>
      <c r="I224" s="118">
        <v>224</v>
      </c>
      <c r="J224" s="229">
        <f>I224/F224</f>
        <v>112</v>
      </c>
      <c r="K224" s="121">
        <f>+H224/I224</f>
        <v>5.691964285714286</v>
      </c>
      <c r="L224" s="120">
        <f>1669127.75+948082.25+584112.75-1430.5+253635+167357+9936+0.5+7987+1963+4065+3546+1275</f>
        <v>3649656.75</v>
      </c>
      <c r="M224" s="229">
        <f>200044+117374+72700-112+36636+25117+1706+1163+472+1036+675+224</f>
        <v>457035</v>
      </c>
      <c r="N224" s="299">
        <f>+L224/M224</f>
        <v>7.985508221471004</v>
      </c>
      <c r="O224" s="203">
        <v>1</v>
      </c>
    </row>
    <row r="225" spans="1:15" ht="15">
      <c r="A225" s="186">
        <v>222</v>
      </c>
      <c r="B225" s="298" t="s">
        <v>41</v>
      </c>
      <c r="C225" s="114">
        <v>40116</v>
      </c>
      <c r="D225" s="116" t="s">
        <v>157</v>
      </c>
      <c r="E225" s="324">
        <v>88</v>
      </c>
      <c r="F225" s="324">
        <v>2</v>
      </c>
      <c r="G225" s="324">
        <v>12</v>
      </c>
      <c r="H225" s="112">
        <v>1492</v>
      </c>
      <c r="I225" s="108">
        <v>303</v>
      </c>
      <c r="J225" s="109">
        <f>IF(H225&lt;&gt;0,I225/F225,"")</f>
        <v>151.5</v>
      </c>
      <c r="K225" s="102">
        <f>IF(H225&lt;&gt;0,H225/I225,"")</f>
        <v>4.924092409240924</v>
      </c>
      <c r="L225" s="113">
        <v>279977</v>
      </c>
      <c r="M225" s="110">
        <v>37673</v>
      </c>
      <c r="N225" s="296">
        <f>IF(L225&lt;&gt;0,L225/M225,"")</f>
        <v>7.43176810978685</v>
      </c>
      <c r="O225" s="204">
        <v>1</v>
      </c>
    </row>
    <row r="226" spans="1:15" ht="15">
      <c r="A226" s="186">
        <v>223</v>
      </c>
      <c r="B226" s="294" t="s">
        <v>123</v>
      </c>
      <c r="C226" s="97">
        <v>40116</v>
      </c>
      <c r="D226" s="105" t="s">
        <v>157</v>
      </c>
      <c r="E226" s="323">
        <v>88</v>
      </c>
      <c r="F226" s="323">
        <v>3</v>
      </c>
      <c r="G226" s="323">
        <v>10</v>
      </c>
      <c r="H226" s="122">
        <v>720</v>
      </c>
      <c r="I226" s="127">
        <v>126</v>
      </c>
      <c r="J226" s="128">
        <f>IF(H226&lt;&gt;0,I226/F226,"")</f>
        <v>42</v>
      </c>
      <c r="K226" s="129">
        <f>IF(H226&lt;&gt;0,H226/I226,"")</f>
        <v>5.714285714285714</v>
      </c>
      <c r="L226" s="126">
        <v>277792</v>
      </c>
      <c r="M226" s="229">
        <v>37243</v>
      </c>
      <c r="N226" s="303">
        <f>IF(L226&lt;&gt;0,L226/M226,"")</f>
        <v>7.458905029132992</v>
      </c>
      <c r="O226" s="203">
        <v>1</v>
      </c>
    </row>
    <row r="227" spans="1:15" ht="15">
      <c r="A227" s="186">
        <v>224</v>
      </c>
      <c r="B227" s="294" t="s">
        <v>41</v>
      </c>
      <c r="C227" s="97">
        <v>40116</v>
      </c>
      <c r="D227" s="105" t="s">
        <v>157</v>
      </c>
      <c r="E227" s="323">
        <v>88</v>
      </c>
      <c r="F227" s="323">
        <v>1</v>
      </c>
      <c r="G227" s="323">
        <v>11</v>
      </c>
      <c r="H227" s="122">
        <v>693</v>
      </c>
      <c r="I227" s="123">
        <v>127</v>
      </c>
      <c r="J227" s="124">
        <f>IF(H227&lt;&gt;0,I227/F227,"")</f>
        <v>127</v>
      </c>
      <c r="K227" s="125">
        <f>IF(H227&lt;&gt;0,H227/I227,"")</f>
        <v>5.456692913385827</v>
      </c>
      <c r="L227" s="126">
        <v>278485</v>
      </c>
      <c r="M227" s="175">
        <v>37370</v>
      </c>
      <c r="N227" s="302">
        <f>IF(L227&lt;&gt;0,L227/M227,"")</f>
        <v>7.452100615466952</v>
      </c>
      <c r="O227" s="204">
        <v>1</v>
      </c>
    </row>
    <row r="228" spans="1:15" ht="15">
      <c r="A228" s="186">
        <v>225</v>
      </c>
      <c r="B228" s="298" t="s">
        <v>41</v>
      </c>
      <c r="C228" s="114">
        <v>40116</v>
      </c>
      <c r="D228" s="105" t="s">
        <v>157</v>
      </c>
      <c r="E228" s="324">
        <v>88</v>
      </c>
      <c r="F228" s="324">
        <v>1</v>
      </c>
      <c r="G228" s="324">
        <v>13</v>
      </c>
      <c r="H228" s="144">
        <v>370</v>
      </c>
      <c r="I228" s="145">
        <v>56</v>
      </c>
      <c r="J228" s="175">
        <f>I228/F228</f>
        <v>56</v>
      </c>
      <c r="K228" s="119">
        <f>H228/I228</f>
        <v>6.607142857142857</v>
      </c>
      <c r="L228" s="146">
        <v>280347</v>
      </c>
      <c r="M228" s="175">
        <v>37729</v>
      </c>
      <c r="N228" s="297">
        <f>L228/M228</f>
        <v>7.430544143762093</v>
      </c>
      <c r="O228" s="205">
        <v>1</v>
      </c>
    </row>
    <row r="229" spans="1:15" ht="15">
      <c r="A229" s="186">
        <v>226</v>
      </c>
      <c r="B229" s="298" t="s">
        <v>179</v>
      </c>
      <c r="C229" s="114">
        <v>39633</v>
      </c>
      <c r="D229" s="105" t="s">
        <v>154</v>
      </c>
      <c r="E229" s="324">
        <v>123</v>
      </c>
      <c r="F229" s="324">
        <v>1</v>
      </c>
      <c r="G229" s="324">
        <v>86</v>
      </c>
      <c r="H229" s="222">
        <v>609</v>
      </c>
      <c r="I229" s="223">
        <v>280</v>
      </c>
      <c r="J229" s="229">
        <f>I229/F229</f>
        <v>280</v>
      </c>
      <c r="K229" s="121">
        <f>H229/I229</f>
        <v>2.175</v>
      </c>
      <c r="L229" s="120">
        <v>1546352</v>
      </c>
      <c r="M229" s="229">
        <v>214872</v>
      </c>
      <c r="N229" s="299">
        <f>+L229/M229</f>
        <v>7.19661938270226</v>
      </c>
      <c r="O229" s="240"/>
    </row>
    <row r="230" spans="1:15" ht="15">
      <c r="A230" s="186">
        <v>227</v>
      </c>
      <c r="B230" s="298" t="s">
        <v>17</v>
      </c>
      <c r="C230" s="114">
        <v>40137</v>
      </c>
      <c r="D230" s="116" t="s">
        <v>76</v>
      </c>
      <c r="E230" s="324">
        <v>311</v>
      </c>
      <c r="F230" s="324">
        <v>3</v>
      </c>
      <c r="G230" s="324">
        <v>7</v>
      </c>
      <c r="H230" s="117">
        <v>39718</v>
      </c>
      <c r="I230" s="118">
        <v>6551</v>
      </c>
      <c r="J230" s="128">
        <f>IF(H230&lt;&gt;0,I230/F230,"")</f>
        <v>2183.6666666666665</v>
      </c>
      <c r="K230" s="125">
        <f>IF(H230&lt;&gt;0,H230/I230,"")</f>
        <v>6.06289116165471</v>
      </c>
      <c r="L230" s="120">
        <f>3304754.25+2499078+631694+23+231806.5+262+75092+83827.5+39718+180</f>
        <v>6866435.25</v>
      </c>
      <c r="M230" s="229">
        <f>413699+312050+80320+31253+42+12537-15+13061+6551+45</f>
        <v>869543</v>
      </c>
      <c r="N230" s="302">
        <f>IF(L230&lt;&gt;0,L230/M230,"")</f>
        <v>7.896602295688655</v>
      </c>
      <c r="O230" s="202">
        <v>1</v>
      </c>
    </row>
    <row r="231" spans="1:15" ht="15">
      <c r="A231" s="186">
        <v>228</v>
      </c>
      <c r="B231" s="298" t="s">
        <v>17</v>
      </c>
      <c r="C231" s="114">
        <v>40137</v>
      </c>
      <c r="D231" s="115" t="s">
        <v>76</v>
      </c>
      <c r="E231" s="324">
        <v>311</v>
      </c>
      <c r="F231" s="324">
        <v>2</v>
      </c>
      <c r="G231" s="324">
        <v>9</v>
      </c>
      <c r="H231" s="117">
        <v>8500.5</v>
      </c>
      <c r="I231" s="145">
        <v>1409</v>
      </c>
      <c r="J231" s="124">
        <f>+I231/F231</f>
        <v>704.5</v>
      </c>
      <c r="K231" s="125">
        <f>+H231/I231</f>
        <v>6.033002129169624</v>
      </c>
      <c r="L231" s="120">
        <f>3304754.25+2499078+631694+23+231806.5+262+75092+83827.5+39718+180+150+8500+0.5</f>
        <v>6875085.75</v>
      </c>
      <c r="M231" s="175">
        <f>413699+312050+80320+31253+42+12537-15+13061+6551+45+15+1409</f>
        <v>870967</v>
      </c>
      <c r="N231" s="297">
        <f>+L231/M231</f>
        <v>7.893623696420186</v>
      </c>
      <c r="O231" s="204">
        <v>1</v>
      </c>
    </row>
    <row r="232" spans="1:15" ht="15">
      <c r="A232" s="186">
        <v>229</v>
      </c>
      <c r="B232" s="298" t="s">
        <v>17</v>
      </c>
      <c r="C232" s="114">
        <v>40137</v>
      </c>
      <c r="D232" s="115" t="s">
        <v>76</v>
      </c>
      <c r="E232" s="324">
        <v>311</v>
      </c>
      <c r="F232" s="324">
        <v>1</v>
      </c>
      <c r="G232" s="324">
        <v>8</v>
      </c>
      <c r="H232" s="117">
        <v>150</v>
      </c>
      <c r="I232" s="118">
        <v>15</v>
      </c>
      <c r="J232" s="229">
        <f>I232/F232</f>
        <v>15</v>
      </c>
      <c r="K232" s="121">
        <f>+H232/I232</f>
        <v>10</v>
      </c>
      <c r="L232" s="120">
        <f>3304754.25+2499078+631694+23+231806.5+262+75092+83827.5+39718+180+150</f>
        <v>6866585.25</v>
      </c>
      <c r="M232" s="229">
        <f>413699+312050+80320+31253+42+12537-15+13061+6551+45+15</f>
        <v>869558</v>
      </c>
      <c r="N232" s="299">
        <f>+L232/M232</f>
        <v>7.896638579600211</v>
      </c>
      <c r="O232" s="203">
        <v>1</v>
      </c>
    </row>
    <row r="233" spans="1:15" ht="15">
      <c r="A233" s="186">
        <v>230</v>
      </c>
      <c r="B233" s="294" t="s">
        <v>69</v>
      </c>
      <c r="C233" s="97">
        <v>40067</v>
      </c>
      <c r="D233" s="105" t="s">
        <v>157</v>
      </c>
      <c r="E233" s="323">
        <v>105</v>
      </c>
      <c r="F233" s="323">
        <v>10</v>
      </c>
      <c r="G233" s="323">
        <v>19</v>
      </c>
      <c r="H233" s="122">
        <v>7181.5</v>
      </c>
      <c r="I233" s="123">
        <v>1825</v>
      </c>
      <c r="J233" s="124">
        <f>IF(H233&lt;&gt;0,I233/F233,"")</f>
        <v>182.5</v>
      </c>
      <c r="K233" s="125">
        <f>IF(H233&lt;&gt;0,H233/I233,"")</f>
        <v>3.935068493150685</v>
      </c>
      <c r="L233" s="126">
        <v>621501</v>
      </c>
      <c r="M233" s="175">
        <v>73921</v>
      </c>
      <c r="N233" s="302">
        <f>IF(L233&lt;&gt;0,L233/M233,"")</f>
        <v>8.407637883686638</v>
      </c>
      <c r="O233" s="204"/>
    </row>
    <row r="234" spans="1:15" ht="15">
      <c r="A234" s="186">
        <v>231</v>
      </c>
      <c r="B234" s="294" t="s">
        <v>69</v>
      </c>
      <c r="C234" s="97">
        <v>40067</v>
      </c>
      <c r="D234" s="105" t="s">
        <v>157</v>
      </c>
      <c r="E234" s="323">
        <v>105</v>
      </c>
      <c r="F234" s="323">
        <v>9</v>
      </c>
      <c r="G234" s="323">
        <v>18</v>
      </c>
      <c r="H234" s="122">
        <v>4342.75</v>
      </c>
      <c r="I234" s="127">
        <v>845</v>
      </c>
      <c r="J234" s="128">
        <f>IF(H234&lt;&gt;0,I234/F234,"")</f>
        <v>93.88888888888889</v>
      </c>
      <c r="K234" s="129">
        <f>IF(H234&lt;&gt;0,H234/I234,"")</f>
        <v>5.139349112426036</v>
      </c>
      <c r="L234" s="126">
        <v>614319.5</v>
      </c>
      <c r="M234" s="229">
        <v>72096</v>
      </c>
      <c r="N234" s="303">
        <f>IF(L234&lt;&gt;0,L234/M234,"")</f>
        <v>8.520854138925877</v>
      </c>
      <c r="O234" s="203"/>
    </row>
    <row r="235" spans="1:15" ht="15">
      <c r="A235" s="186">
        <v>232</v>
      </c>
      <c r="B235" s="298" t="s">
        <v>69</v>
      </c>
      <c r="C235" s="114">
        <v>40067</v>
      </c>
      <c r="D235" s="105" t="s">
        <v>157</v>
      </c>
      <c r="E235" s="324">
        <v>105</v>
      </c>
      <c r="F235" s="324">
        <v>8</v>
      </c>
      <c r="G235" s="324">
        <v>21</v>
      </c>
      <c r="H235" s="144">
        <v>2959.5</v>
      </c>
      <c r="I235" s="145">
        <v>645</v>
      </c>
      <c r="J235" s="175">
        <f>I235/F235</f>
        <v>80.625</v>
      </c>
      <c r="K235" s="119">
        <f>H235/I235</f>
        <v>4.588372093023255</v>
      </c>
      <c r="L235" s="146">
        <v>626489.5</v>
      </c>
      <c r="M235" s="175">
        <v>74984</v>
      </c>
      <c r="N235" s="297">
        <f>L235/M235</f>
        <v>8.35497572815534</v>
      </c>
      <c r="O235" s="205"/>
    </row>
    <row r="236" spans="1:15" ht="15">
      <c r="A236" s="186">
        <v>233</v>
      </c>
      <c r="B236" s="298" t="s">
        <v>69</v>
      </c>
      <c r="C236" s="114">
        <v>40067</v>
      </c>
      <c r="D236" s="116" t="s">
        <v>157</v>
      </c>
      <c r="E236" s="324">
        <v>105</v>
      </c>
      <c r="F236" s="324">
        <v>8</v>
      </c>
      <c r="G236" s="324">
        <v>20</v>
      </c>
      <c r="H236" s="112">
        <v>2029</v>
      </c>
      <c r="I236" s="108">
        <v>418</v>
      </c>
      <c r="J236" s="109">
        <f>IF(H236&lt;&gt;0,I236/F236,"")</f>
        <v>52.25</v>
      </c>
      <c r="K236" s="102">
        <f>IF(H236&lt;&gt;0,H236/I236,"")</f>
        <v>4.854066985645933</v>
      </c>
      <c r="L236" s="113">
        <v>623530</v>
      </c>
      <c r="M236" s="110">
        <v>74339</v>
      </c>
      <c r="N236" s="296">
        <f>IF(L236&lt;&gt;0,L236/M236,"")</f>
        <v>8.387656546361937</v>
      </c>
      <c r="O236" s="204"/>
    </row>
    <row r="237" spans="1:15" ht="15">
      <c r="A237" s="186">
        <v>234</v>
      </c>
      <c r="B237" s="298" t="s">
        <v>69</v>
      </c>
      <c r="C237" s="114">
        <v>40067</v>
      </c>
      <c r="D237" s="105" t="s">
        <v>157</v>
      </c>
      <c r="E237" s="324">
        <v>105</v>
      </c>
      <c r="F237" s="324">
        <v>8</v>
      </c>
      <c r="G237" s="324">
        <v>22</v>
      </c>
      <c r="H237" s="200">
        <v>1703</v>
      </c>
      <c r="I237" s="201">
        <v>277</v>
      </c>
      <c r="J237" s="175">
        <f>I237/F237</f>
        <v>34.625</v>
      </c>
      <c r="K237" s="119">
        <f>+H237/I237</f>
        <v>6.148014440433213</v>
      </c>
      <c r="L237" s="146">
        <v>628192.5</v>
      </c>
      <c r="M237" s="175">
        <v>75261</v>
      </c>
      <c r="N237" s="299">
        <f>L237/M237</f>
        <v>8.346852951727987</v>
      </c>
      <c r="O237" s="204"/>
    </row>
    <row r="238" spans="1:15" ht="15">
      <c r="A238" s="186">
        <v>235</v>
      </c>
      <c r="B238" s="294" t="s">
        <v>69</v>
      </c>
      <c r="C238" s="97">
        <v>40067</v>
      </c>
      <c r="D238" s="111" t="s">
        <v>157</v>
      </c>
      <c r="E238" s="323">
        <v>105</v>
      </c>
      <c r="F238" s="323">
        <v>7</v>
      </c>
      <c r="G238" s="323">
        <v>17</v>
      </c>
      <c r="H238" s="122">
        <v>810</v>
      </c>
      <c r="I238" s="127">
        <v>154</v>
      </c>
      <c r="J238" s="128">
        <f>IF(H238&lt;&gt;0,I238/F238,"")</f>
        <v>22</v>
      </c>
      <c r="K238" s="125">
        <f>IF(H238&lt;&gt;0,H238/I238,"")</f>
        <v>5.259740259740259</v>
      </c>
      <c r="L238" s="126">
        <v>609976.75</v>
      </c>
      <c r="M238" s="229">
        <v>71251</v>
      </c>
      <c r="N238" s="302">
        <f>IF(L238&lt;&gt;0,L238/M238,"")</f>
        <v>8.56095703919945</v>
      </c>
      <c r="O238" s="202"/>
    </row>
    <row r="239" spans="1:15" ht="15">
      <c r="A239" s="186">
        <v>236</v>
      </c>
      <c r="B239" s="298" t="s">
        <v>69</v>
      </c>
      <c r="C239" s="114">
        <v>40067</v>
      </c>
      <c r="D239" s="105" t="s">
        <v>157</v>
      </c>
      <c r="E239" s="324">
        <v>105</v>
      </c>
      <c r="F239" s="324">
        <v>3</v>
      </c>
      <c r="G239" s="324">
        <v>23</v>
      </c>
      <c r="H239" s="222">
        <v>563</v>
      </c>
      <c r="I239" s="223">
        <v>79</v>
      </c>
      <c r="J239" s="229">
        <f>IF(H239&lt;&gt;0,I239/F239,"")</f>
        <v>26.333333333333332</v>
      </c>
      <c r="K239" s="121">
        <f>IF(H239&lt;&gt;0,H239/I239,"")</f>
        <v>7.1265822784810124</v>
      </c>
      <c r="L239" s="120">
        <v>628755.5</v>
      </c>
      <c r="M239" s="229">
        <v>75340</v>
      </c>
      <c r="N239" s="299">
        <f>IF(L239&lt;&gt;0,L239/M239,"")</f>
        <v>8.34557340058402</v>
      </c>
      <c r="O239" s="202"/>
    </row>
    <row r="240" spans="1:15" ht="15">
      <c r="A240" s="186">
        <v>237</v>
      </c>
      <c r="B240" s="298" t="s">
        <v>159</v>
      </c>
      <c r="C240" s="114">
        <v>39871</v>
      </c>
      <c r="D240" s="165" t="s">
        <v>155</v>
      </c>
      <c r="E240" s="324">
        <v>1</v>
      </c>
      <c r="F240" s="324">
        <v>1</v>
      </c>
      <c r="G240" s="324">
        <v>21</v>
      </c>
      <c r="H240" s="99">
        <v>1780</v>
      </c>
      <c r="I240" s="100">
        <v>445</v>
      </c>
      <c r="J240" s="101">
        <f>(I240/F240)</f>
        <v>445</v>
      </c>
      <c r="K240" s="102">
        <f>H240/I240</f>
        <v>4</v>
      </c>
      <c r="L240" s="103">
        <f>1088+1510+1304+856+387+214+424+106+162+130+476+60.5+118+96+1664+1780+454+259.5+1188+119.5+1188+1780</f>
        <v>15364.5</v>
      </c>
      <c r="M240" s="104">
        <f>267+175+155+102+46+26+51+12+18+16+57+8+22+16+416+445+57+31+297+19+297+445</f>
        <v>2978</v>
      </c>
      <c r="N240" s="296">
        <f>L240/M240</f>
        <v>5.15933512424446</v>
      </c>
      <c r="O240" s="202"/>
    </row>
    <row r="241" spans="1:15" ht="15">
      <c r="A241" s="186">
        <v>238</v>
      </c>
      <c r="B241" s="298" t="s">
        <v>159</v>
      </c>
      <c r="C241" s="114">
        <v>39871</v>
      </c>
      <c r="D241" s="155" t="s">
        <v>155</v>
      </c>
      <c r="E241" s="324">
        <v>1</v>
      </c>
      <c r="F241" s="324">
        <v>1</v>
      </c>
      <c r="G241" s="324">
        <v>22</v>
      </c>
      <c r="H241" s="99">
        <v>1780</v>
      </c>
      <c r="I241" s="100">
        <v>445</v>
      </c>
      <c r="J241" s="101">
        <f>(I241/F241)</f>
        <v>445</v>
      </c>
      <c r="K241" s="106">
        <f>H241/I241</f>
        <v>4</v>
      </c>
      <c r="L241" s="103">
        <f>1088+1510+1304+856+387+214+424+106+162+130+476+60.5+118+96+1664+1780+454+259.5+1188+119.5+1188+1780+1780</f>
        <v>17144.5</v>
      </c>
      <c r="M241" s="104">
        <f>267+175+155+102+46+26+51+12+18+16+57+8+22+16+416+445+57+31+297+19+297+445+445</f>
        <v>3423</v>
      </c>
      <c r="N241" s="295">
        <f>L241/M241</f>
        <v>5.0086181711948585</v>
      </c>
      <c r="O241" s="202"/>
    </row>
    <row r="242" spans="1:15" ht="15">
      <c r="A242" s="186">
        <v>239</v>
      </c>
      <c r="B242" s="309" t="s">
        <v>102</v>
      </c>
      <c r="C242" s="97">
        <v>40158</v>
      </c>
      <c r="D242" s="155" t="s">
        <v>103</v>
      </c>
      <c r="E242" s="328" t="s">
        <v>104</v>
      </c>
      <c r="F242" s="328" t="s">
        <v>104</v>
      </c>
      <c r="G242" s="328" t="s">
        <v>105</v>
      </c>
      <c r="H242" s="156">
        <v>10169</v>
      </c>
      <c r="I242" s="160">
        <v>1579</v>
      </c>
      <c r="J242" s="161">
        <f>+I242/F242</f>
        <v>157.9</v>
      </c>
      <c r="K242" s="129">
        <f>IF(H242&lt;&gt;0,H242/I242,"")</f>
        <v>6.440151994933502</v>
      </c>
      <c r="L242" s="158">
        <v>104779</v>
      </c>
      <c r="M242" s="162">
        <v>9582</v>
      </c>
      <c r="N242" s="303">
        <f>IF(L242&lt;&gt;0,L242/M242,"")</f>
        <v>10.934982258401169</v>
      </c>
      <c r="O242" s="203"/>
    </row>
    <row r="243" spans="1:15" ht="15">
      <c r="A243" s="186">
        <v>240</v>
      </c>
      <c r="B243" s="309" t="s">
        <v>102</v>
      </c>
      <c r="C243" s="97">
        <v>40158</v>
      </c>
      <c r="D243" s="155" t="s">
        <v>103</v>
      </c>
      <c r="E243" s="328" t="s">
        <v>104</v>
      </c>
      <c r="F243" s="328" t="s">
        <v>104</v>
      </c>
      <c r="G243" s="328" t="s">
        <v>24</v>
      </c>
      <c r="H243" s="156">
        <v>9421</v>
      </c>
      <c r="I243" s="157">
        <v>1421</v>
      </c>
      <c r="J243" s="163">
        <f>+I243/F243</f>
        <v>142.1</v>
      </c>
      <c r="K243" s="164"/>
      <c r="L243" s="158">
        <v>114200</v>
      </c>
      <c r="M243" s="159">
        <v>11003</v>
      </c>
      <c r="N243" s="302">
        <f>IF(L243&lt;&gt;0,L243/M243,"")</f>
        <v>10.378987548850313</v>
      </c>
      <c r="O243" s="204"/>
    </row>
    <row r="244" spans="1:15" ht="15">
      <c r="A244" s="186">
        <v>241</v>
      </c>
      <c r="B244" s="298" t="s">
        <v>102</v>
      </c>
      <c r="C244" s="114">
        <v>40158</v>
      </c>
      <c r="D244" s="105" t="s">
        <v>103</v>
      </c>
      <c r="E244" s="324" t="s">
        <v>104</v>
      </c>
      <c r="F244" s="324" t="s">
        <v>24</v>
      </c>
      <c r="G244" s="324" t="s">
        <v>161</v>
      </c>
      <c r="H244" s="200">
        <v>1882</v>
      </c>
      <c r="I244" s="201">
        <v>269</v>
      </c>
      <c r="J244" s="175">
        <f>(I244/F244)</f>
        <v>44.833333333333336</v>
      </c>
      <c r="K244" s="119">
        <f>(J244/G244)</f>
        <v>4.981481481481482</v>
      </c>
      <c r="L244" s="146">
        <v>117674</v>
      </c>
      <c r="M244" s="175">
        <v>11534</v>
      </c>
      <c r="N244" s="299">
        <f>L244/M244</f>
        <v>10.20235824518814</v>
      </c>
      <c r="O244" s="204"/>
    </row>
    <row r="245" spans="1:15" ht="15">
      <c r="A245" s="186">
        <v>242</v>
      </c>
      <c r="B245" s="309" t="s">
        <v>102</v>
      </c>
      <c r="C245" s="114">
        <v>40158</v>
      </c>
      <c r="D245" s="105" t="s">
        <v>103</v>
      </c>
      <c r="E245" s="324" t="s">
        <v>104</v>
      </c>
      <c r="F245" s="324" t="s">
        <v>105</v>
      </c>
      <c r="G245" s="324" t="s">
        <v>6</v>
      </c>
      <c r="H245" s="144">
        <v>1592</v>
      </c>
      <c r="I245" s="145">
        <v>262</v>
      </c>
      <c r="J245" s="175">
        <f>I245/F245</f>
        <v>52.4</v>
      </c>
      <c r="K245" s="119">
        <f>H245/I245</f>
        <v>6.076335877862595</v>
      </c>
      <c r="L245" s="146">
        <v>115792</v>
      </c>
      <c r="M245" s="175">
        <v>11265</v>
      </c>
      <c r="N245" s="297">
        <f>L245/M245</f>
        <v>10.278916999556147</v>
      </c>
      <c r="O245" s="205"/>
    </row>
    <row r="246" spans="1:15" ht="15">
      <c r="A246" s="186">
        <v>243</v>
      </c>
      <c r="B246" s="298" t="s">
        <v>34</v>
      </c>
      <c r="C246" s="114">
        <v>39920</v>
      </c>
      <c r="D246" s="115" t="s">
        <v>155</v>
      </c>
      <c r="E246" s="324">
        <v>43</v>
      </c>
      <c r="F246" s="324">
        <v>1</v>
      </c>
      <c r="G246" s="324">
        <v>26</v>
      </c>
      <c r="H246" s="99">
        <v>1188</v>
      </c>
      <c r="I246" s="108">
        <v>297</v>
      </c>
      <c r="J246" s="109">
        <f>(I246/F246)</f>
        <v>297</v>
      </c>
      <c r="K246" s="102">
        <f>H246/I246</f>
        <v>4</v>
      </c>
      <c r="L246" s="103">
        <f>71921.5+55489+28896+23842.5+13474.5+19552.5+14027+10409+7091.5+1088.5+1046+1608+982+3368+433+2156+3870+2362+588+3564+2376+1424+1780+1424+1512+1188</f>
        <v>275473</v>
      </c>
      <c r="M246" s="110">
        <f>9131+7791+4520+4728+2735+3857+3026+2110+1463+203+226+324+239+809+81+469+941+537+95+891+594+356+445+356+378+297</f>
        <v>46602</v>
      </c>
      <c r="N246" s="296">
        <f>L246/M246</f>
        <v>5.911184069353246</v>
      </c>
      <c r="O246" s="204">
        <v>1</v>
      </c>
    </row>
    <row r="247" spans="1:15" ht="15">
      <c r="A247" s="186">
        <v>244</v>
      </c>
      <c r="B247" s="298" t="s">
        <v>34</v>
      </c>
      <c r="C247" s="114">
        <v>39920</v>
      </c>
      <c r="D247" s="105" t="s">
        <v>155</v>
      </c>
      <c r="E247" s="324">
        <v>43</v>
      </c>
      <c r="F247" s="324">
        <v>1</v>
      </c>
      <c r="G247" s="324">
        <v>27</v>
      </c>
      <c r="H247" s="200">
        <v>952</v>
      </c>
      <c r="I247" s="201">
        <v>238</v>
      </c>
      <c r="J247" s="175">
        <f>I247/F247</f>
        <v>238</v>
      </c>
      <c r="K247" s="119">
        <f>+H247/I247</f>
        <v>4</v>
      </c>
      <c r="L247" s="146">
        <f>71921.5+55489+28896+23842.5+13474.5+19552.5+14027+10409+7091.5+1088.5+1046+1608+982+3368+433+2156+3870+2362+588+3564+2376+1424+1780+1424+1512+1188+952</f>
        <v>276425</v>
      </c>
      <c r="M247" s="175">
        <f>9131+7791+4520+4728+2735+3857+3026+2110+1463+203+226+324+239+809+81+469+941+537+95+891+594+356+445+356+378+297+238</f>
        <v>46840</v>
      </c>
      <c r="N247" s="299">
        <f>L247/M247</f>
        <v>5.901473099914603</v>
      </c>
      <c r="O247" s="204">
        <v>1</v>
      </c>
    </row>
    <row r="248" spans="1:15" ht="15">
      <c r="A248" s="186">
        <v>245</v>
      </c>
      <c r="B248" s="298" t="s">
        <v>34</v>
      </c>
      <c r="C248" s="114">
        <v>39920</v>
      </c>
      <c r="D248" s="105" t="s">
        <v>155</v>
      </c>
      <c r="E248" s="324">
        <v>43</v>
      </c>
      <c r="F248" s="324">
        <v>1</v>
      </c>
      <c r="G248" s="324">
        <v>28</v>
      </c>
      <c r="H248" s="222">
        <v>952</v>
      </c>
      <c r="I248" s="223">
        <v>238</v>
      </c>
      <c r="J248" s="229">
        <f>(I248/F248)</f>
        <v>238</v>
      </c>
      <c r="K248" s="121">
        <f>H248/I248</f>
        <v>4</v>
      </c>
      <c r="L248" s="120">
        <f>71921.5+55489+28896+23842.5+13474.5+19552.5+14027+10409+7091.5+1088.5+1046+1608+982+3368+433+2156+3870+2362+588+3564+2376+1424+1780+1424+1512+1188+952+952</f>
        <v>277377</v>
      </c>
      <c r="M248" s="229">
        <f>9131+7791+4520+4728+2735+3857+3026+2110+1463+203+226+324+239+809+81+469+941+537+95+891+594+356+445+356+378+297+238+238</f>
        <v>47078</v>
      </c>
      <c r="N248" s="299">
        <f>L248/M248</f>
        <v>5.891860316920854</v>
      </c>
      <c r="O248" s="202">
        <v>1</v>
      </c>
    </row>
    <row r="249" spans="1:15" ht="18">
      <c r="A249" s="186">
        <v>246</v>
      </c>
      <c r="B249" s="298" t="s">
        <v>34</v>
      </c>
      <c r="C249" s="114">
        <v>39920</v>
      </c>
      <c r="D249" s="105" t="s">
        <v>155</v>
      </c>
      <c r="E249" s="324">
        <v>43</v>
      </c>
      <c r="F249" s="324">
        <v>1</v>
      </c>
      <c r="G249" s="324">
        <v>29</v>
      </c>
      <c r="H249" s="222">
        <v>952</v>
      </c>
      <c r="I249" s="223">
        <v>238</v>
      </c>
      <c r="J249" s="229">
        <f>I249/F249</f>
        <v>238</v>
      </c>
      <c r="K249" s="121">
        <f>H249/I249</f>
        <v>4</v>
      </c>
      <c r="L249" s="120">
        <f>71921.5+55489+28896+23842.5+13474.5+19552.5+14027+10409+7091.5+1088.5+1046+1608+982+3368+433+2156+3870+2362+588+3564+2376+1424+1780+1424+1512+1188+952+952+952</f>
        <v>278329</v>
      </c>
      <c r="M249" s="229">
        <f>9131+7791+4520+4728+2735+3857+3026+2110+1463+203+226+324+239+809+81+469+941+537+95+891+594+356+445+356+378+297+238+238+238</f>
        <v>47316</v>
      </c>
      <c r="N249" s="299">
        <f>+L249/M249</f>
        <v>5.882344238735311</v>
      </c>
      <c r="O249" s="238">
        <v>1</v>
      </c>
    </row>
    <row r="250" spans="1:15" ht="15">
      <c r="A250" s="186">
        <v>247</v>
      </c>
      <c r="B250" s="298" t="s">
        <v>34</v>
      </c>
      <c r="C250" s="224">
        <v>39920</v>
      </c>
      <c r="D250" s="105" t="s">
        <v>155</v>
      </c>
      <c r="E250" s="270">
        <v>43</v>
      </c>
      <c r="F250" s="270">
        <v>4</v>
      </c>
      <c r="G250" s="270">
        <v>30</v>
      </c>
      <c r="H250" s="226">
        <v>6292</v>
      </c>
      <c r="I250" s="227">
        <v>1573</v>
      </c>
      <c r="J250" s="229">
        <f>(I250/F250)</f>
        <v>393.25</v>
      </c>
      <c r="K250" s="121">
        <f>H250/I250</f>
        <v>4</v>
      </c>
      <c r="L250" s="120">
        <f>71921.5+55489+28896+23842.5+13474.5+19552.5+14027+10409+7091.5+1088.5+1046+1608+982+3368+433+2156+3870+2362+588+3564+2376+1424+1780+1424+1512+1188+952+952+952+6292</f>
        <v>284621</v>
      </c>
      <c r="M250" s="229">
        <f>9131+7791+4520+4728+2735+3857+3026+2110+1463+203+226+324+239+809+81+469+941+537+95+891+594+356+445+356+378+297+238+238+238+1573</f>
        <v>48889</v>
      </c>
      <c r="N250" s="299">
        <f>L250/M250</f>
        <v>5.821779950500113</v>
      </c>
      <c r="O250" s="236">
        <v>1</v>
      </c>
    </row>
    <row r="251" spans="1:15" ht="15">
      <c r="A251" s="186">
        <v>248</v>
      </c>
      <c r="B251" s="298" t="s">
        <v>172</v>
      </c>
      <c r="C251" s="114">
        <v>39955</v>
      </c>
      <c r="D251" s="105" t="s">
        <v>155</v>
      </c>
      <c r="E251" s="324">
        <v>49</v>
      </c>
      <c r="F251" s="324">
        <v>1</v>
      </c>
      <c r="G251" s="324">
        <v>20</v>
      </c>
      <c r="H251" s="222">
        <v>1780</v>
      </c>
      <c r="I251" s="223">
        <v>445</v>
      </c>
      <c r="J251" s="229">
        <f>(I251/F251)</f>
        <v>445</v>
      </c>
      <c r="K251" s="121">
        <f>H251/I251</f>
        <v>4</v>
      </c>
      <c r="L251" s="120">
        <f>156835.75+123241.75+64169.25+38530+14718+8349.5+5553+9905+6647+2168.5+2346+2372+3658.5+879+4291.5+2227+3697.5+1188+476+1780</f>
        <v>453033.25</v>
      </c>
      <c r="M251" s="229">
        <f>15124+12366+7559+6566+2380+1342+923+1526+1461+575+437+426+642+167+566+379+627+297+119+445</f>
        <v>53927</v>
      </c>
      <c r="N251" s="299">
        <f>L251/M251</f>
        <v>8.40086134960224</v>
      </c>
      <c r="O251" s="202"/>
    </row>
    <row r="252" spans="1:15" ht="18">
      <c r="A252" s="186">
        <v>249</v>
      </c>
      <c r="B252" s="298" t="s">
        <v>172</v>
      </c>
      <c r="C252" s="114">
        <v>39955</v>
      </c>
      <c r="D252" s="105" t="s">
        <v>155</v>
      </c>
      <c r="E252" s="324">
        <v>49</v>
      </c>
      <c r="F252" s="324">
        <v>1</v>
      </c>
      <c r="G252" s="324">
        <v>21</v>
      </c>
      <c r="H252" s="222">
        <v>1780</v>
      </c>
      <c r="I252" s="223">
        <v>445</v>
      </c>
      <c r="J252" s="229">
        <f>I252/F252</f>
        <v>445</v>
      </c>
      <c r="K252" s="121">
        <f>H252/I252</f>
        <v>4</v>
      </c>
      <c r="L252" s="120">
        <f>156835.75+123241.75+64169.25+38530+14718+8349.5+5553+9905+6647+2168.5+2346+2372+3658.5+879+4291.5+2227+3697.5+1188+476+1780+1780</f>
        <v>454813.25</v>
      </c>
      <c r="M252" s="229">
        <f>15124+12366+7559+6566+2380+1342+923+1526+1461+575+437+426+642+167+566+379+627+297+119+445+445</f>
        <v>54372</v>
      </c>
      <c r="N252" s="299">
        <f>+L252/M252</f>
        <v>8.364843117781211</v>
      </c>
      <c r="O252" s="238"/>
    </row>
    <row r="253" spans="1:15" ht="15">
      <c r="A253" s="186">
        <v>250</v>
      </c>
      <c r="B253" s="294" t="s">
        <v>111</v>
      </c>
      <c r="C253" s="97">
        <v>40102</v>
      </c>
      <c r="D253" s="111" t="s">
        <v>157</v>
      </c>
      <c r="E253" s="323">
        <v>319</v>
      </c>
      <c r="F253" s="323">
        <v>13</v>
      </c>
      <c r="G253" s="323">
        <v>12</v>
      </c>
      <c r="H253" s="122">
        <v>6659</v>
      </c>
      <c r="I253" s="127">
        <v>990</v>
      </c>
      <c r="J253" s="128">
        <f>IF(H253&lt;&gt;0,I253/F253,"")</f>
        <v>76.15384615384616</v>
      </c>
      <c r="K253" s="125">
        <f>IF(H253&lt;&gt;0,H253/I253,"")</f>
        <v>6.726262626262626</v>
      </c>
      <c r="L253" s="126">
        <v>19727039.25</v>
      </c>
      <c r="M253" s="229">
        <v>2420126</v>
      </c>
      <c r="N253" s="302">
        <f>IF(L253&lt;&gt;0,L253/M253,"")</f>
        <v>8.151244707920165</v>
      </c>
      <c r="O253" s="202">
        <v>1</v>
      </c>
    </row>
    <row r="254" spans="1:15" ht="15">
      <c r="A254" s="186">
        <v>251</v>
      </c>
      <c r="B254" s="298" t="s">
        <v>111</v>
      </c>
      <c r="C254" s="114">
        <v>40102</v>
      </c>
      <c r="D254" s="105" t="s">
        <v>157</v>
      </c>
      <c r="E254" s="324">
        <v>319</v>
      </c>
      <c r="F254" s="324">
        <v>3</v>
      </c>
      <c r="G254" s="324">
        <v>19</v>
      </c>
      <c r="H254" s="222">
        <v>5750</v>
      </c>
      <c r="I254" s="223">
        <v>1314</v>
      </c>
      <c r="J254" s="229">
        <f>I254/F254</f>
        <v>438</v>
      </c>
      <c r="K254" s="121">
        <f>H254/I254</f>
        <v>4.375951293759513</v>
      </c>
      <c r="L254" s="120">
        <v>19749823.75</v>
      </c>
      <c r="M254" s="229">
        <v>2424683</v>
      </c>
      <c r="N254" s="299">
        <f>+L254/M254</f>
        <v>8.145321986420493</v>
      </c>
      <c r="O254" s="237">
        <v>1</v>
      </c>
    </row>
    <row r="255" spans="1:15" ht="15">
      <c r="A255" s="186">
        <v>252</v>
      </c>
      <c r="B255" s="298" t="s">
        <v>111</v>
      </c>
      <c r="C255" s="114">
        <v>40102</v>
      </c>
      <c r="D255" s="116" t="s">
        <v>157</v>
      </c>
      <c r="E255" s="324">
        <v>319</v>
      </c>
      <c r="F255" s="324">
        <v>4</v>
      </c>
      <c r="G255" s="324">
        <v>15</v>
      </c>
      <c r="H255" s="112">
        <v>5067</v>
      </c>
      <c r="I255" s="108">
        <v>1028</v>
      </c>
      <c r="J255" s="109">
        <f>IF(H255&lt;&gt;0,I255/F255,"")</f>
        <v>257</v>
      </c>
      <c r="K255" s="102">
        <f>IF(H255&lt;&gt;0,H255/I255,"")</f>
        <v>4.928988326848249</v>
      </c>
      <c r="L255" s="113">
        <v>19737820.25</v>
      </c>
      <c r="M255" s="110">
        <v>2422173</v>
      </c>
      <c r="N255" s="296">
        <f>IF(L255&lt;&gt;0,L255/M255,"")</f>
        <v>8.148806980343684</v>
      </c>
      <c r="O255" s="204">
        <v>1</v>
      </c>
    </row>
    <row r="256" spans="1:15" ht="15">
      <c r="A256" s="186">
        <v>253</v>
      </c>
      <c r="B256" s="294" t="s">
        <v>27</v>
      </c>
      <c r="C256" s="97">
        <v>40102</v>
      </c>
      <c r="D256" s="105" t="s">
        <v>157</v>
      </c>
      <c r="E256" s="323">
        <v>319</v>
      </c>
      <c r="F256" s="323">
        <v>6</v>
      </c>
      <c r="G256" s="323">
        <v>14</v>
      </c>
      <c r="H256" s="122">
        <v>3814</v>
      </c>
      <c r="I256" s="123">
        <v>755</v>
      </c>
      <c r="J256" s="124">
        <f>IF(H256&lt;&gt;0,I256/F256,"")</f>
        <v>125.83333333333333</v>
      </c>
      <c r="K256" s="125">
        <f>IF(H256&lt;&gt;0,H256/I256,"")</f>
        <v>5.051655629139073</v>
      </c>
      <c r="L256" s="126">
        <v>19732753.25</v>
      </c>
      <c r="M256" s="175">
        <v>2421145</v>
      </c>
      <c r="N256" s="302">
        <f>IF(L256&lt;&gt;0,L256/M256,"")</f>
        <v>8.15017409118413</v>
      </c>
      <c r="O256" s="204">
        <v>1</v>
      </c>
    </row>
    <row r="257" spans="1:15" ht="15">
      <c r="A257" s="186">
        <v>254</v>
      </c>
      <c r="B257" s="298" t="s">
        <v>111</v>
      </c>
      <c r="C257" s="114">
        <v>40102</v>
      </c>
      <c r="D257" s="105" t="s">
        <v>157</v>
      </c>
      <c r="E257" s="324">
        <v>319</v>
      </c>
      <c r="F257" s="324">
        <v>3</v>
      </c>
      <c r="G257" s="324">
        <v>17</v>
      </c>
      <c r="H257" s="200">
        <v>3454.5</v>
      </c>
      <c r="I257" s="201">
        <v>766</v>
      </c>
      <c r="J257" s="175">
        <f>I257/F257</f>
        <v>255.33333333333334</v>
      </c>
      <c r="K257" s="119">
        <f>+H257/I257</f>
        <v>4.509791122715405</v>
      </c>
      <c r="L257" s="146">
        <v>19743933.75</v>
      </c>
      <c r="M257" s="175">
        <v>2423355</v>
      </c>
      <c r="N257" s="299">
        <f>IF(L257&lt;&gt;0,L257/M257,"")</f>
        <v>8.147355113056074</v>
      </c>
      <c r="O257" s="204">
        <v>1</v>
      </c>
    </row>
    <row r="258" spans="1:15" ht="15">
      <c r="A258" s="186">
        <v>255</v>
      </c>
      <c r="B258" s="298" t="s">
        <v>111</v>
      </c>
      <c r="C258" s="114">
        <v>40102</v>
      </c>
      <c r="D258" s="105" t="s">
        <v>157</v>
      </c>
      <c r="E258" s="324">
        <v>319</v>
      </c>
      <c r="F258" s="324">
        <v>2</v>
      </c>
      <c r="G258" s="324">
        <v>16</v>
      </c>
      <c r="H258" s="144">
        <v>2659</v>
      </c>
      <c r="I258" s="145">
        <v>416</v>
      </c>
      <c r="J258" s="175">
        <f>I258/F258</f>
        <v>208</v>
      </c>
      <c r="K258" s="119">
        <f>H258/I258</f>
        <v>6.391826923076923</v>
      </c>
      <c r="L258" s="146">
        <v>19740479.25</v>
      </c>
      <c r="M258" s="175">
        <v>2422589</v>
      </c>
      <c r="N258" s="297">
        <f>L258/M258</f>
        <v>8.14850527679272</v>
      </c>
      <c r="O258" s="205">
        <v>1</v>
      </c>
    </row>
    <row r="259" spans="1:15" ht="15">
      <c r="A259" s="186">
        <v>256</v>
      </c>
      <c r="B259" s="294" t="s">
        <v>111</v>
      </c>
      <c r="C259" s="97">
        <v>40102</v>
      </c>
      <c r="D259" s="105" t="s">
        <v>157</v>
      </c>
      <c r="E259" s="323">
        <v>319</v>
      </c>
      <c r="F259" s="323">
        <v>7</v>
      </c>
      <c r="G259" s="323">
        <v>13</v>
      </c>
      <c r="H259" s="122">
        <v>1900</v>
      </c>
      <c r="I259" s="127">
        <v>264</v>
      </c>
      <c r="J259" s="128">
        <f>IF(H259&lt;&gt;0,I259/F259,"")</f>
        <v>37.714285714285715</v>
      </c>
      <c r="K259" s="129">
        <f>IF(H259&lt;&gt;0,H259/I259,"")</f>
        <v>7.196969696969697</v>
      </c>
      <c r="L259" s="126">
        <v>19728939.25</v>
      </c>
      <c r="M259" s="229">
        <v>2420390</v>
      </c>
      <c r="N259" s="303">
        <f>IF(L259&lt;&gt;0,L259/M259,"")</f>
        <v>8.151140621965881</v>
      </c>
      <c r="O259" s="203">
        <v>1</v>
      </c>
    </row>
    <row r="260" spans="1:15" ht="15">
      <c r="A260" s="186">
        <v>257</v>
      </c>
      <c r="B260" s="298" t="s">
        <v>111</v>
      </c>
      <c r="C260" s="114">
        <v>40102</v>
      </c>
      <c r="D260" s="105" t="s">
        <v>157</v>
      </c>
      <c r="E260" s="324">
        <v>319</v>
      </c>
      <c r="F260" s="324">
        <v>1</v>
      </c>
      <c r="G260" s="324">
        <v>18</v>
      </c>
      <c r="H260" s="222">
        <v>140</v>
      </c>
      <c r="I260" s="223">
        <v>14</v>
      </c>
      <c r="J260" s="229">
        <f>IF(H260&lt;&gt;0,I260/F260,"")</f>
        <v>14</v>
      </c>
      <c r="K260" s="121">
        <f>IF(H260&lt;&gt;0,H260/I260,"")</f>
        <v>10</v>
      </c>
      <c r="L260" s="120">
        <v>19744073.75</v>
      </c>
      <c r="M260" s="229">
        <v>2423369</v>
      </c>
      <c r="N260" s="299">
        <f>IF(L260&lt;&gt;0,L260/M260,"")</f>
        <v>8.147365815936409</v>
      </c>
      <c r="O260" s="202">
        <v>1</v>
      </c>
    </row>
    <row r="261" spans="1:15" ht="15">
      <c r="A261" s="186">
        <v>258</v>
      </c>
      <c r="B261" s="298" t="s">
        <v>111</v>
      </c>
      <c r="C261" s="224">
        <v>40102</v>
      </c>
      <c r="D261" s="105" t="s">
        <v>157</v>
      </c>
      <c r="E261" s="270">
        <v>319</v>
      </c>
      <c r="F261" s="270">
        <v>1</v>
      </c>
      <c r="G261" s="270">
        <v>20</v>
      </c>
      <c r="H261" s="226">
        <v>748</v>
      </c>
      <c r="I261" s="227">
        <v>150</v>
      </c>
      <c r="J261" s="229">
        <f aca="true" t="shared" si="19" ref="J261:J266">I261/F261</f>
        <v>150</v>
      </c>
      <c r="K261" s="121">
        <f aca="true" t="shared" si="20" ref="K261:K266">H261/I261</f>
        <v>4.986666666666666</v>
      </c>
      <c r="L261" s="120">
        <v>19750571.75</v>
      </c>
      <c r="M261" s="229">
        <v>2424833</v>
      </c>
      <c r="N261" s="299">
        <f>+L261/M261</f>
        <v>8.145126592223052</v>
      </c>
      <c r="O261" s="236">
        <v>1</v>
      </c>
    </row>
    <row r="262" spans="1:15" ht="15">
      <c r="A262" s="186">
        <v>259</v>
      </c>
      <c r="B262" s="304" t="s">
        <v>21</v>
      </c>
      <c r="C262" s="97">
        <v>40144</v>
      </c>
      <c r="D262" s="132" t="s">
        <v>132</v>
      </c>
      <c r="E262" s="326">
        <v>258</v>
      </c>
      <c r="F262" s="326">
        <v>176</v>
      </c>
      <c r="G262" s="326">
        <v>6</v>
      </c>
      <c r="H262" s="133">
        <v>225694.5</v>
      </c>
      <c r="I262" s="134">
        <v>35788</v>
      </c>
      <c r="J262" s="135">
        <f t="shared" si="19"/>
        <v>203.3409090909091</v>
      </c>
      <c r="K262" s="136">
        <f t="shared" si="20"/>
        <v>6.306429529451212</v>
      </c>
      <c r="L262" s="137">
        <v>9551615.25</v>
      </c>
      <c r="M262" s="138">
        <v>1107368</v>
      </c>
      <c r="N262" s="305">
        <f>+L262/M262</f>
        <v>8.625511347627889</v>
      </c>
      <c r="O262" s="202">
        <v>1</v>
      </c>
    </row>
    <row r="263" spans="1:15" ht="15">
      <c r="A263" s="186">
        <v>260</v>
      </c>
      <c r="B263" s="304" t="s">
        <v>97</v>
      </c>
      <c r="C263" s="97">
        <v>40144</v>
      </c>
      <c r="D263" s="139" t="s">
        <v>132</v>
      </c>
      <c r="E263" s="326">
        <v>258</v>
      </c>
      <c r="F263" s="326">
        <v>55</v>
      </c>
      <c r="G263" s="326">
        <v>7</v>
      </c>
      <c r="H263" s="133">
        <v>58586</v>
      </c>
      <c r="I263" s="134">
        <v>9274</v>
      </c>
      <c r="J263" s="135">
        <f t="shared" si="19"/>
        <v>168.61818181818182</v>
      </c>
      <c r="K263" s="140">
        <f t="shared" si="20"/>
        <v>6.317230968298468</v>
      </c>
      <c r="L263" s="137">
        <v>9610201.25</v>
      </c>
      <c r="M263" s="138">
        <v>1116642</v>
      </c>
      <c r="N263" s="303">
        <f>IF(L263&lt;&gt;0,L263/M263,"")</f>
        <v>8.60634048334202</v>
      </c>
      <c r="O263" s="203">
        <v>1</v>
      </c>
    </row>
    <row r="264" spans="1:15" ht="15">
      <c r="A264" s="186">
        <v>261</v>
      </c>
      <c r="B264" s="304" t="s">
        <v>21</v>
      </c>
      <c r="C264" s="97">
        <v>40144</v>
      </c>
      <c r="D264" s="139" t="s">
        <v>132</v>
      </c>
      <c r="E264" s="326">
        <v>258</v>
      </c>
      <c r="F264" s="326">
        <v>27</v>
      </c>
      <c r="G264" s="326">
        <v>8</v>
      </c>
      <c r="H264" s="133">
        <v>33984.5</v>
      </c>
      <c r="I264" s="141">
        <v>5492</v>
      </c>
      <c r="J264" s="142">
        <f t="shared" si="19"/>
        <v>203.40740740740742</v>
      </c>
      <c r="K264" s="136">
        <f t="shared" si="20"/>
        <v>6.18800072833212</v>
      </c>
      <c r="L264" s="137">
        <v>9644185.75</v>
      </c>
      <c r="M264" s="143">
        <v>1122134</v>
      </c>
      <c r="N264" s="302">
        <f>IF(L264&lt;&gt;0,L264/M264,"")</f>
        <v>8.59450453332668</v>
      </c>
      <c r="O264" s="204">
        <v>1</v>
      </c>
    </row>
    <row r="265" spans="1:15" ht="15">
      <c r="A265" s="186">
        <v>262</v>
      </c>
      <c r="B265" s="298" t="s">
        <v>21</v>
      </c>
      <c r="C265" s="114">
        <v>40144</v>
      </c>
      <c r="D265" s="111" t="s">
        <v>132</v>
      </c>
      <c r="E265" s="324">
        <v>258</v>
      </c>
      <c r="F265" s="324">
        <v>13</v>
      </c>
      <c r="G265" s="324">
        <v>9</v>
      </c>
      <c r="H265" s="144">
        <v>9270</v>
      </c>
      <c r="I265" s="145">
        <v>2067</v>
      </c>
      <c r="J265" s="109">
        <f t="shared" si="19"/>
        <v>159</v>
      </c>
      <c r="K265" s="102">
        <f t="shared" si="20"/>
        <v>4.484760522496371</v>
      </c>
      <c r="L265" s="146">
        <v>9653455.75</v>
      </c>
      <c r="M265" s="175">
        <v>1124201</v>
      </c>
      <c r="N265" s="296">
        <f>+L265/M265</f>
        <v>8.586948196986127</v>
      </c>
      <c r="O265" s="204">
        <v>1</v>
      </c>
    </row>
    <row r="266" spans="1:15" ht="15">
      <c r="A266" s="186">
        <v>263</v>
      </c>
      <c r="B266" s="298" t="s">
        <v>21</v>
      </c>
      <c r="C266" s="114">
        <v>40144</v>
      </c>
      <c r="D266" s="105" t="s">
        <v>132</v>
      </c>
      <c r="E266" s="324">
        <v>258</v>
      </c>
      <c r="F266" s="324">
        <v>7</v>
      </c>
      <c r="G266" s="324">
        <v>9</v>
      </c>
      <c r="H266" s="144">
        <v>4980</v>
      </c>
      <c r="I266" s="145">
        <v>850</v>
      </c>
      <c r="J266" s="175">
        <f t="shared" si="19"/>
        <v>121.42857142857143</v>
      </c>
      <c r="K266" s="119">
        <f t="shared" si="20"/>
        <v>5.858823529411764</v>
      </c>
      <c r="L266" s="146">
        <v>9658435.75</v>
      </c>
      <c r="M266" s="175">
        <v>1125051</v>
      </c>
      <c r="N266" s="297">
        <f>L266/M266</f>
        <v>8.584887040676378</v>
      </c>
      <c r="O266" s="206">
        <v>1</v>
      </c>
    </row>
    <row r="267" spans="1:15" ht="15">
      <c r="A267" s="186">
        <v>264</v>
      </c>
      <c r="B267" s="298" t="s">
        <v>21</v>
      </c>
      <c r="C267" s="114">
        <v>40144</v>
      </c>
      <c r="D267" s="105" t="s">
        <v>132</v>
      </c>
      <c r="E267" s="324">
        <v>258</v>
      </c>
      <c r="F267" s="324">
        <v>5</v>
      </c>
      <c r="G267" s="324">
        <v>11</v>
      </c>
      <c r="H267" s="200">
        <v>1642</v>
      </c>
      <c r="I267" s="201">
        <v>180</v>
      </c>
      <c r="J267" s="175">
        <f>(I267/F267)</f>
        <v>36</v>
      </c>
      <c r="K267" s="119">
        <f>(J267/G267)</f>
        <v>3.272727272727273</v>
      </c>
      <c r="L267" s="146">
        <v>9660077.75</v>
      </c>
      <c r="M267" s="175">
        <v>1125231</v>
      </c>
      <c r="N267" s="299">
        <f>L267/M267</f>
        <v>8.584972996655798</v>
      </c>
      <c r="O267" s="204">
        <v>1</v>
      </c>
    </row>
    <row r="268" spans="1:15" ht="15">
      <c r="A268" s="186">
        <v>265</v>
      </c>
      <c r="B268" s="298" t="s">
        <v>21</v>
      </c>
      <c r="C268" s="114">
        <v>40144</v>
      </c>
      <c r="D268" s="105" t="s">
        <v>132</v>
      </c>
      <c r="E268" s="270">
        <v>258</v>
      </c>
      <c r="F268" s="270">
        <v>1</v>
      </c>
      <c r="G268" s="270">
        <v>13</v>
      </c>
      <c r="H268" s="226">
        <v>1190</v>
      </c>
      <c r="I268" s="227">
        <v>370</v>
      </c>
      <c r="J268" s="229">
        <f>I268/F268</f>
        <v>370</v>
      </c>
      <c r="K268" s="121">
        <f>H268/I268</f>
        <v>3.2162162162162162</v>
      </c>
      <c r="L268" s="120">
        <v>9661267.75</v>
      </c>
      <c r="M268" s="229">
        <v>1125601</v>
      </c>
      <c r="N268" s="299">
        <f>+L268/M268</f>
        <v>8.583208214989147</v>
      </c>
      <c r="O268" s="239">
        <v>1</v>
      </c>
    </row>
    <row r="269" spans="1:15" ht="15">
      <c r="A269" s="186">
        <v>266</v>
      </c>
      <c r="B269" s="298" t="s">
        <v>61</v>
      </c>
      <c r="C269" s="114">
        <v>39955</v>
      </c>
      <c r="D269" s="116" t="s">
        <v>155</v>
      </c>
      <c r="E269" s="324">
        <v>88</v>
      </c>
      <c r="F269" s="324">
        <v>1</v>
      </c>
      <c r="G269" s="324">
        <v>25</v>
      </c>
      <c r="H269" s="112">
        <v>1188</v>
      </c>
      <c r="I269" s="108">
        <v>297</v>
      </c>
      <c r="J269" s="109">
        <f>(I269/F269)</f>
        <v>297</v>
      </c>
      <c r="K269" s="102">
        <f>H269/I269</f>
        <v>4</v>
      </c>
      <c r="L269" s="113">
        <f>253985.25+197941+176827+129137.25+73306.5+36496.5+20735+12653+3137+3974+3108+6704.75+3312+1885+643+108556.75+31027+8660.5+1196.5+2137+5262+2140+4040+1780+1188</f>
        <v>1089833</v>
      </c>
      <c r="M269" s="110">
        <f>26929+21325+23241+17550+10624+6388+4049+2644+577+882+663+1354+764+460+116+14641+4967+986+117+181+1185+535+1010+445+297</f>
        <v>141930</v>
      </c>
      <c r="N269" s="296">
        <f>L269/M269</f>
        <v>7.678665539350384</v>
      </c>
      <c r="O269" s="204"/>
    </row>
    <row r="270" spans="1:15" ht="15">
      <c r="A270" s="186">
        <v>267</v>
      </c>
      <c r="B270" s="298" t="s">
        <v>196</v>
      </c>
      <c r="C270" s="224">
        <v>39864</v>
      </c>
      <c r="D270" s="105" t="s">
        <v>155</v>
      </c>
      <c r="E270" s="270">
        <v>55</v>
      </c>
      <c r="F270" s="270">
        <v>1</v>
      </c>
      <c r="G270" s="270">
        <v>26</v>
      </c>
      <c r="H270" s="226">
        <v>1780</v>
      </c>
      <c r="I270" s="227">
        <v>445</v>
      </c>
      <c r="J270" s="229">
        <f>(I270/F270)</f>
        <v>445</v>
      </c>
      <c r="K270" s="121">
        <f>H270/I270</f>
        <v>4</v>
      </c>
      <c r="L270" s="120">
        <f>190777.5+154065+60826.5+20820+23589+29712+19396.5+16102+12940+11034+3005+981+1140+40+98.25+284+1000+300+220+1211.5+155+156+63+1780+5228+1780</f>
        <v>556704.25</v>
      </c>
      <c r="M270" s="229">
        <f>20518+17650+7809+3283+4115+5826+3911+3770+2981+2505+653+199+194+8+18+60+100+75+44+292+22+22+19+445+1307+445</f>
        <v>76271</v>
      </c>
      <c r="N270" s="299">
        <f>L270/M270</f>
        <v>7.299029119848959</v>
      </c>
      <c r="O270" s="236"/>
    </row>
    <row r="271" spans="1:15" ht="15">
      <c r="A271" s="186">
        <v>268</v>
      </c>
      <c r="B271" s="298" t="s">
        <v>14</v>
      </c>
      <c r="C271" s="114">
        <v>39941</v>
      </c>
      <c r="D271" s="105" t="s">
        <v>155</v>
      </c>
      <c r="E271" s="324">
        <v>26</v>
      </c>
      <c r="F271" s="324">
        <v>1</v>
      </c>
      <c r="G271" s="324">
        <v>22</v>
      </c>
      <c r="H271" s="222">
        <v>3800</v>
      </c>
      <c r="I271" s="223">
        <v>950</v>
      </c>
      <c r="J271" s="229">
        <f>I271/F271</f>
        <v>950</v>
      </c>
      <c r="K271" s="121">
        <f>H271/I271</f>
        <v>4</v>
      </c>
      <c r="L271" s="120">
        <f>36482.75+16583.5+5922.75+3249+4769+4925+4199.5+5525+366+924+414+2215+2444+33+1987+838+1440+537+604+3792+2376+1780+3800</f>
        <v>105206.5</v>
      </c>
      <c r="M271" s="229">
        <f>4495+1934+744+517+1003+1215+722+968+65+193+83+369+384+5+336+159+238+83+151+948+594+445+950</f>
        <v>16601</v>
      </c>
      <c r="N271" s="299">
        <f>+L271/M271</f>
        <v>6.337359195229203</v>
      </c>
      <c r="O271" s="232">
        <v>1</v>
      </c>
    </row>
    <row r="272" spans="1:15" ht="15">
      <c r="A272" s="186">
        <v>269</v>
      </c>
      <c r="B272" s="298" t="s">
        <v>14</v>
      </c>
      <c r="C272" s="114">
        <v>39941</v>
      </c>
      <c r="D272" s="165" t="s">
        <v>155</v>
      </c>
      <c r="E272" s="324">
        <v>26</v>
      </c>
      <c r="F272" s="324">
        <v>1</v>
      </c>
      <c r="G272" s="324">
        <v>21</v>
      </c>
      <c r="H272" s="99">
        <v>1780</v>
      </c>
      <c r="I272" s="100">
        <v>445</v>
      </c>
      <c r="J272" s="101">
        <f>(I272/F272)</f>
        <v>445</v>
      </c>
      <c r="K272" s="102">
        <f>H272/I272</f>
        <v>4</v>
      </c>
      <c r="L272" s="103">
        <f>36482.75+16583.5+5922.75+3249+4769+4925+4199.5+5525+366+924+414+2215+2444+33+1987+838+1440+537+604+3792+2376+1780</f>
        <v>101406.5</v>
      </c>
      <c r="M272" s="104">
        <f>4495+1934+744+517+1003+1215+722+968+65+193+83+369+384+5+336+159+238+83+151+948+594+445</f>
        <v>15651</v>
      </c>
      <c r="N272" s="296">
        <f aca="true" t="shared" si="21" ref="N272:N278">L272/M272</f>
        <v>6.479234553702639</v>
      </c>
      <c r="O272" s="202">
        <v>1</v>
      </c>
    </row>
    <row r="273" spans="1:15" ht="15">
      <c r="A273" s="186">
        <v>270</v>
      </c>
      <c r="B273" s="298" t="s">
        <v>163</v>
      </c>
      <c r="C273" s="114">
        <v>39976</v>
      </c>
      <c r="D273" s="105" t="s">
        <v>155</v>
      </c>
      <c r="E273" s="324">
        <v>2</v>
      </c>
      <c r="F273" s="324">
        <v>1</v>
      </c>
      <c r="G273" s="324">
        <v>14</v>
      </c>
      <c r="H273" s="200">
        <v>1424</v>
      </c>
      <c r="I273" s="201">
        <v>356</v>
      </c>
      <c r="J273" s="175">
        <f>I273/F273</f>
        <v>356</v>
      </c>
      <c r="K273" s="119">
        <f>+H273/I273</f>
        <v>4</v>
      </c>
      <c r="L273" s="146">
        <f>4047+2102+1183+288+2185+769.5+1362.5+929+117+25+266+133+952+1424</f>
        <v>15783</v>
      </c>
      <c r="M273" s="175">
        <f>502+366+177+30+537+130+151+131+15+2+54+19+238+356</f>
        <v>2708</v>
      </c>
      <c r="N273" s="299">
        <f t="shared" si="21"/>
        <v>5.828286558345643</v>
      </c>
      <c r="O273" s="204"/>
    </row>
    <row r="274" spans="1:15" ht="15">
      <c r="A274" s="186">
        <v>271</v>
      </c>
      <c r="B274" s="298" t="s">
        <v>163</v>
      </c>
      <c r="C274" s="224">
        <v>39976</v>
      </c>
      <c r="D274" s="105" t="s">
        <v>155</v>
      </c>
      <c r="E274" s="270">
        <v>2</v>
      </c>
      <c r="F274" s="270">
        <v>1</v>
      </c>
      <c r="G274" s="270">
        <v>15</v>
      </c>
      <c r="H274" s="226">
        <v>1780</v>
      </c>
      <c r="I274" s="227">
        <v>445</v>
      </c>
      <c r="J274" s="229">
        <f>(I274/F274)</f>
        <v>445</v>
      </c>
      <c r="K274" s="121">
        <f>H274/I274</f>
        <v>4</v>
      </c>
      <c r="L274" s="120">
        <f>4047+2102+1183+288+2185+769.5+1362.5+929+117+25+266+133+952+1424+1780</f>
        <v>17563</v>
      </c>
      <c r="M274" s="229">
        <f>502+366+177+30+537+130+151+131+15+2+54+19+238+356+445</f>
        <v>3153</v>
      </c>
      <c r="N274" s="299">
        <f t="shared" si="21"/>
        <v>5.570250555026958</v>
      </c>
      <c r="O274" s="236"/>
    </row>
    <row r="275" spans="1:15" ht="15">
      <c r="A275" s="186">
        <v>272</v>
      </c>
      <c r="B275" s="298" t="s">
        <v>112</v>
      </c>
      <c r="C275" s="114">
        <v>39829</v>
      </c>
      <c r="D275" s="155" t="s">
        <v>155</v>
      </c>
      <c r="E275" s="324">
        <v>65</v>
      </c>
      <c r="F275" s="324">
        <v>1</v>
      </c>
      <c r="G275" s="324">
        <v>34</v>
      </c>
      <c r="H275" s="99">
        <v>1780</v>
      </c>
      <c r="I275" s="100">
        <v>445</v>
      </c>
      <c r="J275" s="101">
        <f>(I275/F275)</f>
        <v>445</v>
      </c>
      <c r="K275" s="106">
        <f>H275/I275</f>
        <v>4</v>
      </c>
      <c r="L275" s="103">
        <f>237023+244842+160469+47021+21536+18820+18020.5+26440+10695+9162.5+9870+6322+1787+2032+757+348+420.5+158+4053+339.5+3161.5+1729.5+752+1417+1780+64+1208+952+552+139.5+544+40+8072+1780</f>
        <v>842307.5</v>
      </c>
      <c r="M275" s="104">
        <f>25678+28966+21290+6590+4890+3520+3479+4786+1907+1716+2388+1533+368+541+126+70+67+48+991+81+743+414+155+169+445+16+302+238+117+23+48+12+2018+445</f>
        <v>114180</v>
      </c>
      <c r="N275" s="295">
        <f t="shared" si="21"/>
        <v>7.377014363286039</v>
      </c>
      <c r="O275" s="202"/>
    </row>
    <row r="276" spans="1:15" ht="15">
      <c r="A276" s="186">
        <v>273</v>
      </c>
      <c r="B276" s="298" t="s">
        <v>112</v>
      </c>
      <c r="C276" s="114">
        <v>39829</v>
      </c>
      <c r="D276" s="105" t="s">
        <v>155</v>
      </c>
      <c r="E276" s="324">
        <v>65</v>
      </c>
      <c r="F276" s="324">
        <v>1</v>
      </c>
      <c r="G276" s="324">
        <v>36</v>
      </c>
      <c r="H276" s="200">
        <v>1780</v>
      </c>
      <c r="I276" s="201">
        <v>445</v>
      </c>
      <c r="J276" s="175">
        <f>(I276/F276)</f>
        <v>445</v>
      </c>
      <c r="K276" s="119">
        <f>(J276/G276)</f>
        <v>12.36111111111111</v>
      </c>
      <c r="L276" s="146">
        <f>237023+244842+160469+47021+21536+18820+18020.5+26440+10695+9162.5+9870+6322+1787+2032+757+348+420.5+158+4053+339.5+3161.5+1729.5+752+1417+1780+64+1208+952+552+139.5+544+40+8072+1780+1424+1780</f>
        <v>845511.5</v>
      </c>
      <c r="M276" s="175">
        <f>25678+28966+21290+6590+4890+3520+3479+4786+1907+1716+2388+1533+368+541+126+70+67+48+991+81+743+414+155+169+445+16+302+238+117+23+48+12+2018+445+356+445</f>
        <v>114981</v>
      </c>
      <c r="N276" s="299">
        <f t="shared" si="21"/>
        <v>7.35348883728616</v>
      </c>
      <c r="O276" s="204"/>
    </row>
    <row r="277" spans="1:15" ht="15">
      <c r="A277" s="186">
        <v>274</v>
      </c>
      <c r="B277" s="300" t="s">
        <v>112</v>
      </c>
      <c r="C277" s="130">
        <v>39829</v>
      </c>
      <c r="D277" s="131" t="s">
        <v>155</v>
      </c>
      <c r="E277" s="325">
        <v>65</v>
      </c>
      <c r="F277" s="325">
        <v>1</v>
      </c>
      <c r="G277" s="325">
        <v>35</v>
      </c>
      <c r="H277" s="112">
        <v>1424</v>
      </c>
      <c r="I277" s="108">
        <v>356</v>
      </c>
      <c r="J277" s="109">
        <f>(I277/F277)</f>
        <v>356</v>
      </c>
      <c r="K277" s="119">
        <f>+H277/I277</f>
        <v>4</v>
      </c>
      <c r="L277" s="113">
        <f>237023+244842+160469+47021+21536+18820+18020.5+26440+10695+9162.5+9870+6322+1787+2032+757+348+420.5+158+4053+339.5+3161.5+1729.5+752+1417+1780+64+1208+952+552+139.5+544+40+8072+1780+1424</f>
        <v>843731.5</v>
      </c>
      <c r="M277" s="110">
        <f>25678+28966+21290+6590+4890+3520+3479+4786+1907+1716+2388+1533+368+541+126+70+67+48+991+81+743+414+155+169+445+16+302+238+117+23+48+12+2018+445+356</f>
        <v>114536</v>
      </c>
      <c r="N277" s="301">
        <f t="shared" si="21"/>
        <v>7.366517950687993</v>
      </c>
      <c r="O277" s="205"/>
    </row>
    <row r="278" spans="1:15" ht="15">
      <c r="A278" s="186">
        <v>275</v>
      </c>
      <c r="B278" s="298" t="s">
        <v>112</v>
      </c>
      <c r="C278" s="224">
        <v>39829</v>
      </c>
      <c r="D278" s="105" t="s">
        <v>155</v>
      </c>
      <c r="E278" s="270">
        <v>65</v>
      </c>
      <c r="F278" s="270">
        <v>1</v>
      </c>
      <c r="G278" s="270">
        <v>37</v>
      </c>
      <c r="H278" s="226">
        <v>440</v>
      </c>
      <c r="I278" s="227">
        <v>55</v>
      </c>
      <c r="J278" s="229">
        <f>(I278/F278)</f>
        <v>55</v>
      </c>
      <c r="K278" s="121">
        <f>H278/I278</f>
        <v>8</v>
      </c>
      <c r="L278" s="120">
        <f>237023+244842+160469+47021+21536+18820+18020.5+26440+10695+9162.5+9870+6322+1787+2032+757+348+420.5+158+4053+339.5+3161.5+1729.5+752+1417+1780+64+1208+952+552+139.5+544+40+8072+1780+1424+1780+440</f>
        <v>845951.5</v>
      </c>
      <c r="M278" s="229">
        <f>25678+28966+21290+6590+4890+3520+3479+4786+1907+1716+2388+1533+368+541+126+70+67+48+991+81+743+414+155+169+445+16+302+238+117+23+48+12+2018+445+356+445+55</f>
        <v>115036</v>
      </c>
      <c r="N278" s="299">
        <f t="shared" si="21"/>
        <v>7.353797941513961</v>
      </c>
      <c r="O278" s="236"/>
    </row>
    <row r="279" spans="1:15" ht="15">
      <c r="A279" s="186">
        <v>276</v>
      </c>
      <c r="B279" s="298" t="s">
        <v>109</v>
      </c>
      <c r="C279" s="114">
        <v>40172</v>
      </c>
      <c r="D279" s="115" t="s">
        <v>76</v>
      </c>
      <c r="E279" s="324">
        <v>10</v>
      </c>
      <c r="F279" s="324">
        <v>9</v>
      </c>
      <c r="G279" s="324">
        <v>3</v>
      </c>
      <c r="H279" s="117">
        <v>3129.5</v>
      </c>
      <c r="I279" s="118">
        <v>431</v>
      </c>
      <c r="J279" s="229">
        <f>I279/F279</f>
        <v>47.888888888888886</v>
      </c>
      <c r="K279" s="121">
        <f>+H279/I279</f>
        <v>7.261020881670533</v>
      </c>
      <c r="L279" s="120">
        <f>9917+0.75+3107+3129+0.5</f>
        <v>16154.25</v>
      </c>
      <c r="M279" s="229">
        <f>987+335+431</f>
        <v>1753</v>
      </c>
      <c r="N279" s="299">
        <f>+L279/M279</f>
        <v>9.215202509982886</v>
      </c>
      <c r="O279" s="203">
        <v>1</v>
      </c>
    </row>
    <row r="280" spans="1:15" ht="15">
      <c r="A280" s="186">
        <v>277</v>
      </c>
      <c r="B280" s="298" t="s">
        <v>29</v>
      </c>
      <c r="C280" s="114">
        <v>40172</v>
      </c>
      <c r="D280" s="116" t="s">
        <v>76</v>
      </c>
      <c r="E280" s="324">
        <v>10</v>
      </c>
      <c r="F280" s="324">
        <v>9</v>
      </c>
      <c r="G280" s="324">
        <v>2</v>
      </c>
      <c r="H280" s="117">
        <v>3107</v>
      </c>
      <c r="I280" s="118">
        <v>335</v>
      </c>
      <c r="J280" s="128">
        <f>IF(H280&lt;&gt;0,I280/F280,"")</f>
        <v>37.22222222222222</v>
      </c>
      <c r="K280" s="125">
        <f>IF(H280&lt;&gt;0,H280/I280,"")</f>
        <v>9.274626865671642</v>
      </c>
      <c r="L280" s="120">
        <f>9917+0.75+3107</f>
        <v>13024.75</v>
      </c>
      <c r="M280" s="229">
        <f>987+335</f>
        <v>1322</v>
      </c>
      <c r="N280" s="302">
        <f>IF(L280&lt;&gt;0,L280/M280,"")</f>
        <v>9.85230711043873</v>
      </c>
      <c r="O280" s="202">
        <v>1</v>
      </c>
    </row>
    <row r="281" spans="1:15" ht="15">
      <c r="A281" s="186">
        <v>278</v>
      </c>
      <c r="B281" s="298" t="s">
        <v>29</v>
      </c>
      <c r="C281" s="114">
        <v>40172</v>
      </c>
      <c r="D281" s="115" t="s">
        <v>76</v>
      </c>
      <c r="E281" s="324">
        <v>10</v>
      </c>
      <c r="F281" s="324">
        <v>5</v>
      </c>
      <c r="G281" s="324">
        <v>4</v>
      </c>
      <c r="H281" s="117">
        <v>2355</v>
      </c>
      <c r="I281" s="145">
        <v>415</v>
      </c>
      <c r="J281" s="124">
        <f>+I281/F281</f>
        <v>83</v>
      </c>
      <c r="K281" s="125">
        <f>+H281/I281</f>
        <v>5.674698795180723</v>
      </c>
      <c r="L281" s="120">
        <f>9917+0.75+3107+3129+0.5+2355</f>
        <v>18509.25</v>
      </c>
      <c r="M281" s="175">
        <f>987+335+431+415</f>
        <v>2168</v>
      </c>
      <c r="N281" s="302">
        <f>+L281/M281</f>
        <v>8.537476937269373</v>
      </c>
      <c r="O281" s="204">
        <v>1</v>
      </c>
    </row>
    <row r="282" spans="1:15" ht="15">
      <c r="A282" s="186">
        <v>279</v>
      </c>
      <c r="B282" s="298" t="s">
        <v>29</v>
      </c>
      <c r="C282" s="114">
        <v>40172</v>
      </c>
      <c r="D282" s="111" t="s">
        <v>76</v>
      </c>
      <c r="E282" s="324">
        <v>10</v>
      </c>
      <c r="F282" s="324">
        <v>4</v>
      </c>
      <c r="G282" s="324">
        <v>5</v>
      </c>
      <c r="H282" s="144">
        <v>1019</v>
      </c>
      <c r="I282" s="145">
        <v>152</v>
      </c>
      <c r="J282" s="109">
        <f>I282/F282</f>
        <v>38</v>
      </c>
      <c r="K282" s="102">
        <f>H282/I282</f>
        <v>6.703947368421052</v>
      </c>
      <c r="L282" s="146">
        <f>9917+0.75+3107+3129+0.5+2355+1019</f>
        <v>19528.25</v>
      </c>
      <c r="M282" s="175">
        <f>987+335+431+415+152</f>
        <v>2320</v>
      </c>
      <c r="N282" s="296">
        <f>+L282/M282</f>
        <v>8.417349137931035</v>
      </c>
      <c r="O282" s="204">
        <v>1</v>
      </c>
    </row>
    <row r="283" spans="1:15" ht="15">
      <c r="A283" s="186">
        <v>280</v>
      </c>
      <c r="B283" s="298" t="s">
        <v>29</v>
      </c>
      <c r="C283" s="114">
        <v>40172</v>
      </c>
      <c r="D283" s="105" t="s">
        <v>76</v>
      </c>
      <c r="E283" s="324">
        <v>10</v>
      </c>
      <c r="F283" s="324">
        <v>2</v>
      </c>
      <c r="G283" s="324">
        <v>5</v>
      </c>
      <c r="H283" s="144">
        <v>371</v>
      </c>
      <c r="I283" s="145">
        <v>63</v>
      </c>
      <c r="J283" s="175">
        <f>I283/F283</f>
        <v>31.5</v>
      </c>
      <c r="K283" s="119">
        <f>H283/I283</f>
        <v>5.888888888888889</v>
      </c>
      <c r="L283" s="146">
        <f>9917+0.75+3107+3129+0.5+2355+1019+371</f>
        <v>19899.25</v>
      </c>
      <c r="M283" s="175">
        <f>987+335+431+415+152+63</f>
        <v>2383</v>
      </c>
      <c r="N283" s="297">
        <f>L283/M283</f>
        <v>8.350503566932439</v>
      </c>
      <c r="O283" s="205">
        <v>1</v>
      </c>
    </row>
    <row r="284" spans="1:15" ht="15">
      <c r="A284" s="186">
        <v>281</v>
      </c>
      <c r="B284" s="298" t="s">
        <v>131</v>
      </c>
      <c r="C284" s="114">
        <v>39745</v>
      </c>
      <c r="D284" s="116" t="s">
        <v>155</v>
      </c>
      <c r="E284" s="324">
        <v>7</v>
      </c>
      <c r="F284" s="324">
        <v>1</v>
      </c>
      <c r="G284" s="324">
        <v>17</v>
      </c>
      <c r="H284" s="156">
        <v>87</v>
      </c>
      <c r="I284" s="160">
        <v>29</v>
      </c>
      <c r="J284" s="161">
        <f>(I284/F284)</f>
        <v>29</v>
      </c>
      <c r="K284" s="164">
        <f>H284/I284</f>
        <v>3</v>
      </c>
      <c r="L284" s="158">
        <f>31758.5+8225.5+1958+2180+395+7254.5+494+2046+429+128+135+1066+1003+620+20+120+87</f>
        <v>57919.5</v>
      </c>
      <c r="M284" s="162">
        <f>2732+851+288+247+46+761+52+333+72+22+23+258+223+133+2+12+29</f>
        <v>6084</v>
      </c>
      <c r="N284" s="310">
        <f>L284/M284</f>
        <v>9.519970414201184</v>
      </c>
      <c r="O284" s="202"/>
    </row>
    <row r="285" spans="1:15" ht="15">
      <c r="A285" s="186">
        <v>282</v>
      </c>
      <c r="B285" s="298" t="s">
        <v>131</v>
      </c>
      <c r="C285" s="114">
        <v>39745</v>
      </c>
      <c r="D285" s="115" t="s">
        <v>155</v>
      </c>
      <c r="E285" s="324">
        <v>7</v>
      </c>
      <c r="F285" s="324">
        <v>1</v>
      </c>
      <c r="G285" s="324">
        <v>18</v>
      </c>
      <c r="H285" s="156">
        <v>45</v>
      </c>
      <c r="I285" s="160">
        <v>15</v>
      </c>
      <c r="J285" s="161">
        <f>(I285/F285)</f>
        <v>15</v>
      </c>
      <c r="K285" s="167">
        <f>H285/I285</f>
        <v>3</v>
      </c>
      <c r="L285" s="158">
        <f>31758.5+8225.5+1958+2180+395+7254.5+494+2046+429+128+135+1066+1003+620+20+120+87+45</f>
        <v>57964.5</v>
      </c>
      <c r="M285" s="162">
        <f>2732+851+288+247+46+761+52+333+72+22+23+258+223+133+2+12+29+15</f>
        <v>6099</v>
      </c>
      <c r="N285" s="311">
        <f>L285/M285</f>
        <v>9.503935071323168</v>
      </c>
      <c r="O285" s="202"/>
    </row>
    <row r="286" spans="1:15" ht="15">
      <c r="A286" s="186">
        <v>283</v>
      </c>
      <c r="B286" s="298" t="s">
        <v>67</v>
      </c>
      <c r="C286" s="114">
        <v>40074</v>
      </c>
      <c r="D286" s="116" t="s">
        <v>155</v>
      </c>
      <c r="E286" s="324">
        <v>7</v>
      </c>
      <c r="F286" s="324">
        <v>1</v>
      </c>
      <c r="G286" s="324">
        <v>11</v>
      </c>
      <c r="H286" s="112">
        <v>136</v>
      </c>
      <c r="I286" s="108">
        <v>34</v>
      </c>
      <c r="J286" s="109">
        <f>(I286/F286)</f>
        <v>34</v>
      </c>
      <c r="K286" s="102">
        <f>H286/I286</f>
        <v>4</v>
      </c>
      <c r="L286" s="113">
        <f>24901+4873+3754+4238+1794.5+1565+1393.5+1381.5+1482+240+136</f>
        <v>45758.5</v>
      </c>
      <c r="M286" s="110">
        <f>2240+626+482+732+293+342+244+327+247+37+34</f>
        <v>5604</v>
      </c>
      <c r="N286" s="296">
        <f>L286/M286</f>
        <v>8.165328336902213</v>
      </c>
      <c r="O286" s="204"/>
    </row>
    <row r="287" spans="1:15" ht="15">
      <c r="A287" s="186">
        <v>284</v>
      </c>
      <c r="B287" s="298" t="s">
        <v>63</v>
      </c>
      <c r="C287" s="114">
        <v>40004</v>
      </c>
      <c r="D287" s="154" t="s">
        <v>154</v>
      </c>
      <c r="E287" s="324">
        <v>68</v>
      </c>
      <c r="F287" s="324">
        <v>1</v>
      </c>
      <c r="G287" s="324">
        <v>26</v>
      </c>
      <c r="H287" s="144">
        <v>609</v>
      </c>
      <c r="I287" s="145">
        <v>280</v>
      </c>
      <c r="J287" s="175">
        <f aca="true" t="shared" si="22" ref="J287:J297">I287/F287</f>
        <v>280</v>
      </c>
      <c r="K287" s="119">
        <f>+H287/I287</f>
        <v>2.175</v>
      </c>
      <c r="L287" s="146">
        <v>1217628</v>
      </c>
      <c r="M287" s="175">
        <v>132046</v>
      </c>
      <c r="N287" s="297">
        <f aca="true" t="shared" si="23" ref="N287:N294">+L287/M287</f>
        <v>9.221241082653014</v>
      </c>
      <c r="O287" s="204"/>
    </row>
    <row r="288" spans="1:15" ht="15">
      <c r="A288" s="186">
        <v>285</v>
      </c>
      <c r="B288" s="298" t="s">
        <v>63</v>
      </c>
      <c r="C288" s="114">
        <v>40004</v>
      </c>
      <c r="D288" s="105" t="s">
        <v>154</v>
      </c>
      <c r="E288" s="324">
        <v>68</v>
      </c>
      <c r="F288" s="324">
        <v>1</v>
      </c>
      <c r="G288" s="324">
        <v>30</v>
      </c>
      <c r="H288" s="222">
        <v>609</v>
      </c>
      <c r="I288" s="223">
        <v>280</v>
      </c>
      <c r="J288" s="229">
        <f t="shared" si="22"/>
        <v>280</v>
      </c>
      <c r="K288" s="121">
        <f aca="true" t="shared" si="24" ref="K288:K294">H288/I288</f>
        <v>2.175</v>
      </c>
      <c r="L288" s="120">
        <v>1218237</v>
      </c>
      <c r="M288" s="229">
        <v>132326</v>
      </c>
      <c r="N288" s="299">
        <f t="shared" si="23"/>
        <v>9.206331333222495</v>
      </c>
      <c r="O288" s="233"/>
    </row>
    <row r="289" spans="1:15" ht="15">
      <c r="A289" s="186">
        <v>286</v>
      </c>
      <c r="B289" s="294" t="s">
        <v>64</v>
      </c>
      <c r="C289" s="97">
        <v>39962</v>
      </c>
      <c r="D289" s="111" t="s">
        <v>130</v>
      </c>
      <c r="E289" s="323">
        <v>72</v>
      </c>
      <c r="F289" s="323">
        <v>1</v>
      </c>
      <c r="G289" s="323">
        <v>23</v>
      </c>
      <c r="H289" s="112">
        <v>516</v>
      </c>
      <c r="I289" s="108">
        <v>158</v>
      </c>
      <c r="J289" s="109">
        <f t="shared" si="22"/>
        <v>158</v>
      </c>
      <c r="K289" s="102">
        <f t="shared" si="24"/>
        <v>3.2658227848101267</v>
      </c>
      <c r="L289" s="113">
        <v>276947</v>
      </c>
      <c r="M289" s="110">
        <v>37748</v>
      </c>
      <c r="N289" s="296">
        <f t="shared" si="23"/>
        <v>7.336733071950832</v>
      </c>
      <c r="O289" s="204"/>
    </row>
    <row r="290" spans="1:15" ht="15">
      <c r="A290" s="186">
        <v>287</v>
      </c>
      <c r="B290" s="294" t="s">
        <v>85</v>
      </c>
      <c r="C290" s="97">
        <v>40158</v>
      </c>
      <c r="D290" s="105" t="s">
        <v>153</v>
      </c>
      <c r="E290" s="323">
        <v>141</v>
      </c>
      <c r="F290" s="323">
        <v>34</v>
      </c>
      <c r="G290" s="323">
        <v>5</v>
      </c>
      <c r="H290" s="99">
        <v>32443</v>
      </c>
      <c r="I290" s="100">
        <v>5335</v>
      </c>
      <c r="J290" s="101">
        <f t="shared" si="22"/>
        <v>156.91176470588235</v>
      </c>
      <c r="K290" s="106">
        <f t="shared" si="24"/>
        <v>6.08116213683224</v>
      </c>
      <c r="L290" s="103">
        <f>1607914+23244+32443</f>
        <v>1663601</v>
      </c>
      <c r="M290" s="104">
        <f>183968+3818+5335</f>
        <v>193121</v>
      </c>
      <c r="N290" s="295">
        <f t="shared" si="23"/>
        <v>8.614293629382615</v>
      </c>
      <c r="O290" s="203"/>
    </row>
    <row r="291" spans="1:15" ht="15">
      <c r="A291" s="186">
        <v>288</v>
      </c>
      <c r="B291" s="294" t="s">
        <v>85</v>
      </c>
      <c r="C291" s="97">
        <v>40158</v>
      </c>
      <c r="D291" s="107" t="s">
        <v>153</v>
      </c>
      <c r="E291" s="323">
        <v>141</v>
      </c>
      <c r="F291" s="323">
        <v>21</v>
      </c>
      <c r="G291" s="323">
        <v>6</v>
      </c>
      <c r="H291" s="99">
        <v>25994</v>
      </c>
      <c r="I291" s="108">
        <v>4998</v>
      </c>
      <c r="J291" s="109">
        <f t="shared" si="22"/>
        <v>238</v>
      </c>
      <c r="K291" s="102">
        <f t="shared" si="24"/>
        <v>5.200880352140857</v>
      </c>
      <c r="L291" s="103">
        <f>1607914+23244+32443+25994</f>
        <v>1689595</v>
      </c>
      <c r="M291" s="110">
        <f>183968+3818+5335+4998</f>
        <v>198119</v>
      </c>
      <c r="N291" s="296">
        <f t="shared" si="23"/>
        <v>8.528182556948098</v>
      </c>
      <c r="O291" s="204"/>
    </row>
    <row r="292" spans="1:15" ht="15">
      <c r="A292" s="186">
        <v>289</v>
      </c>
      <c r="B292" s="294" t="s">
        <v>85</v>
      </c>
      <c r="C292" s="97">
        <v>40158</v>
      </c>
      <c r="D292" s="98" t="s">
        <v>153</v>
      </c>
      <c r="E292" s="323">
        <v>141</v>
      </c>
      <c r="F292" s="323">
        <v>27</v>
      </c>
      <c r="G292" s="323">
        <v>4</v>
      </c>
      <c r="H292" s="99">
        <v>23244</v>
      </c>
      <c r="I292" s="100">
        <v>3818</v>
      </c>
      <c r="J292" s="101">
        <f t="shared" si="22"/>
        <v>141.40740740740742</v>
      </c>
      <c r="K292" s="102">
        <f t="shared" si="24"/>
        <v>6.088004190675746</v>
      </c>
      <c r="L292" s="103">
        <f>1607914+23244</f>
        <v>1631158</v>
      </c>
      <c r="M292" s="104">
        <f>183968+3818</f>
        <v>187786</v>
      </c>
      <c r="N292" s="296">
        <f t="shared" si="23"/>
        <v>8.686259891578713</v>
      </c>
      <c r="O292" s="202"/>
    </row>
    <row r="293" spans="1:15" ht="15">
      <c r="A293" s="186">
        <v>290</v>
      </c>
      <c r="B293" s="294" t="s">
        <v>85</v>
      </c>
      <c r="C293" s="97">
        <v>40158</v>
      </c>
      <c r="D293" s="111" t="s">
        <v>153</v>
      </c>
      <c r="E293" s="323">
        <v>141</v>
      </c>
      <c r="F293" s="323">
        <v>8</v>
      </c>
      <c r="G293" s="323">
        <v>7</v>
      </c>
      <c r="H293" s="112">
        <v>8150</v>
      </c>
      <c r="I293" s="108">
        <v>1502</v>
      </c>
      <c r="J293" s="109">
        <f t="shared" si="22"/>
        <v>187.75</v>
      </c>
      <c r="K293" s="102">
        <f t="shared" si="24"/>
        <v>5.426098535286285</v>
      </c>
      <c r="L293" s="113">
        <f>1607914+23244+32443+25994+8150</f>
        <v>1697745</v>
      </c>
      <c r="M293" s="110">
        <f>183968+3818+5335+4998+1502</f>
        <v>199621</v>
      </c>
      <c r="N293" s="296">
        <f t="shared" si="23"/>
        <v>8.504841674974076</v>
      </c>
      <c r="O293" s="204"/>
    </row>
    <row r="294" spans="1:15" ht="15">
      <c r="A294" s="186">
        <v>291</v>
      </c>
      <c r="B294" s="294" t="s">
        <v>85</v>
      </c>
      <c r="C294" s="114">
        <v>40158</v>
      </c>
      <c r="D294" s="105" t="s">
        <v>153</v>
      </c>
      <c r="E294" s="324">
        <v>141</v>
      </c>
      <c r="F294" s="324">
        <v>4</v>
      </c>
      <c r="G294" s="324">
        <v>8</v>
      </c>
      <c r="H294" s="144">
        <v>2669</v>
      </c>
      <c r="I294" s="145">
        <v>432</v>
      </c>
      <c r="J294" s="175">
        <f t="shared" si="22"/>
        <v>108</v>
      </c>
      <c r="K294" s="119">
        <f t="shared" si="24"/>
        <v>6.1782407407407405</v>
      </c>
      <c r="L294" s="146">
        <f>1607914+23244+32443+25994+8150+2669</f>
        <v>1700414</v>
      </c>
      <c r="M294" s="175">
        <f>183968+3818+5335+4998+1502+432</f>
        <v>200053</v>
      </c>
      <c r="N294" s="297">
        <f t="shared" si="23"/>
        <v>8.499817548349688</v>
      </c>
      <c r="O294" s="205"/>
    </row>
    <row r="295" spans="1:15" ht="15">
      <c r="A295" s="186">
        <v>292</v>
      </c>
      <c r="B295" s="298" t="s">
        <v>85</v>
      </c>
      <c r="C295" s="114">
        <v>40158</v>
      </c>
      <c r="D295" s="105" t="s">
        <v>153</v>
      </c>
      <c r="E295" s="324">
        <v>141</v>
      </c>
      <c r="F295" s="324">
        <v>3</v>
      </c>
      <c r="G295" s="324">
        <v>9</v>
      </c>
      <c r="H295" s="200">
        <v>883</v>
      </c>
      <c r="I295" s="201">
        <v>141</v>
      </c>
      <c r="J295" s="175">
        <f t="shared" si="22"/>
        <v>47</v>
      </c>
      <c r="K295" s="119">
        <f>+H295/I295</f>
        <v>6.26241134751773</v>
      </c>
      <c r="L295" s="146">
        <f>1700414+883</f>
        <v>1701297</v>
      </c>
      <c r="M295" s="175">
        <f>200053+141</f>
        <v>200194</v>
      </c>
      <c r="N295" s="299">
        <f>L295/M295</f>
        <v>8.49824170554562</v>
      </c>
      <c r="O295" s="204"/>
    </row>
    <row r="296" spans="1:15" ht="15">
      <c r="A296" s="186">
        <v>293</v>
      </c>
      <c r="B296" s="298" t="s">
        <v>85</v>
      </c>
      <c r="C296" s="114">
        <v>40158</v>
      </c>
      <c r="D296" s="105" t="s">
        <v>153</v>
      </c>
      <c r="E296" s="324">
        <v>141</v>
      </c>
      <c r="F296" s="324">
        <v>1</v>
      </c>
      <c r="G296" s="324">
        <v>10</v>
      </c>
      <c r="H296" s="222">
        <v>803</v>
      </c>
      <c r="I296" s="223">
        <v>186</v>
      </c>
      <c r="J296" s="229">
        <f t="shared" si="22"/>
        <v>186</v>
      </c>
      <c r="K296" s="121">
        <f>H296/I296</f>
        <v>4.317204301075269</v>
      </c>
      <c r="L296" s="120">
        <v>1702099</v>
      </c>
      <c r="M296" s="229">
        <v>200380</v>
      </c>
      <c r="N296" s="299">
        <f>+L296/M296</f>
        <v>8.494355724124164</v>
      </c>
      <c r="O296" s="202"/>
    </row>
    <row r="297" spans="1:15" ht="15">
      <c r="A297" s="186">
        <v>294</v>
      </c>
      <c r="B297" s="298" t="s">
        <v>85</v>
      </c>
      <c r="C297" s="114">
        <v>40158</v>
      </c>
      <c r="D297" s="105" t="s">
        <v>153</v>
      </c>
      <c r="E297" s="324">
        <v>141</v>
      </c>
      <c r="F297" s="324">
        <v>1</v>
      </c>
      <c r="G297" s="324">
        <v>11</v>
      </c>
      <c r="H297" s="222">
        <v>562</v>
      </c>
      <c r="I297" s="223">
        <v>130</v>
      </c>
      <c r="J297" s="229">
        <f t="shared" si="22"/>
        <v>130</v>
      </c>
      <c r="K297" s="121">
        <f>H297/I297</f>
        <v>4.323076923076923</v>
      </c>
      <c r="L297" s="120">
        <v>1702661</v>
      </c>
      <c r="M297" s="229">
        <v>200510</v>
      </c>
      <c r="N297" s="299">
        <f>+L297/M297</f>
        <v>8.491651289212507</v>
      </c>
      <c r="O297" s="235"/>
    </row>
    <row r="298" spans="1:15" ht="15">
      <c r="A298" s="186">
        <v>295</v>
      </c>
      <c r="B298" s="300" t="s">
        <v>5</v>
      </c>
      <c r="C298" s="130">
        <v>39920</v>
      </c>
      <c r="D298" s="131" t="s">
        <v>155</v>
      </c>
      <c r="E298" s="325">
        <v>133</v>
      </c>
      <c r="F298" s="325">
        <v>1</v>
      </c>
      <c r="G298" s="325">
        <v>20</v>
      </c>
      <c r="H298" s="112">
        <v>1780</v>
      </c>
      <c r="I298" s="108">
        <v>445</v>
      </c>
      <c r="J298" s="109">
        <f>(I298/F298)</f>
        <v>445</v>
      </c>
      <c r="K298" s="119">
        <f>+H298/I298</f>
        <v>4</v>
      </c>
      <c r="L298" s="113">
        <f>814797.5+158602+44526+7105.5+1443+731+330+3273+1356+388+2317+2290.5+138+112.5+37+1136+51+98+1424+1780</f>
        <v>1041936</v>
      </c>
      <c r="M298" s="110">
        <f>100614+19257+6285+1176+234+205+67+783+301+48+521+500+23+18+9+170+23+30+356+445</f>
        <v>131065</v>
      </c>
      <c r="N298" s="301">
        <f>L298/M298</f>
        <v>7.9497653835882955</v>
      </c>
      <c r="O298" s="205"/>
    </row>
    <row r="299" spans="1:15" ht="15">
      <c r="A299" s="186">
        <v>296</v>
      </c>
      <c r="B299" s="298" t="s">
        <v>5</v>
      </c>
      <c r="C299" s="224">
        <v>39920</v>
      </c>
      <c r="D299" s="105" t="s">
        <v>155</v>
      </c>
      <c r="E299" s="270">
        <v>133</v>
      </c>
      <c r="F299" s="270">
        <v>1</v>
      </c>
      <c r="G299" s="270">
        <v>21</v>
      </c>
      <c r="H299" s="226">
        <v>1780</v>
      </c>
      <c r="I299" s="227">
        <v>445</v>
      </c>
      <c r="J299" s="229">
        <f>(I299/F299)</f>
        <v>445</v>
      </c>
      <c r="K299" s="121">
        <f>H299/I299</f>
        <v>4</v>
      </c>
      <c r="L299" s="120">
        <f>814797.5+158602+44526+7105.5+1443+731+330+3273+1356+388+2317+2290.5+138+112.5+37+1136+51+98+1424+1780+1780</f>
        <v>1043716</v>
      </c>
      <c r="M299" s="229">
        <f>100614+19257+6285+1176+234+205+67+783+301+48+521+500+23+18+9+170+23+30+356+445+445</f>
        <v>131510</v>
      </c>
      <c r="N299" s="299">
        <f>L299/M299</f>
        <v>7.936400273743441</v>
      </c>
      <c r="O299" s="236"/>
    </row>
    <row r="300" spans="1:15" ht="15">
      <c r="A300" s="186">
        <v>297</v>
      </c>
      <c r="B300" s="298" t="s">
        <v>180</v>
      </c>
      <c r="C300" s="114">
        <v>40074</v>
      </c>
      <c r="D300" s="105" t="s">
        <v>157</v>
      </c>
      <c r="E300" s="324">
        <v>142</v>
      </c>
      <c r="F300" s="324">
        <v>1</v>
      </c>
      <c r="G300" s="324">
        <v>12</v>
      </c>
      <c r="H300" s="222">
        <v>220</v>
      </c>
      <c r="I300" s="223">
        <v>31</v>
      </c>
      <c r="J300" s="229">
        <f>I300/F300</f>
        <v>31</v>
      </c>
      <c r="K300" s="121">
        <f>H300/I300</f>
        <v>7.096774193548387</v>
      </c>
      <c r="L300" s="120">
        <v>810876.5</v>
      </c>
      <c r="M300" s="229">
        <v>102422</v>
      </c>
      <c r="N300" s="299">
        <f>+L300/M300</f>
        <v>7.917014899142762</v>
      </c>
      <c r="O300" s="237"/>
    </row>
    <row r="301" spans="1:15" ht="15">
      <c r="A301" s="186">
        <v>298</v>
      </c>
      <c r="B301" s="294" t="s">
        <v>48</v>
      </c>
      <c r="C301" s="97">
        <v>40074</v>
      </c>
      <c r="D301" s="105" t="s">
        <v>157</v>
      </c>
      <c r="E301" s="323">
        <v>142</v>
      </c>
      <c r="F301" s="323">
        <v>1</v>
      </c>
      <c r="G301" s="323">
        <v>11</v>
      </c>
      <c r="H301" s="122">
        <v>203</v>
      </c>
      <c r="I301" s="123">
        <v>35</v>
      </c>
      <c r="J301" s="124">
        <f>IF(H301&lt;&gt;0,I301/F301,"")</f>
        <v>35</v>
      </c>
      <c r="K301" s="125">
        <f>IF(H301&lt;&gt;0,H301/I301,"")</f>
        <v>5.8</v>
      </c>
      <c r="L301" s="126">
        <v>810656.5</v>
      </c>
      <c r="M301" s="175">
        <v>102391</v>
      </c>
      <c r="N301" s="302">
        <f>IF(L301&lt;&gt;0,L301/M301,"")</f>
        <v>7.917263236026604</v>
      </c>
      <c r="O301" s="204">
        <v>1</v>
      </c>
    </row>
    <row r="302" spans="1:15" ht="15">
      <c r="A302" s="186">
        <v>299</v>
      </c>
      <c r="B302" s="298" t="s">
        <v>180</v>
      </c>
      <c r="C302" s="224">
        <v>40074</v>
      </c>
      <c r="D302" s="105" t="s">
        <v>157</v>
      </c>
      <c r="E302" s="270">
        <v>142</v>
      </c>
      <c r="F302" s="270">
        <v>2</v>
      </c>
      <c r="G302" s="270">
        <v>13</v>
      </c>
      <c r="H302" s="226">
        <v>2077</v>
      </c>
      <c r="I302" s="227">
        <v>415</v>
      </c>
      <c r="J302" s="229">
        <f>I302/F302</f>
        <v>207.5</v>
      </c>
      <c r="K302" s="121">
        <f aca="true" t="shared" si="25" ref="K302:K310">H302/I302</f>
        <v>5.004819277108433</v>
      </c>
      <c r="L302" s="120">
        <v>812953.5</v>
      </c>
      <c r="M302" s="229">
        <v>102837</v>
      </c>
      <c r="N302" s="299">
        <f>+L302/M302</f>
        <v>7.905262697278217</v>
      </c>
      <c r="O302" s="236">
        <v>1</v>
      </c>
    </row>
    <row r="303" spans="1:15" ht="15">
      <c r="A303" s="186">
        <v>300</v>
      </c>
      <c r="B303" s="298" t="s">
        <v>181</v>
      </c>
      <c r="C303" s="114">
        <v>40053</v>
      </c>
      <c r="D303" s="105" t="s">
        <v>155</v>
      </c>
      <c r="E303" s="324">
        <v>14</v>
      </c>
      <c r="F303" s="324">
        <v>1</v>
      </c>
      <c r="G303" s="324">
        <v>9</v>
      </c>
      <c r="H303" s="222">
        <v>83</v>
      </c>
      <c r="I303" s="223">
        <v>20</v>
      </c>
      <c r="J303" s="229">
        <f>I303/F303</f>
        <v>20</v>
      </c>
      <c r="K303" s="121">
        <f t="shared" si="25"/>
        <v>4.15</v>
      </c>
      <c r="L303" s="120">
        <f>46744+27773.5+29652+15092+1850+3126+1717.5+468+83</f>
        <v>126506</v>
      </c>
      <c r="M303" s="229">
        <f>3724+2772+2752+1903+308+472+380+135+20</f>
        <v>12466</v>
      </c>
      <c r="N303" s="299">
        <f>+L303/M303</f>
        <v>10.148082785175678</v>
      </c>
      <c r="O303" s="232"/>
    </row>
    <row r="304" spans="1:15" ht="15">
      <c r="A304" s="186">
        <v>301</v>
      </c>
      <c r="B304" s="298" t="s">
        <v>181</v>
      </c>
      <c r="C304" s="224">
        <v>40053</v>
      </c>
      <c r="D304" s="105" t="s">
        <v>155</v>
      </c>
      <c r="E304" s="270">
        <v>14</v>
      </c>
      <c r="F304" s="270">
        <v>1</v>
      </c>
      <c r="G304" s="270">
        <v>10</v>
      </c>
      <c r="H304" s="226">
        <v>54</v>
      </c>
      <c r="I304" s="227">
        <v>18</v>
      </c>
      <c r="J304" s="229">
        <f>(I304/F304)</f>
        <v>18</v>
      </c>
      <c r="K304" s="121">
        <f t="shared" si="25"/>
        <v>3</v>
      </c>
      <c r="L304" s="120">
        <f>46744+27773.5+29652+15092+1850+3126+1717.5+468+83+54</f>
        <v>126560</v>
      </c>
      <c r="M304" s="229">
        <f>3724+2772+2752+1903+308+472+380+135+20+18</f>
        <v>12484</v>
      </c>
      <c r="N304" s="299">
        <f>L304/M304</f>
        <v>10.137776353732779</v>
      </c>
      <c r="O304" s="236"/>
    </row>
    <row r="305" spans="1:15" ht="15">
      <c r="A305" s="186">
        <v>302</v>
      </c>
      <c r="B305" s="294" t="s">
        <v>25</v>
      </c>
      <c r="C305" s="97">
        <v>40165</v>
      </c>
      <c r="D305" s="107" t="s">
        <v>153</v>
      </c>
      <c r="E305" s="323">
        <v>36</v>
      </c>
      <c r="F305" s="323">
        <v>8</v>
      </c>
      <c r="G305" s="323">
        <v>4</v>
      </c>
      <c r="H305" s="99">
        <v>7119</v>
      </c>
      <c r="I305" s="108">
        <v>1206</v>
      </c>
      <c r="J305" s="109">
        <f aca="true" t="shared" si="26" ref="J305:J310">I305/F305</f>
        <v>150.75</v>
      </c>
      <c r="K305" s="102">
        <f t="shared" si="25"/>
        <v>5.902985074626866</v>
      </c>
      <c r="L305" s="103">
        <f>119500+7119</f>
        <v>126619</v>
      </c>
      <c r="M305" s="110">
        <f>13046+1206</f>
        <v>14252</v>
      </c>
      <c r="N305" s="296">
        <f aca="true" t="shared" si="27" ref="N305:N316">+L305/M305</f>
        <v>8.884296940780242</v>
      </c>
      <c r="O305" s="204">
        <v>1</v>
      </c>
    </row>
    <row r="306" spans="1:15" ht="15">
      <c r="A306" s="186">
        <v>303</v>
      </c>
      <c r="B306" s="294" t="s">
        <v>25</v>
      </c>
      <c r="C306" s="97">
        <v>40165</v>
      </c>
      <c r="D306" s="111" t="s">
        <v>153</v>
      </c>
      <c r="E306" s="323">
        <v>36</v>
      </c>
      <c r="F306" s="323">
        <v>5</v>
      </c>
      <c r="G306" s="323">
        <v>5</v>
      </c>
      <c r="H306" s="112">
        <v>1825</v>
      </c>
      <c r="I306" s="108">
        <v>307</v>
      </c>
      <c r="J306" s="109">
        <f t="shared" si="26"/>
        <v>61.4</v>
      </c>
      <c r="K306" s="102">
        <f t="shared" si="25"/>
        <v>5.944625407166124</v>
      </c>
      <c r="L306" s="113">
        <f>119500+7119+1825</f>
        <v>128444</v>
      </c>
      <c r="M306" s="110">
        <f>13046+1206+307</f>
        <v>14559</v>
      </c>
      <c r="N306" s="296">
        <f t="shared" si="27"/>
        <v>8.822309224534653</v>
      </c>
      <c r="O306" s="204">
        <v>1</v>
      </c>
    </row>
    <row r="307" spans="1:15" ht="15">
      <c r="A307" s="186">
        <v>304</v>
      </c>
      <c r="B307" s="294" t="s">
        <v>15</v>
      </c>
      <c r="C307" s="97">
        <v>40165</v>
      </c>
      <c r="D307" s="98" t="s">
        <v>153</v>
      </c>
      <c r="E307" s="323">
        <v>36</v>
      </c>
      <c r="F307" s="323">
        <v>1</v>
      </c>
      <c r="G307" s="323">
        <v>3</v>
      </c>
      <c r="H307" s="99">
        <v>852</v>
      </c>
      <c r="I307" s="100">
        <v>142</v>
      </c>
      <c r="J307" s="101">
        <f t="shared" si="26"/>
        <v>142</v>
      </c>
      <c r="K307" s="102">
        <f t="shared" si="25"/>
        <v>6</v>
      </c>
      <c r="L307" s="103">
        <v>119500</v>
      </c>
      <c r="M307" s="104">
        <v>13046</v>
      </c>
      <c r="N307" s="296">
        <f t="shared" si="27"/>
        <v>9.159895753487659</v>
      </c>
      <c r="O307" s="202">
        <v>1</v>
      </c>
    </row>
    <row r="308" spans="1:15" ht="15">
      <c r="A308" s="186">
        <v>305</v>
      </c>
      <c r="B308" s="294" t="s">
        <v>25</v>
      </c>
      <c r="C308" s="114">
        <v>40165</v>
      </c>
      <c r="D308" s="105" t="s">
        <v>153</v>
      </c>
      <c r="E308" s="324">
        <v>36</v>
      </c>
      <c r="F308" s="324">
        <v>2</v>
      </c>
      <c r="G308" s="324">
        <v>6</v>
      </c>
      <c r="H308" s="144">
        <v>755</v>
      </c>
      <c r="I308" s="145">
        <v>100</v>
      </c>
      <c r="J308" s="175">
        <f t="shared" si="26"/>
        <v>50</v>
      </c>
      <c r="K308" s="119">
        <f t="shared" si="25"/>
        <v>7.55</v>
      </c>
      <c r="L308" s="146">
        <f>119500+7119+1825+755</f>
        <v>129199</v>
      </c>
      <c r="M308" s="175">
        <f>13046+1206+307+100</f>
        <v>14659</v>
      </c>
      <c r="N308" s="297">
        <f t="shared" si="27"/>
        <v>8.813629851968074</v>
      </c>
      <c r="O308" s="205">
        <v>1</v>
      </c>
    </row>
    <row r="309" spans="1:15" ht="15">
      <c r="A309" s="186">
        <v>306</v>
      </c>
      <c r="B309" s="298" t="s">
        <v>25</v>
      </c>
      <c r="C309" s="114">
        <v>40165</v>
      </c>
      <c r="D309" s="105" t="s">
        <v>153</v>
      </c>
      <c r="E309" s="324">
        <v>36</v>
      </c>
      <c r="F309" s="324">
        <v>1</v>
      </c>
      <c r="G309" s="324">
        <v>7</v>
      </c>
      <c r="H309" s="200">
        <v>124</v>
      </c>
      <c r="I309" s="201">
        <v>24</v>
      </c>
      <c r="J309" s="175">
        <f t="shared" si="26"/>
        <v>24</v>
      </c>
      <c r="K309" s="119">
        <f t="shared" si="25"/>
        <v>5.166666666666667</v>
      </c>
      <c r="L309" s="146">
        <f>129199+124</f>
        <v>129323</v>
      </c>
      <c r="M309" s="175">
        <f>14659+24</f>
        <v>14683</v>
      </c>
      <c r="N309" s="299">
        <f t="shared" si="27"/>
        <v>8.807668732547844</v>
      </c>
      <c r="O309" s="204">
        <v>1</v>
      </c>
    </row>
    <row r="310" spans="1:15" ht="15">
      <c r="A310" s="186">
        <v>307</v>
      </c>
      <c r="B310" s="298" t="s">
        <v>25</v>
      </c>
      <c r="C310" s="114">
        <v>40165</v>
      </c>
      <c r="D310" s="105" t="s">
        <v>153</v>
      </c>
      <c r="E310" s="324">
        <v>36</v>
      </c>
      <c r="F310" s="324">
        <v>1</v>
      </c>
      <c r="G310" s="324">
        <v>8</v>
      </c>
      <c r="H310" s="222">
        <v>93</v>
      </c>
      <c r="I310" s="223">
        <v>17</v>
      </c>
      <c r="J310" s="229">
        <f t="shared" si="26"/>
        <v>17</v>
      </c>
      <c r="K310" s="121">
        <f t="shared" si="25"/>
        <v>5.470588235294118</v>
      </c>
      <c r="L310" s="120">
        <v>129416</v>
      </c>
      <c r="M310" s="229">
        <v>14700</v>
      </c>
      <c r="N310" s="299">
        <f t="shared" si="27"/>
        <v>8.803809523809523</v>
      </c>
      <c r="O310" s="202">
        <v>1</v>
      </c>
    </row>
    <row r="311" spans="1:15" ht="15">
      <c r="A311" s="186">
        <v>308</v>
      </c>
      <c r="B311" s="298" t="s">
        <v>8</v>
      </c>
      <c r="C311" s="114">
        <v>40088</v>
      </c>
      <c r="D311" s="105" t="s">
        <v>130</v>
      </c>
      <c r="E311" s="324">
        <v>5</v>
      </c>
      <c r="F311" s="324">
        <v>4</v>
      </c>
      <c r="G311" s="324">
        <v>6</v>
      </c>
      <c r="H311" s="144">
        <v>898</v>
      </c>
      <c r="I311" s="145">
        <v>104</v>
      </c>
      <c r="J311" s="175">
        <f>+I311/F311</f>
        <v>26</v>
      </c>
      <c r="K311" s="119">
        <f aca="true" t="shared" si="28" ref="K311:K319">+H311/I311</f>
        <v>8.634615384615385</v>
      </c>
      <c r="L311" s="146">
        <v>11637</v>
      </c>
      <c r="M311" s="175">
        <v>939</v>
      </c>
      <c r="N311" s="297">
        <f t="shared" si="27"/>
        <v>12.39297124600639</v>
      </c>
      <c r="O311" s="205"/>
    </row>
    <row r="312" spans="1:15" ht="15">
      <c r="A312" s="186">
        <v>309</v>
      </c>
      <c r="B312" s="298" t="s">
        <v>75</v>
      </c>
      <c r="C312" s="114">
        <v>40046</v>
      </c>
      <c r="D312" s="147" t="s">
        <v>154</v>
      </c>
      <c r="E312" s="324">
        <v>55</v>
      </c>
      <c r="F312" s="324">
        <v>2</v>
      </c>
      <c r="G312" s="324">
        <v>12</v>
      </c>
      <c r="H312" s="117">
        <v>2059</v>
      </c>
      <c r="I312" s="118">
        <v>466</v>
      </c>
      <c r="J312" s="229">
        <f>I312/F312</f>
        <v>233</v>
      </c>
      <c r="K312" s="121">
        <f t="shared" si="28"/>
        <v>4.418454935622318</v>
      </c>
      <c r="L312" s="120">
        <v>189359</v>
      </c>
      <c r="M312" s="229">
        <v>19405</v>
      </c>
      <c r="N312" s="299">
        <f t="shared" si="27"/>
        <v>9.758258180881215</v>
      </c>
      <c r="O312" s="203"/>
    </row>
    <row r="313" spans="1:15" ht="15">
      <c r="A313" s="186">
        <v>310</v>
      </c>
      <c r="B313" s="306" t="s">
        <v>75</v>
      </c>
      <c r="C313" s="148">
        <v>40046</v>
      </c>
      <c r="D313" s="149" t="s">
        <v>154</v>
      </c>
      <c r="E313" s="327">
        <v>55</v>
      </c>
      <c r="F313" s="327">
        <v>1</v>
      </c>
      <c r="G313" s="327">
        <v>11</v>
      </c>
      <c r="H313" s="150">
        <v>650</v>
      </c>
      <c r="I313" s="166">
        <v>100</v>
      </c>
      <c r="J313" s="151">
        <f>I313/F313</f>
        <v>100</v>
      </c>
      <c r="K313" s="153">
        <f t="shared" si="28"/>
        <v>6.5</v>
      </c>
      <c r="L313" s="152">
        <v>187300</v>
      </c>
      <c r="M313" s="151">
        <v>18939</v>
      </c>
      <c r="N313" s="307">
        <f t="shared" si="27"/>
        <v>9.889645704630656</v>
      </c>
      <c r="O313" s="202"/>
    </row>
    <row r="314" spans="1:15" ht="15">
      <c r="A314" s="186">
        <v>311</v>
      </c>
      <c r="B314" s="298" t="s">
        <v>75</v>
      </c>
      <c r="C314" s="114">
        <v>40046</v>
      </c>
      <c r="D314" s="147" t="s">
        <v>154</v>
      </c>
      <c r="E314" s="324">
        <v>55</v>
      </c>
      <c r="F314" s="324">
        <v>1</v>
      </c>
      <c r="G314" s="324">
        <v>13</v>
      </c>
      <c r="H314" s="117">
        <v>146</v>
      </c>
      <c r="I314" s="145">
        <v>19</v>
      </c>
      <c r="J314" s="175">
        <f>I314/F314</f>
        <v>19</v>
      </c>
      <c r="K314" s="119">
        <f t="shared" si="28"/>
        <v>7.684210526315789</v>
      </c>
      <c r="L314" s="120">
        <v>189505</v>
      </c>
      <c r="M314" s="175">
        <v>19424</v>
      </c>
      <c r="N314" s="297">
        <f t="shared" si="27"/>
        <v>9.756229406919275</v>
      </c>
      <c r="O314" s="204"/>
    </row>
    <row r="315" spans="1:15" ht="15">
      <c r="A315" s="186">
        <v>312</v>
      </c>
      <c r="B315" s="304" t="s">
        <v>79</v>
      </c>
      <c r="C315" s="97">
        <v>40130</v>
      </c>
      <c r="D315" s="155" t="s">
        <v>130</v>
      </c>
      <c r="E315" s="326">
        <v>17</v>
      </c>
      <c r="F315" s="326">
        <v>10</v>
      </c>
      <c r="G315" s="326">
        <v>9</v>
      </c>
      <c r="H315" s="156">
        <v>5776</v>
      </c>
      <c r="I315" s="157">
        <v>991</v>
      </c>
      <c r="J315" s="124">
        <f>+I315/F315</f>
        <v>99.1</v>
      </c>
      <c r="K315" s="125">
        <f t="shared" si="28"/>
        <v>5.8284561049445</v>
      </c>
      <c r="L315" s="158">
        <v>60978</v>
      </c>
      <c r="M315" s="159">
        <v>5997</v>
      </c>
      <c r="N315" s="297">
        <f t="shared" si="27"/>
        <v>10.168084042021011</v>
      </c>
      <c r="O315" s="204"/>
    </row>
    <row r="316" spans="1:15" ht="15">
      <c r="A316" s="186">
        <v>313</v>
      </c>
      <c r="B316" s="304" t="s">
        <v>79</v>
      </c>
      <c r="C316" s="97">
        <v>40130</v>
      </c>
      <c r="D316" s="155" t="s">
        <v>130</v>
      </c>
      <c r="E316" s="326">
        <v>17</v>
      </c>
      <c r="F316" s="326">
        <v>8</v>
      </c>
      <c r="G316" s="326">
        <v>8</v>
      </c>
      <c r="H316" s="156">
        <v>3794</v>
      </c>
      <c r="I316" s="160">
        <v>543</v>
      </c>
      <c r="J316" s="128">
        <f>+I316/F316</f>
        <v>67.875</v>
      </c>
      <c r="K316" s="129">
        <f t="shared" si="28"/>
        <v>6.987108655616943</v>
      </c>
      <c r="L316" s="158">
        <v>55202</v>
      </c>
      <c r="M316" s="162">
        <v>5006</v>
      </c>
      <c r="N316" s="303">
        <f t="shared" si="27"/>
        <v>11.027167399121055</v>
      </c>
      <c r="O316" s="203"/>
    </row>
    <row r="317" spans="1:15" ht="15">
      <c r="A317" s="186">
        <v>314</v>
      </c>
      <c r="B317" s="298" t="s">
        <v>79</v>
      </c>
      <c r="C317" s="114">
        <v>40130</v>
      </c>
      <c r="D317" s="105" t="s">
        <v>130</v>
      </c>
      <c r="E317" s="324">
        <v>17</v>
      </c>
      <c r="F317" s="324">
        <v>2</v>
      </c>
      <c r="G317" s="324">
        <v>12</v>
      </c>
      <c r="H317" s="200">
        <v>1939</v>
      </c>
      <c r="I317" s="201">
        <v>254</v>
      </c>
      <c r="J317" s="175">
        <f>I317/F317</f>
        <v>127</v>
      </c>
      <c r="K317" s="119">
        <f t="shared" si="28"/>
        <v>7.633858267716535</v>
      </c>
      <c r="L317" s="146">
        <v>64500</v>
      </c>
      <c r="M317" s="175">
        <v>6555</v>
      </c>
      <c r="N317" s="299">
        <f>L317/M317</f>
        <v>9.839816933638444</v>
      </c>
      <c r="O317" s="204"/>
    </row>
    <row r="318" spans="1:15" ht="15">
      <c r="A318" s="186">
        <v>315</v>
      </c>
      <c r="B318" s="304" t="s">
        <v>79</v>
      </c>
      <c r="C318" s="114">
        <v>40130</v>
      </c>
      <c r="D318" s="105" t="s">
        <v>130</v>
      </c>
      <c r="E318" s="324">
        <v>17</v>
      </c>
      <c r="F318" s="324">
        <v>4</v>
      </c>
      <c r="G318" s="324">
        <v>11</v>
      </c>
      <c r="H318" s="144">
        <v>1442</v>
      </c>
      <c r="I318" s="145">
        <v>266</v>
      </c>
      <c r="J318" s="175">
        <f>+I318/F318</f>
        <v>66.5</v>
      </c>
      <c r="K318" s="119">
        <f t="shared" si="28"/>
        <v>5.421052631578948</v>
      </c>
      <c r="L318" s="146">
        <v>62561</v>
      </c>
      <c r="M318" s="175">
        <v>6301</v>
      </c>
      <c r="N318" s="297">
        <f aca="true" t="shared" si="29" ref="N318:N327">+L318/M318</f>
        <v>9.928741469608</v>
      </c>
      <c r="O318" s="205"/>
    </row>
    <row r="319" spans="1:15" ht="15">
      <c r="A319" s="186">
        <v>316</v>
      </c>
      <c r="B319" s="304" t="s">
        <v>79</v>
      </c>
      <c r="C319" s="97">
        <v>40130</v>
      </c>
      <c r="D319" s="165" t="s">
        <v>130</v>
      </c>
      <c r="E319" s="326">
        <v>17</v>
      </c>
      <c r="F319" s="326">
        <v>2</v>
      </c>
      <c r="G319" s="326">
        <v>7</v>
      </c>
      <c r="H319" s="156">
        <v>254</v>
      </c>
      <c r="I319" s="160">
        <v>41</v>
      </c>
      <c r="J319" s="128">
        <f>+I319/F319</f>
        <v>20.5</v>
      </c>
      <c r="K319" s="125">
        <f t="shared" si="28"/>
        <v>6.195121951219512</v>
      </c>
      <c r="L319" s="158">
        <v>51408</v>
      </c>
      <c r="M319" s="162">
        <v>4463</v>
      </c>
      <c r="N319" s="302">
        <f t="shared" si="29"/>
        <v>11.518709388303831</v>
      </c>
      <c r="O319" s="202"/>
    </row>
    <row r="320" spans="1:15" ht="15">
      <c r="A320" s="186">
        <v>317</v>
      </c>
      <c r="B320" s="304" t="s">
        <v>79</v>
      </c>
      <c r="C320" s="97">
        <v>40130</v>
      </c>
      <c r="D320" s="111" t="s">
        <v>130</v>
      </c>
      <c r="E320" s="323">
        <v>17</v>
      </c>
      <c r="F320" s="323">
        <v>1</v>
      </c>
      <c r="G320" s="323">
        <v>10</v>
      </c>
      <c r="H320" s="112">
        <v>141</v>
      </c>
      <c r="I320" s="108">
        <v>38</v>
      </c>
      <c r="J320" s="109">
        <f>I320/F320</f>
        <v>38</v>
      </c>
      <c r="K320" s="102">
        <f>H320/I320</f>
        <v>3.710526315789474</v>
      </c>
      <c r="L320" s="113">
        <v>61119</v>
      </c>
      <c r="M320" s="110">
        <v>6035</v>
      </c>
      <c r="N320" s="296">
        <f t="shared" si="29"/>
        <v>10.127423363711682</v>
      </c>
      <c r="O320" s="204"/>
    </row>
    <row r="321" spans="1:15" ht="15">
      <c r="A321" s="186">
        <v>318</v>
      </c>
      <c r="B321" s="298" t="s">
        <v>110</v>
      </c>
      <c r="C321" s="114">
        <v>40144</v>
      </c>
      <c r="D321" s="105" t="s">
        <v>154</v>
      </c>
      <c r="E321" s="324">
        <v>128</v>
      </c>
      <c r="F321" s="324">
        <v>17</v>
      </c>
      <c r="G321" s="324">
        <v>10</v>
      </c>
      <c r="H321" s="144">
        <v>28138</v>
      </c>
      <c r="I321" s="145">
        <v>5971</v>
      </c>
      <c r="J321" s="175">
        <f>I321/F321</f>
        <v>351.2352941176471</v>
      </c>
      <c r="K321" s="119">
        <f>+H321/I321</f>
        <v>4.712443476804555</v>
      </c>
      <c r="L321" s="146">
        <v>2607621</v>
      </c>
      <c r="M321" s="175">
        <v>315121</v>
      </c>
      <c r="N321" s="297">
        <f t="shared" si="29"/>
        <v>8.274983260398386</v>
      </c>
      <c r="O321" s="205">
        <v>1</v>
      </c>
    </row>
    <row r="322" spans="1:15" ht="15">
      <c r="A322" s="186">
        <v>319</v>
      </c>
      <c r="B322" s="298" t="s">
        <v>167</v>
      </c>
      <c r="C322" s="114">
        <v>40144</v>
      </c>
      <c r="D322" s="105" t="s">
        <v>154</v>
      </c>
      <c r="E322" s="324">
        <v>128</v>
      </c>
      <c r="F322" s="324">
        <v>9</v>
      </c>
      <c r="G322" s="324">
        <v>11</v>
      </c>
      <c r="H322" s="200">
        <v>7572</v>
      </c>
      <c r="I322" s="201">
        <v>1526</v>
      </c>
      <c r="J322" s="175">
        <f>(I322/F322)</f>
        <v>169.55555555555554</v>
      </c>
      <c r="K322" s="119">
        <f>(J322/G322)</f>
        <v>15.414141414141413</v>
      </c>
      <c r="L322" s="146">
        <v>2615193</v>
      </c>
      <c r="M322" s="175">
        <v>316647</v>
      </c>
      <c r="N322" s="299">
        <f t="shared" si="29"/>
        <v>8.259017138959157</v>
      </c>
      <c r="O322" s="204">
        <v>1</v>
      </c>
    </row>
    <row r="323" spans="1:15" ht="15">
      <c r="A323" s="186">
        <v>320</v>
      </c>
      <c r="B323" s="298" t="s">
        <v>110</v>
      </c>
      <c r="C323" s="114">
        <v>40144</v>
      </c>
      <c r="D323" s="147" t="s">
        <v>154</v>
      </c>
      <c r="E323" s="324">
        <v>128</v>
      </c>
      <c r="F323" s="324">
        <v>6</v>
      </c>
      <c r="G323" s="324">
        <v>8</v>
      </c>
      <c r="H323" s="117">
        <v>4834</v>
      </c>
      <c r="I323" s="145">
        <v>783</v>
      </c>
      <c r="J323" s="175">
        <f>I323/F323</f>
        <v>130.5</v>
      </c>
      <c r="K323" s="119">
        <f>+H323/I323</f>
        <v>6.173690932311622</v>
      </c>
      <c r="L323" s="120">
        <v>2577332</v>
      </c>
      <c r="M323" s="175">
        <v>308696</v>
      </c>
      <c r="N323" s="297">
        <f t="shared" si="29"/>
        <v>8.349094254541685</v>
      </c>
      <c r="O323" s="204">
        <v>1</v>
      </c>
    </row>
    <row r="324" spans="1:15" ht="15">
      <c r="A324" s="186">
        <v>321</v>
      </c>
      <c r="B324" s="298" t="s">
        <v>110</v>
      </c>
      <c r="C324" s="114">
        <v>40144</v>
      </c>
      <c r="D324" s="147" t="s">
        <v>154</v>
      </c>
      <c r="E324" s="324">
        <v>128</v>
      </c>
      <c r="F324" s="324">
        <v>5</v>
      </c>
      <c r="G324" s="324">
        <v>7</v>
      </c>
      <c r="H324" s="117">
        <v>2478</v>
      </c>
      <c r="I324" s="118">
        <v>419</v>
      </c>
      <c r="J324" s="229">
        <f>I324/F324</f>
        <v>83.8</v>
      </c>
      <c r="K324" s="121">
        <f>+H324/I324</f>
        <v>5.914081145584726</v>
      </c>
      <c r="L324" s="120">
        <v>2572498</v>
      </c>
      <c r="M324" s="229">
        <v>307913</v>
      </c>
      <c r="N324" s="299">
        <f t="shared" si="29"/>
        <v>8.35462614439793</v>
      </c>
      <c r="O324" s="203">
        <v>1</v>
      </c>
    </row>
    <row r="325" spans="1:15" ht="15">
      <c r="A325" s="186">
        <v>322</v>
      </c>
      <c r="B325" s="306" t="s">
        <v>110</v>
      </c>
      <c r="C325" s="148">
        <v>40144</v>
      </c>
      <c r="D325" s="149" t="s">
        <v>154</v>
      </c>
      <c r="E325" s="327">
        <v>128</v>
      </c>
      <c r="F325" s="327">
        <v>7</v>
      </c>
      <c r="G325" s="327">
        <v>6</v>
      </c>
      <c r="H325" s="150">
        <v>1964</v>
      </c>
      <c r="I325" s="166">
        <v>269</v>
      </c>
      <c r="J325" s="151">
        <f>I325/F325</f>
        <v>38.42857142857143</v>
      </c>
      <c r="K325" s="153">
        <f>+H325/I325</f>
        <v>7.301115241635688</v>
      </c>
      <c r="L325" s="152">
        <v>2570020</v>
      </c>
      <c r="M325" s="151">
        <v>307494</v>
      </c>
      <c r="N325" s="307">
        <f t="shared" si="29"/>
        <v>8.357951699870567</v>
      </c>
      <c r="O325" s="202">
        <v>1</v>
      </c>
    </row>
    <row r="326" spans="1:15" ht="15">
      <c r="A326" s="186">
        <v>323</v>
      </c>
      <c r="B326" s="298" t="s">
        <v>110</v>
      </c>
      <c r="C326" s="114">
        <v>40144</v>
      </c>
      <c r="D326" s="154" t="s">
        <v>154</v>
      </c>
      <c r="E326" s="324">
        <v>128</v>
      </c>
      <c r="F326" s="324">
        <v>4</v>
      </c>
      <c r="G326" s="324">
        <v>9</v>
      </c>
      <c r="H326" s="144">
        <v>1890</v>
      </c>
      <c r="I326" s="145">
        <v>334</v>
      </c>
      <c r="J326" s="175">
        <f>I326/F326</f>
        <v>83.5</v>
      </c>
      <c r="K326" s="119">
        <f>+H326/I326</f>
        <v>5.658682634730539</v>
      </c>
      <c r="L326" s="146">
        <v>2579222</v>
      </c>
      <c r="M326" s="175">
        <v>309030</v>
      </c>
      <c r="N326" s="297">
        <f t="shared" si="29"/>
        <v>8.346186454389542</v>
      </c>
      <c r="O326" s="204">
        <v>1</v>
      </c>
    </row>
    <row r="327" spans="1:15" ht="15">
      <c r="A327" s="186">
        <v>324</v>
      </c>
      <c r="B327" s="298" t="s">
        <v>167</v>
      </c>
      <c r="C327" s="114">
        <v>40144</v>
      </c>
      <c r="D327" s="105" t="s">
        <v>154</v>
      </c>
      <c r="E327" s="324">
        <v>128</v>
      </c>
      <c r="F327" s="324">
        <v>1</v>
      </c>
      <c r="G327" s="324">
        <v>12</v>
      </c>
      <c r="H327" s="222">
        <v>546</v>
      </c>
      <c r="I327" s="223">
        <v>127</v>
      </c>
      <c r="J327" s="229">
        <f>I327/F327</f>
        <v>127</v>
      </c>
      <c r="K327" s="121">
        <f>+H327/I327</f>
        <v>4.299212598425197</v>
      </c>
      <c r="L327" s="120">
        <v>2615739</v>
      </c>
      <c r="M327" s="229">
        <v>316774</v>
      </c>
      <c r="N327" s="299">
        <f t="shared" si="29"/>
        <v>8.257429587024188</v>
      </c>
      <c r="O327" s="202">
        <v>1</v>
      </c>
    </row>
    <row r="328" spans="1:15" ht="15">
      <c r="A328" s="186">
        <v>325</v>
      </c>
      <c r="B328" s="298" t="s">
        <v>80</v>
      </c>
      <c r="C328" s="114">
        <v>40137</v>
      </c>
      <c r="D328" s="116" t="s">
        <v>155</v>
      </c>
      <c r="E328" s="324">
        <v>147</v>
      </c>
      <c r="F328" s="324">
        <v>57</v>
      </c>
      <c r="G328" s="324">
        <v>7</v>
      </c>
      <c r="H328" s="99">
        <v>87796</v>
      </c>
      <c r="I328" s="100">
        <v>15922</v>
      </c>
      <c r="J328" s="101">
        <f>(I328/F328)</f>
        <v>279.3333333333333</v>
      </c>
      <c r="K328" s="102">
        <f>H328/I328</f>
        <v>5.514131390528828</v>
      </c>
      <c r="L328" s="103">
        <f>4499732.5+3362984.5+1262292.25+664013.75+490740.5+244990+87796</f>
        <v>10612549.5</v>
      </c>
      <c r="M328" s="104">
        <f>493806+365411+142937+78728+74756+40294+15922</f>
        <v>1211854</v>
      </c>
      <c r="N328" s="296">
        <f>L328/M328</f>
        <v>8.757283880731507</v>
      </c>
      <c r="O328" s="202"/>
    </row>
    <row r="329" spans="1:15" ht="15">
      <c r="A329" s="186">
        <v>326</v>
      </c>
      <c r="B329" s="298" t="s">
        <v>80</v>
      </c>
      <c r="C329" s="114">
        <v>40137</v>
      </c>
      <c r="D329" s="115" t="s">
        <v>155</v>
      </c>
      <c r="E329" s="324">
        <v>147</v>
      </c>
      <c r="F329" s="324">
        <v>32</v>
      </c>
      <c r="G329" s="324">
        <v>8</v>
      </c>
      <c r="H329" s="99">
        <v>33908</v>
      </c>
      <c r="I329" s="100">
        <v>6247</v>
      </c>
      <c r="J329" s="101">
        <f>(I329/F329)</f>
        <v>195.21875</v>
      </c>
      <c r="K329" s="106">
        <f>H329/I329</f>
        <v>5.427885384984792</v>
      </c>
      <c r="L329" s="103">
        <f>4499732.5+3362984.5+1262292.25+664013.75+490740.5+244990+87796+33908</f>
        <v>10646457.5</v>
      </c>
      <c r="M329" s="104">
        <f>493806+365411+142937+78728+74756+40294+15922+6247</f>
        <v>1218101</v>
      </c>
      <c r="N329" s="295">
        <f>L329/M329</f>
        <v>8.740209145218664</v>
      </c>
      <c r="O329" s="202"/>
    </row>
    <row r="330" spans="1:15" ht="15">
      <c r="A330" s="186">
        <v>327</v>
      </c>
      <c r="B330" s="300" t="s">
        <v>80</v>
      </c>
      <c r="C330" s="130">
        <v>40137</v>
      </c>
      <c r="D330" s="131" t="s">
        <v>155</v>
      </c>
      <c r="E330" s="325">
        <v>147</v>
      </c>
      <c r="F330" s="325">
        <v>18</v>
      </c>
      <c r="G330" s="325">
        <v>9</v>
      </c>
      <c r="H330" s="99">
        <v>25213</v>
      </c>
      <c r="I330" s="108">
        <v>4692</v>
      </c>
      <c r="J330" s="109">
        <f>(I330/F330)</f>
        <v>260.6666666666667</v>
      </c>
      <c r="K330" s="102">
        <f>H330/I330</f>
        <v>5.373614663256607</v>
      </c>
      <c r="L330" s="103">
        <f>4499732.5+3362984.5+1262292.25+664013.75+490740.5+244990+87796+33908+25213</f>
        <v>10671670.5</v>
      </c>
      <c r="M330" s="110">
        <f>493806+365411+142937+78728+74756+40294+15922+6247+4692</f>
        <v>1222793</v>
      </c>
      <c r="N330" s="296">
        <f>L330/M330</f>
        <v>8.727291127770604</v>
      </c>
      <c r="O330" s="204"/>
    </row>
    <row r="331" spans="1:15" ht="15">
      <c r="A331" s="186">
        <v>328</v>
      </c>
      <c r="B331" s="298" t="s">
        <v>80</v>
      </c>
      <c r="C331" s="114">
        <v>40137</v>
      </c>
      <c r="D331" s="116" t="s">
        <v>155</v>
      </c>
      <c r="E331" s="324">
        <v>147</v>
      </c>
      <c r="F331" s="324">
        <v>10</v>
      </c>
      <c r="G331" s="324">
        <v>10</v>
      </c>
      <c r="H331" s="112">
        <v>8908</v>
      </c>
      <c r="I331" s="108">
        <v>1746</v>
      </c>
      <c r="J331" s="109">
        <f>(I331/F331)</f>
        <v>174.6</v>
      </c>
      <c r="K331" s="102">
        <f>H331/I331</f>
        <v>5.101947308132875</v>
      </c>
      <c r="L331" s="113">
        <f>4499732.5+3362984.5+1262292.25+664013.75+490740.5+244990+87796+33908+25213+8908</f>
        <v>10680578.5</v>
      </c>
      <c r="M331" s="110">
        <f>493806+365411+142937+78728+74756+40294+15922+6247+4692+1746</f>
        <v>1224539</v>
      </c>
      <c r="N331" s="296">
        <f>L331/M331</f>
        <v>8.722121957732664</v>
      </c>
      <c r="O331" s="204"/>
    </row>
    <row r="332" spans="1:15" ht="15">
      <c r="A332" s="186">
        <v>329</v>
      </c>
      <c r="B332" s="300" t="s">
        <v>80</v>
      </c>
      <c r="C332" s="130">
        <v>40137</v>
      </c>
      <c r="D332" s="131" t="s">
        <v>155</v>
      </c>
      <c r="E332" s="325">
        <v>147</v>
      </c>
      <c r="F332" s="325">
        <v>7</v>
      </c>
      <c r="G332" s="325">
        <v>11</v>
      </c>
      <c r="H332" s="112">
        <v>4440</v>
      </c>
      <c r="I332" s="108">
        <v>904</v>
      </c>
      <c r="J332" s="109">
        <f>(I332/F332)</f>
        <v>129.14285714285714</v>
      </c>
      <c r="K332" s="119">
        <f>+H332/I332</f>
        <v>4.911504424778761</v>
      </c>
      <c r="L332" s="113">
        <f>4499732.5+3362984.5+1262292.25+664013.75+490740.5+244990+87796+33908+25213+8908+4440</f>
        <v>10685018.5</v>
      </c>
      <c r="M332" s="110">
        <f>493806+365411+142937+78728+74756+40294+15922+6247+4692+1746+904</f>
        <v>1225443</v>
      </c>
      <c r="N332" s="301">
        <f>L332/M332</f>
        <v>8.719310894101154</v>
      </c>
      <c r="O332" s="205"/>
    </row>
    <row r="333" spans="1:15" ht="15">
      <c r="A333" s="186">
        <v>330</v>
      </c>
      <c r="B333" s="298" t="s">
        <v>80</v>
      </c>
      <c r="C333" s="114">
        <v>40137</v>
      </c>
      <c r="D333" s="105" t="s">
        <v>155</v>
      </c>
      <c r="E333" s="324">
        <v>147</v>
      </c>
      <c r="F333" s="324">
        <v>2</v>
      </c>
      <c r="G333" s="324">
        <v>14</v>
      </c>
      <c r="H333" s="222">
        <v>2349</v>
      </c>
      <c r="I333" s="223">
        <v>579</v>
      </c>
      <c r="J333" s="229">
        <f>I333/F333</f>
        <v>289.5</v>
      </c>
      <c r="K333" s="121">
        <f>H333/I333</f>
        <v>4.05699481865285</v>
      </c>
      <c r="L333" s="120">
        <f>4499732.5+3362984.5+1262292.25+664013.75+490740.5+244990+87796+33908+25213+8908+4440+435+625+2349</f>
        <v>10688427.5</v>
      </c>
      <c r="M333" s="229">
        <f>493806+365411+142937+78728+74756+40294+15922+6247+4692+1746+904+107+157+579</f>
        <v>1226286</v>
      </c>
      <c r="N333" s="299">
        <f>+L333/M333</f>
        <v>8.716096815914069</v>
      </c>
      <c r="O333" s="232"/>
    </row>
    <row r="334" spans="1:15" ht="15">
      <c r="A334" s="186">
        <v>331</v>
      </c>
      <c r="B334" s="298" t="s">
        <v>80</v>
      </c>
      <c r="C334" s="114">
        <v>40137</v>
      </c>
      <c r="D334" s="105" t="s">
        <v>155</v>
      </c>
      <c r="E334" s="324">
        <v>147</v>
      </c>
      <c r="F334" s="324">
        <v>1</v>
      </c>
      <c r="G334" s="324">
        <v>13</v>
      </c>
      <c r="H334" s="222">
        <v>625</v>
      </c>
      <c r="I334" s="223">
        <v>157</v>
      </c>
      <c r="J334" s="229">
        <f>(I334/F334)</f>
        <v>157</v>
      </c>
      <c r="K334" s="121">
        <f>H334/I334</f>
        <v>3.9808917197452227</v>
      </c>
      <c r="L334" s="120">
        <f>4499732.5+3362984.5+1262292.25+664013.75+490740.5+244990+87796+33908+25213+8908+4440+435+625</f>
        <v>10686078.5</v>
      </c>
      <c r="M334" s="229">
        <f>493806+365411+142937+78728+74756+40294+15922+6247+4692+1746+904+107+157</f>
        <v>1225707</v>
      </c>
      <c r="N334" s="299">
        <f>L334/M334</f>
        <v>8.718297684520037</v>
      </c>
      <c r="O334" s="202"/>
    </row>
    <row r="335" spans="1:15" ht="15">
      <c r="A335" s="186">
        <v>332</v>
      </c>
      <c r="B335" s="298" t="s">
        <v>80</v>
      </c>
      <c r="C335" s="114">
        <v>40137</v>
      </c>
      <c r="D335" s="105" t="s">
        <v>155</v>
      </c>
      <c r="E335" s="324">
        <v>147</v>
      </c>
      <c r="F335" s="324">
        <v>1</v>
      </c>
      <c r="G335" s="324">
        <v>12</v>
      </c>
      <c r="H335" s="200">
        <v>435</v>
      </c>
      <c r="I335" s="201">
        <v>107</v>
      </c>
      <c r="J335" s="175">
        <f>I335/F335</f>
        <v>107</v>
      </c>
      <c r="K335" s="119">
        <f>+H335/I335</f>
        <v>4.065420560747664</v>
      </c>
      <c r="L335" s="146">
        <f>4499732.5+3362984.5+1262292.25+664013.75+490740.5+244990+87796+33908+25213+8908+4440+435</f>
        <v>10685453.5</v>
      </c>
      <c r="M335" s="175">
        <f>493806+365411+142937+78728+74756+40294+15922+6247+4692+1746+904+107</f>
        <v>1225550</v>
      </c>
      <c r="N335" s="299">
        <f>L335/M335</f>
        <v>8.718904573456815</v>
      </c>
      <c r="O335" s="204"/>
    </row>
    <row r="336" spans="1:15" ht="15">
      <c r="A336" s="186">
        <v>333</v>
      </c>
      <c r="B336" s="298" t="s">
        <v>80</v>
      </c>
      <c r="C336" s="224">
        <v>40137</v>
      </c>
      <c r="D336" s="105" t="s">
        <v>155</v>
      </c>
      <c r="E336" s="270">
        <v>147</v>
      </c>
      <c r="F336" s="270">
        <v>3</v>
      </c>
      <c r="G336" s="270">
        <v>15</v>
      </c>
      <c r="H336" s="226">
        <v>3362</v>
      </c>
      <c r="I336" s="227">
        <v>840</v>
      </c>
      <c r="J336" s="229">
        <f>(I336/F336)</f>
        <v>280</v>
      </c>
      <c r="K336" s="121">
        <f>H336/I336</f>
        <v>4.002380952380952</v>
      </c>
      <c r="L336" s="120">
        <f>4499732.5+3362984.5+1262292.25+664013.75+490740.5+244990+87796+33908+25213+8908+4440+435+625+2349+3362</f>
        <v>10691789.5</v>
      </c>
      <c r="M336" s="229">
        <f>493806+365411+142937+78728+74756+40294+15922+6247+4692+1746+904+107+157+579+840</f>
        <v>1227126</v>
      </c>
      <c r="N336" s="299">
        <f>L336/M336</f>
        <v>8.712870153513169</v>
      </c>
      <c r="O336" s="236"/>
    </row>
    <row r="337" spans="1:15" ht="15">
      <c r="A337" s="186">
        <v>334</v>
      </c>
      <c r="B337" s="294" t="s">
        <v>122</v>
      </c>
      <c r="C337" s="97">
        <v>40081</v>
      </c>
      <c r="D337" s="107" t="s">
        <v>153</v>
      </c>
      <c r="E337" s="323">
        <v>70</v>
      </c>
      <c r="F337" s="323">
        <v>1</v>
      </c>
      <c r="G337" s="323">
        <v>13</v>
      </c>
      <c r="H337" s="99">
        <v>1671</v>
      </c>
      <c r="I337" s="108">
        <v>278</v>
      </c>
      <c r="J337" s="109">
        <f aca="true" t="shared" si="30" ref="J337:J344">I337/F337</f>
        <v>278</v>
      </c>
      <c r="K337" s="102">
        <f>H337/I337</f>
        <v>6.010791366906475</v>
      </c>
      <c r="L337" s="103">
        <f>1392975+803+1671</f>
        <v>1395449</v>
      </c>
      <c r="M337" s="110">
        <f>137156+132+278</f>
        <v>137566</v>
      </c>
      <c r="N337" s="296">
        <f aca="true" t="shared" si="31" ref="N337:N344">+L337/M337</f>
        <v>10.143850951543259</v>
      </c>
      <c r="O337" s="204"/>
    </row>
    <row r="338" spans="1:15" ht="15">
      <c r="A338" s="186">
        <v>335</v>
      </c>
      <c r="B338" s="294" t="s">
        <v>122</v>
      </c>
      <c r="C338" s="97">
        <v>40081</v>
      </c>
      <c r="D338" s="105" t="s">
        <v>153</v>
      </c>
      <c r="E338" s="323">
        <v>70</v>
      </c>
      <c r="F338" s="323">
        <v>1</v>
      </c>
      <c r="G338" s="323">
        <v>12</v>
      </c>
      <c r="H338" s="99">
        <v>803</v>
      </c>
      <c r="I338" s="100">
        <v>132</v>
      </c>
      <c r="J338" s="101">
        <f t="shared" si="30"/>
        <v>132</v>
      </c>
      <c r="K338" s="106">
        <f>H338/I338</f>
        <v>6.083333333333333</v>
      </c>
      <c r="L338" s="103">
        <f>1392975+803</f>
        <v>1393778</v>
      </c>
      <c r="M338" s="104">
        <f>137156+132</f>
        <v>137288</v>
      </c>
      <c r="N338" s="295">
        <f t="shared" si="31"/>
        <v>10.15222015034089</v>
      </c>
      <c r="O338" s="203"/>
    </row>
    <row r="339" spans="1:15" ht="15">
      <c r="A339" s="186">
        <v>336</v>
      </c>
      <c r="B339" s="308" t="s">
        <v>178</v>
      </c>
      <c r="C339" s="114">
        <v>39871</v>
      </c>
      <c r="D339" s="225" t="s">
        <v>76</v>
      </c>
      <c r="E339" s="324">
        <v>192</v>
      </c>
      <c r="F339" s="324">
        <v>1</v>
      </c>
      <c r="G339" s="324">
        <v>22</v>
      </c>
      <c r="H339" s="222">
        <v>1918</v>
      </c>
      <c r="I339" s="223">
        <v>319</v>
      </c>
      <c r="J339" s="229">
        <f t="shared" si="30"/>
        <v>319</v>
      </c>
      <c r="K339" s="121">
        <f>H339/I339</f>
        <v>6.012539184952978</v>
      </c>
      <c r="L339" s="120">
        <f>568084.5+439199.5+199559+109980+164256.5-20+26773.5+13463+1383+6404+0.5+715+335+85+378+1008+757+6618+713+0.75+243+1525+380+105+2395+1918</f>
        <v>1546259.25</v>
      </c>
      <c r="M339" s="229">
        <f>79686+62524+31158+18444+26844-3+5195+2619+207+1137+130+77+14+84+252+149+1160+124+32+241+76+21+342+319</f>
        <v>230832</v>
      </c>
      <c r="N339" s="299">
        <f t="shared" si="31"/>
        <v>6.698634721355791</v>
      </c>
      <c r="O339" s="234">
        <v>1</v>
      </c>
    </row>
    <row r="340" spans="1:15" ht="15">
      <c r="A340" s="186">
        <v>337</v>
      </c>
      <c r="B340" s="298" t="s">
        <v>73</v>
      </c>
      <c r="C340" s="114">
        <v>40102</v>
      </c>
      <c r="D340" s="105" t="s">
        <v>154</v>
      </c>
      <c r="E340" s="324">
        <v>99</v>
      </c>
      <c r="F340" s="324">
        <v>1</v>
      </c>
      <c r="G340" s="324">
        <v>19</v>
      </c>
      <c r="H340" s="222">
        <v>5600</v>
      </c>
      <c r="I340" s="223">
        <v>1400</v>
      </c>
      <c r="J340" s="229">
        <f t="shared" si="30"/>
        <v>1400</v>
      </c>
      <c r="K340" s="121">
        <f>H340/I340</f>
        <v>4</v>
      </c>
      <c r="L340" s="120">
        <v>2602082</v>
      </c>
      <c r="M340" s="229">
        <v>278190</v>
      </c>
      <c r="N340" s="299">
        <f t="shared" si="31"/>
        <v>9.353614436176715</v>
      </c>
      <c r="O340" s="233"/>
    </row>
    <row r="341" spans="1:15" ht="15">
      <c r="A341" s="186">
        <v>338</v>
      </c>
      <c r="B341" s="298" t="s">
        <v>73</v>
      </c>
      <c r="C341" s="114">
        <v>40102</v>
      </c>
      <c r="D341" s="105" t="s">
        <v>154</v>
      </c>
      <c r="E341" s="324">
        <v>99</v>
      </c>
      <c r="F341" s="324">
        <v>2</v>
      </c>
      <c r="G341" s="324">
        <v>18</v>
      </c>
      <c r="H341" s="222">
        <v>5089</v>
      </c>
      <c r="I341" s="223">
        <v>1400</v>
      </c>
      <c r="J341" s="229">
        <f t="shared" si="30"/>
        <v>700</v>
      </c>
      <c r="K341" s="121">
        <f>+H341/I341</f>
        <v>3.635</v>
      </c>
      <c r="L341" s="120">
        <v>2596482</v>
      </c>
      <c r="M341" s="229">
        <v>276790</v>
      </c>
      <c r="N341" s="299">
        <f t="shared" si="31"/>
        <v>9.380692944109253</v>
      </c>
      <c r="O341" s="202"/>
    </row>
    <row r="342" spans="1:15" ht="15">
      <c r="A342" s="186">
        <v>339</v>
      </c>
      <c r="B342" s="298" t="s">
        <v>73</v>
      </c>
      <c r="C342" s="114">
        <v>40102</v>
      </c>
      <c r="D342" s="154" t="s">
        <v>154</v>
      </c>
      <c r="E342" s="324">
        <v>99</v>
      </c>
      <c r="F342" s="324">
        <v>8</v>
      </c>
      <c r="G342" s="324">
        <v>15</v>
      </c>
      <c r="H342" s="144">
        <v>4479</v>
      </c>
      <c r="I342" s="145">
        <v>839</v>
      </c>
      <c r="J342" s="175">
        <f t="shared" si="30"/>
        <v>104.875</v>
      </c>
      <c r="K342" s="119">
        <f>+H342/I342</f>
        <v>5.33849821215733</v>
      </c>
      <c r="L342" s="146">
        <v>2584656</v>
      </c>
      <c r="M342" s="175">
        <v>273934</v>
      </c>
      <c r="N342" s="297">
        <f t="shared" si="31"/>
        <v>9.435323837128651</v>
      </c>
      <c r="O342" s="204"/>
    </row>
    <row r="343" spans="1:15" ht="15">
      <c r="A343" s="186">
        <v>340</v>
      </c>
      <c r="B343" s="298" t="s">
        <v>73</v>
      </c>
      <c r="C343" s="114">
        <v>40102</v>
      </c>
      <c r="D343" s="105" t="s">
        <v>154</v>
      </c>
      <c r="E343" s="324">
        <v>99</v>
      </c>
      <c r="F343" s="324">
        <v>5</v>
      </c>
      <c r="G343" s="324">
        <v>16</v>
      </c>
      <c r="H343" s="144">
        <v>3974</v>
      </c>
      <c r="I343" s="145">
        <v>755</v>
      </c>
      <c r="J343" s="175">
        <f t="shared" si="30"/>
        <v>151</v>
      </c>
      <c r="K343" s="119">
        <f>+H343/I343</f>
        <v>5.263576158940397</v>
      </c>
      <c r="L343" s="146">
        <v>2588630</v>
      </c>
      <c r="M343" s="175">
        <v>274689</v>
      </c>
      <c r="N343" s="297">
        <f t="shared" si="31"/>
        <v>9.423857526147753</v>
      </c>
      <c r="O343" s="205"/>
    </row>
    <row r="344" spans="1:15" ht="15">
      <c r="A344" s="186">
        <v>341</v>
      </c>
      <c r="B344" s="298" t="s">
        <v>73</v>
      </c>
      <c r="C344" s="114">
        <v>40102</v>
      </c>
      <c r="D344" s="147" t="s">
        <v>154</v>
      </c>
      <c r="E344" s="324">
        <v>99</v>
      </c>
      <c r="F344" s="324">
        <v>9</v>
      </c>
      <c r="G344" s="324">
        <v>14</v>
      </c>
      <c r="H344" s="117">
        <v>3375</v>
      </c>
      <c r="I344" s="145">
        <v>911</v>
      </c>
      <c r="J344" s="175">
        <f t="shared" si="30"/>
        <v>101.22222222222223</v>
      </c>
      <c r="K344" s="119">
        <f>+H344/I344</f>
        <v>3.7047200878155873</v>
      </c>
      <c r="L344" s="120">
        <v>2580177</v>
      </c>
      <c r="M344" s="175">
        <v>273095</v>
      </c>
      <c r="N344" s="297">
        <f t="shared" si="31"/>
        <v>9.447910067925081</v>
      </c>
      <c r="O344" s="204"/>
    </row>
    <row r="345" spans="1:15" ht="15">
      <c r="A345" s="186">
        <v>342</v>
      </c>
      <c r="B345" s="298" t="s">
        <v>73</v>
      </c>
      <c r="C345" s="114">
        <v>40102</v>
      </c>
      <c r="D345" s="105" t="s">
        <v>154</v>
      </c>
      <c r="E345" s="324">
        <v>99</v>
      </c>
      <c r="F345" s="324">
        <v>5</v>
      </c>
      <c r="G345" s="324">
        <v>17</v>
      </c>
      <c r="H345" s="200">
        <v>2763</v>
      </c>
      <c r="I345" s="201">
        <v>701</v>
      </c>
      <c r="J345" s="175">
        <f>(I345/F345)</f>
        <v>140.2</v>
      </c>
      <c r="K345" s="119">
        <f>(J345/G345)</f>
        <v>8.24705882352941</v>
      </c>
      <c r="L345" s="146">
        <v>2591393</v>
      </c>
      <c r="M345" s="175">
        <v>275390</v>
      </c>
      <c r="N345" s="299">
        <f>L345/M345</f>
        <v>9.409902320345692</v>
      </c>
      <c r="O345" s="204"/>
    </row>
    <row r="346" spans="1:15" ht="15">
      <c r="A346" s="186">
        <v>343</v>
      </c>
      <c r="B346" s="306" t="s">
        <v>73</v>
      </c>
      <c r="C346" s="148">
        <v>40102</v>
      </c>
      <c r="D346" s="149" t="s">
        <v>154</v>
      </c>
      <c r="E346" s="327">
        <v>99</v>
      </c>
      <c r="F346" s="327">
        <v>15</v>
      </c>
      <c r="G346" s="327">
        <v>12</v>
      </c>
      <c r="H346" s="150">
        <v>2194</v>
      </c>
      <c r="I346" s="166">
        <v>315</v>
      </c>
      <c r="J346" s="151">
        <f>I346/F346</f>
        <v>21</v>
      </c>
      <c r="K346" s="153">
        <f>+H346/I346</f>
        <v>6.965079365079365</v>
      </c>
      <c r="L346" s="152">
        <v>2575565</v>
      </c>
      <c r="M346" s="151">
        <v>271966</v>
      </c>
      <c r="N346" s="307">
        <f>+L346/M346</f>
        <v>9.470172742181008</v>
      </c>
      <c r="O346" s="202"/>
    </row>
    <row r="347" spans="1:15" ht="15">
      <c r="A347" s="186">
        <v>344</v>
      </c>
      <c r="B347" s="298" t="s">
        <v>73</v>
      </c>
      <c r="C347" s="114">
        <v>40102</v>
      </c>
      <c r="D347" s="147" t="s">
        <v>154</v>
      </c>
      <c r="E347" s="324">
        <v>99</v>
      </c>
      <c r="F347" s="324">
        <v>5</v>
      </c>
      <c r="G347" s="324">
        <v>13</v>
      </c>
      <c r="H347" s="117">
        <v>1237</v>
      </c>
      <c r="I347" s="118">
        <v>218</v>
      </c>
      <c r="J347" s="229">
        <f>I347/F347</f>
        <v>43.6</v>
      </c>
      <c r="K347" s="121">
        <f>+H347/I347</f>
        <v>5.674311926605505</v>
      </c>
      <c r="L347" s="120">
        <v>2576802</v>
      </c>
      <c r="M347" s="229">
        <v>272184</v>
      </c>
      <c r="N347" s="299">
        <f>+L347/M347</f>
        <v>9.467132527995767</v>
      </c>
      <c r="O347" s="203"/>
    </row>
    <row r="348" spans="1:15" ht="15">
      <c r="A348" s="186">
        <v>345</v>
      </c>
      <c r="B348" s="298" t="s">
        <v>73</v>
      </c>
      <c r="C348" s="224">
        <v>40102</v>
      </c>
      <c r="D348" s="105" t="s">
        <v>154</v>
      </c>
      <c r="E348" s="270">
        <v>99</v>
      </c>
      <c r="F348" s="270">
        <v>1</v>
      </c>
      <c r="G348" s="270">
        <v>20</v>
      </c>
      <c r="H348" s="226">
        <v>5600</v>
      </c>
      <c r="I348" s="227">
        <v>1400</v>
      </c>
      <c r="J348" s="229">
        <f>I348/F348</f>
        <v>1400</v>
      </c>
      <c r="K348" s="121">
        <f>+H348/I348</f>
        <v>4</v>
      </c>
      <c r="L348" s="120">
        <v>2607682</v>
      </c>
      <c r="M348" s="229">
        <v>279590</v>
      </c>
      <c r="N348" s="299">
        <f>+L348/M348</f>
        <v>9.326807110411675</v>
      </c>
      <c r="O348" s="236"/>
    </row>
    <row r="349" spans="1:15" ht="15">
      <c r="A349" s="186">
        <v>346</v>
      </c>
      <c r="B349" s="298" t="s">
        <v>35</v>
      </c>
      <c r="C349" s="114">
        <v>40095</v>
      </c>
      <c r="D349" s="115" t="s">
        <v>155</v>
      </c>
      <c r="E349" s="324">
        <v>52</v>
      </c>
      <c r="F349" s="324">
        <v>1</v>
      </c>
      <c r="G349" s="324">
        <v>7</v>
      </c>
      <c r="H349" s="99">
        <v>1188</v>
      </c>
      <c r="I349" s="108">
        <v>297</v>
      </c>
      <c r="J349" s="109">
        <f>(I349/F349)</f>
        <v>297</v>
      </c>
      <c r="K349" s="102">
        <f>H349/I349</f>
        <v>4</v>
      </c>
      <c r="L349" s="103">
        <f>108013.25+68864+27976+10214+2402+2209+1188</f>
        <v>220866.25</v>
      </c>
      <c r="M349" s="110">
        <f>12202+8144+4339+1841+481+460+297</f>
        <v>27764</v>
      </c>
      <c r="N349" s="296">
        <f>L349/M349</f>
        <v>7.955130744849446</v>
      </c>
      <c r="O349" s="204">
        <v>1</v>
      </c>
    </row>
    <row r="350" spans="1:15" ht="15">
      <c r="A350" s="186">
        <v>347</v>
      </c>
      <c r="B350" s="298" t="s">
        <v>35</v>
      </c>
      <c r="C350" s="224">
        <v>40095</v>
      </c>
      <c r="D350" s="105" t="s">
        <v>155</v>
      </c>
      <c r="E350" s="270">
        <v>52</v>
      </c>
      <c r="F350" s="270">
        <v>1</v>
      </c>
      <c r="G350" s="270">
        <v>10</v>
      </c>
      <c r="H350" s="226">
        <v>1780</v>
      </c>
      <c r="I350" s="227">
        <v>445</v>
      </c>
      <c r="J350" s="229">
        <f>(I350/F350)</f>
        <v>445</v>
      </c>
      <c r="K350" s="121">
        <f>H350/I350</f>
        <v>4</v>
      </c>
      <c r="L350" s="120">
        <f>108013.25+68864+27976+10214+2402+2209+1188+2968+1780+1780</f>
        <v>227394.25</v>
      </c>
      <c r="M350" s="229">
        <f>12202+8144+4339+1841+481+460+297+742+445+445</f>
        <v>29396</v>
      </c>
      <c r="N350" s="299">
        <f>L350/M350</f>
        <v>7.73555075520479</v>
      </c>
      <c r="O350" s="236">
        <v>1</v>
      </c>
    </row>
    <row r="351" spans="1:15" ht="15">
      <c r="A351" s="186">
        <v>348</v>
      </c>
      <c r="B351" s="298" t="s">
        <v>59</v>
      </c>
      <c r="C351" s="114">
        <v>40095</v>
      </c>
      <c r="D351" s="116" t="s">
        <v>155</v>
      </c>
      <c r="E351" s="324">
        <v>52</v>
      </c>
      <c r="F351" s="324">
        <v>2</v>
      </c>
      <c r="G351" s="324">
        <v>8</v>
      </c>
      <c r="H351" s="112">
        <v>2968</v>
      </c>
      <c r="I351" s="108">
        <v>742</v>
      </c>
      <c r="J351" s="109">
        <f>(I351/F351)</f>
        <v>371</v>
      </c>
      <c r="K351" s="102">
        <f>H351/I351</f>
        <v>4</v>
      </c>
      <c r="L351" s="113">
        <f>108013.25+68864+27976+10214+2402+2209+1188+2968</f>
        <v>223834.25</v>
      </c>
      <c r="M351" s="110">
        <f>12202+8144+4339+1841+481+460+297+742</f>
        <v>28506</v>
      </c>
      <c r="N351" s="296">
        <f>L351/M351</f>
        <v>7.852180242755911</v>
      </c>
      <c r="O351" s="204">
        <v>1</v>
      </c>
    </row>
    <row r="352" spans="1:15" ht="15">
      <c r="A352" s="186">
        <v>349</v>
      </c>
      <c r="B352" s="298" t="s">
        <v>59</v>
      </c>
      <c r="C352" s="114">
        <v>40095</v>
      </c>
      <c r="D352" s="105" t="s">
        <v>155</v>
      </c>
      <c r="E352" s="324">
        <v>52</v>
      </c>
      <c r="F352" s="324">
        <v>1</v>
      </c>
      <c r="G352" s="324">
        <v>9</v>
      </c>
      <c r="H352" s="222">
        <v>1780</v>
      </c>
      <c r="I352" s="223">
        <v>445</v>
      </c>
      <c r="J352" s="229">
        <f>(I352/F352)</f>
        <v>445</v>
      </c>
      <c r="K352" s="121">
        <f>H352/I352</f>
        <v>4</v>
      </c>
      <c r="L352" s="120">
        <f>108013.25+68864+27976+10214+2402+2209+1188+2968+1780</f>
        <v>225614.25</v>
      </c>
      <c r="M352" s="229">
        <f>12202+8144+4339+1841+481+460+297+742+445</f>
        <v>28951</v>
      </c>
      <c r="N352" s="299">
        <f>L352/M352</f>
        <v>7.792969154778764</v>
      </c>
      <c r="O352" s="202">
        <v>1</v>
      </c>
    </row>
    <row r="353" spans="1:15" ht="15">
      <c r="A353" s="186">
        <v>350</v>
      </c>
      <c r="B353" s="298" t="s">
        <v>55</v>
      </c>
      <c r="C353" s="114">
        <v>39822</v>
      </c>
      <c r="D353" s="116" t="s">
        <v>157</v>
      </c>
      <c r="E353" s="324">
        <v>175</v>
      </c>
      <c r="F353" s="324">
        <v>1</v>
      </c>
      <c r="G353" s="324">
        <v>25</v>
      </c>
      <c r="H353" s="112">
        <v>30203</v>
      </c>
      <c r="I353" s="108">
        <v>6041</v>
      </c>
      <c r="J353" s="109">
        <f>IF(H353&lt;&gt;0,I353/F353,"")</f>
        <v>6041</v>
      </c>
      <c r="K353" s="102">
        <f>IF(H353&lt;&gt;0,H353/I353,"")</f>
        <v>4.999668928985267</v>
      </c>
      <c r="L353" s="113">
        <v>3549661</v>
      </c>
      <c r="M353" s="110">
        <v>486849</v>
      </c>
      <c r="N353" s="296">
        <f>IF(L353&lt;&gt;0,L353/M353,"")</f>
        <v>7.291092309935935</v>
      </c>
      <c r="O353" s="204">
        <v>1</v>
      </c>
    </row>
    <row r="354" spans="1:15" ht="15">
      <c r="A354" s="186">
        <v>351</v>
      </c>
      <c r="B354" s="298" t="s">
        <v>171</v>
      </c>
      <c r="C354" s="114">
        <v>39822</v>
      </c>
      <c r="D354" s="105" t="s">
        <v>157</v>
      </c>
      <c r="E354" s="324">
        <v>175</v>
      </c>
      <c r="F354" s="324">
        <v>1</v>
      </c>
      <c r="G354" s="324">
        <v>26</v>
      </c>
      <c r="H354" s="222">
        <v>5700</v>
      </c>
      <c r="I354" s="223">
        <v>1140</v>
      </c>
      <c r="J354" s="229">
        <f>IF(H354&lt;&gt;0,I354/F354,"")</f>
        <v>1140</v>
      </c>
      <c r="K354" s="121">
        <f>IF(H354&lt;&gt;0,H354/I354,"")</f>
        <v>5</v>
      </c>
      <c r="L354" s="120">
        <v>3555361</v>
      </c>
      <c r="M354" s="229">
        <v>487989</v>
      </c>
      <c r="N354" s="299">
        <f>IF(L354&lt;&gt;0,L354/M354,"")</f>
        <v>7.285740047419102</v>
      </c>
      <c r="O354" s="202">
        <v>1</v>
      </c>
    </row>
    <row r="355" spans="1:15" ht="15">
      <c r="A355" s="186">
        <v>352</v>
      </c>
      <c r="B355" s="306" t="s">
        <v>16</v>
      </c>
      <c r="C355" s="148">
        <v>40165</v>
      </c>
      <c r="D355" s="149" t="s">
        <v>154</v>
      </c>
      <c r="E355" s="327">
        <v>109</v>
      </c>
      <c r="F355" s="327">
        <v>70</v>
      </c>
      <c r="G355" s="327">
        <v>3</v>
      </c>
      <c r="H355" s="150">
        <v>175077</v>
      </c>
      <c r="I355" s="166">
        <v>16879</v>
      </c>
      <c r="J355" s="151">
        <f>I355/F355</f>
        <v>241.12857142857143</v>
      </c>
      <c r="K355" s="153">
        <f>+H355/I355</f>
        <v>10.372474672670181</v>
      </c>
      <c r="L355" s="152">
        <v>1207284</v>
      </c>
      <c r="M355" s="151">
        <v>120991</v>
      </c>
      <c r="N355" s="307">
        <f>+L355/M355</f>
        <v>9.97829590630708</v>
      </c>
      <c r="O355" s="202">
        <v>1</v>
      </c>
    </row>
    <row r="356" spans="1:15" ht="15">
      <c r="A356" s="186">
        <v>353</v>
      </c>
      <c r="B356" s="298" t="s">
        <v>98</v>
      </c>
      <c r="C356" s="114">
        <v>40165</v>
      </c>
      <c r="D356" s="147" t="s">
        <v>154</v>
      </c>
      <c r="E356" s="324">
        <v>109</v>
      </c>
      <c r="F356" s="324">
        <v>39</v>
      </c>
      <c r="G356" s="324">
        <v>4</v>
      </c>
      <c r="H356" s="117">
        <v>54378</v>
      </c>
      <c r="I356" s="118">
        <v>5850</v>
      </c>
      <c r="J356" s="229">
        <f>I356/F356</f>
        <v>150</v>
      </c>
      <c r="K356" s="121">
        <f>+H356/I356</f>
        <v>9.295384615384615</v>
      </c>
      <c r="L356" s="120">
        <v>1261662</v>
      </c>
      <c r="M356" s="229">
        <v>126841</v>
      </c>
      <c r="N356" s="299">
        <f>+L356/M356</f>
        <v>9.946799536427497</v>
      </c>
      <c r="O356" s="203">
        <v>1</v>
      </c>
    </row>
    <row r="357" spans="1:15" ht="15">
      <c r="A357" s="186">
        <v>354</v>
      </c>
      <c r="B357" s="298" t="s">
        <v>98</v>
      </c>
      <c r="C357" s="114">
        <v>40165</v>
      </c>
      <c r="D357" s="147" t="s">
        <v>154</v>
      </c>
      <c r="E357" s="324">
        <v>109</v>
      </c>
      <c r="F357" s="324">
        <v>19</v>
      </c>
      <c r="G357" s="324">
        <v>5</v>
      </c>
      <c r="H357" s="117">
        <v>16797</v>
      </c>
      <c r="I357" s="145">
        <v>3103</v>
      </c>
      <c r="J357" s="175">
        <f>I357/F357</f>
        <v>163.31578947368422</v>
      </c>
      <c r="K357" s="119">
        <f>+H357/I357</f>
        <v>5.413148565903964</v>
      </c>
      <c r="L357" s="120">
        <v>1278459</v>
      </c>
      <c r="M357" s="175">
        <v>129944</v>
      </c>
      <c r="N357" s="297">
        <f>+L357/M357</f>
        <v>9.838538139506248</v>
      </c>
      <c r="O357" s="204">
        <v>1</v>
      </c>
    </row>
    <row r="358" spans="1:16" s="264" customFormat="1" ht="15">
      <c r="A358" s="186">
        <v>355</v>
      </c>
      <c r="B358" s="298" t="s">
        <v>1</v>
      </c>
      <c r="C358" s="114">
        <v>40165</v>
      </c>
      <c r="D358" s="105" t="s">
        <v>154</v>
      </c>
      <c r="E358" s="324">
        <v>109</v>
      </c>
      <c r="F358" s="324">
        <v>3</v>
      </c>
      <c r="G358" s="324">
        <v>7</v>
      </c>
      <c r="H358" s="144">
        <v>3736</v>
      </c>
      <c r="I358" s="145">
        <v>537</v>
      </c>
      <c r="J358" s="175">
        <f>I358/F358</f>
        <v>179</v>
      </c>
      <c r="K358" s="119">
        <f>+H358/I358</f>
        <v>6.957169459962756</v>
      </c>
      <c r="L358" s="146">
        <v>1285449</v>
      </c>
      <c r="M358" s="175">
        <v>130964</v>
      </c>
      <c r="N358" s="297">
        <f>+L358/M358</f>
        <v>9.81528511652057</v>
      </c>
      <c r="O358" s="205">
        <v>1</v>
      </c>
      <c r="P358" s="267"/>
    </row>
    <row r="359" spans="1:16" s="264" customFormat="1" ht="15">
      <c r="A359" s="186">
        <v>356</v>
      </c>
      <c r="B359" s="298" t="s">
        <v>98</v>
      </c>
      <c r="C359" s="114">
        <v>40165</v>
      </c>
      <c r="D359" s="154" t="s">
        <v>154</v>
      </c>
      <c r="E359" s="324">
        <v>109</v>
      </c>
      <c r="F359" s="324">
        <v>5</v>
      </c>
      <c r="G359" s="324">
        <v>6</v>
      </c>
      <c r="H359" s="144">
        <v>3254</v>
      </c>
      <c r="I359" s="145">
        <v>483</v>
      </c>
      <c r="J359" s="175">
        <f>I359/F359</f>
        <v>96.6</v>
      </c>
      <c r="K359" s="119">
        <f>+H359/I359</f>
        <v>6.737060041407868</v>
      </c>
      <c r="L359" s="146">
        <v>1281713</v>
      </c>
      <c r="M359" s="175">
        <v>130427</v>
      </c>
      <c r="N359" s="297">
        <f>+L359/M359</f>
        <v>9.827052680809954</v>
      </c>
      <c r="O359" s="204">
        <v>1</v>
      </c>
      <c r="P359" s="267"/>
    </row>
    <row r="360" spans="1:16" s="264" customFormat="1" ht="15">
      <c r="A360" s="186">
        <v>357</v>
      </c>
      <c r="B360" s="298" t="s">
        <v>98</v>
      </c>
      <c r="C360" s="114">
        <v>40165</v>
      </c>
      <c r="D360" s="105" t="s">
        <v>154</v>
      </c>
      <c r="E360" s="324">
        <v>109</v>
      </c>
      <c r="F360" s="324">
        <v>1</v>
      </c>
      <c r="G360" s="324">
        <v>8</v>
      </c>
      <c r="H360" s="200">
        <v>1155</v>
      </c>
      <c r="I360" s="201">
        <v>165</v>
      </c>
      <c r="J360" s="175">
        <f>(I360/F360)</f>
        <v>165</v>
      </c>
      <c r="K360" s="119">
        <f>(J360/G360)</f>
        <v>20.625</v>
      </c>
      <c r="L360" s="146">
        <v>1286604</v>
      </c>
      <c r="M360" s="175">
        <v>131129</v>
      </c>
      <c r="N360" s="299">
        <f>L360/M360</f>
        <v>9.811742635115039</v>
      </c>
      <c r="O360" s="204">
        <v>1</v>
      </c>
      <c r="P360" s="267"/>
    </row>
    <row r="361" spans="1:16" s="264" customFormat="1" ht="15">
      <c r="A361" s="186">
        <v>358</v>
      </c>
      <c r="B361" s="298" t="s">
        <v>98</v>
      </c>
      <c r="C361" s="114">
        <v>40165</v>
      </c>
      <c r="D361" s="105" t="s">
        <v>154</v>
      </c>
      <c r="E361" s="324">
        <v>109</v>
      </c>
      <c r="F361" s="324">
        <v>1</v>
      </c>
      <c r="G361" s="324">
        <v>9</v>
      </c>
      <c r="H361" s="222">
        <v>749</v>
      </c>
      <c r="I361" s="223">
        <v>107</v>
      </c>
      <c r="J361" s="229">
        <f>I361/F361</f>
        <v>107</v>
      </c>
      <c r="K361" s="121">
        <f>+H361/I361</f>
        <v>7</v>
      </c>
      <c r="L361" s="120">
        <v>1287353</v>
      </c>
      <c r="M361" s="229">
        <v>131236</v>
      </c>
      <c r="N361" s="299">
        <f>+L361/M361</f>
        <v>9.809450150873236</v>
      </c>
      <c r="O361" s="202">
        <v>1</v>
      </c>
      <c r="P361" s="267"/>
    </row>
    <row r="362" spans="1:16" s="264" customFormat="1" ht="15">
      <c r="A362" s="186">
        <v>359</v>
      </c>
      <c r="B362" s="298" t="s">
        <v>98</v>
      </c>
      <c r="C362" s="114">
        <v>40165</v>
      </c>
      <c r="D362" s="105" t="s">
        <v>154</v>
      </c>
      <c r="E362" s="324">
        <v>109</v>
      </c>
      <c r="F362" s="324">
        <v>1</v>
      </c>
      <c r="G362" s="324">
        <v>10</v>
      </c>
      <c r="H362" s="222">
        <v>308</v>
      </c>
      <c r="I362" s="223">
        <v>44</v>
      </c>
      <c r="J362" s="229">
        <f>I362/F362</f>
        <v>44</v>
      </c>
      <c r="K362" s="121">
        <f>H362/I362</f>
        <v>7</v>
      </c>
      <c r="L362" s="120">
        <v>1287661</v>
      </c>
      <c r="M362" s="229">
        <v>131280</v>
      </c>
      <c r="N362" s="299">
        <f>+L362/M362</f>
        <v>9.808508531383303</v>
      </c>
      <c r="O362" s="233">
        <v>1</v>
      </c>
      <c r="P362" s="267"/>
    </row>
    <row r="363" spans="1:16" s="264" customFormat="1" ht="15">
      <c r="A363" s="186">
        <v>360</v>
      </c>
      <c r="B363" s="300" t="s">
        <v>43</v>
      </c>
      <c r="C363" s="130">
        <v>40046</v>
      </c>
      <c r="D363" s="131" t="s">
        <v>155</v>
      </c>
      <c r="E363" s="325">
        <v>5</v>
      </c>
      <c r="F363" s="325">
        <v>1</v>
      </c>
      <c r="G363" s="325">
        <v>18</v>
      </c>
      <c r="H363" s="99">
        <v>555</v>
      </c>
      <c r="I363" s="108">
        <v>90</v>
      </c>
      <c r="J363" s="109">
        <f aca="true" t="shared" si="32" ref="J363:J368">(I363/F363)</f>
        <v>90</v>
      </c>
      <c r="K363" s="102">
        <f>H363/I363</f>
        <v>6.166666666666667</v>
      </c>
      <c r="L363" s="103">
        <f>29266.75+13116.25+9279.25+8463+18147.5+3121+4110+6763+926+5173.5+9461.5+192+486+2002+382+72+487.5+555</f>
        <v>112004.25</v>
      </c>
      <c r="M363" s="110">
        <f>2425+1257+1223+1013+2360+455+662+1253+138+745+1554+44+79+353+69+18+78+90</f>
        <v>13816</v>
      </c>
      <c r="N363" s="296">
        <f aca="true" t="shared" si="33" ref="N363:N368">L363/M363</f>
        <v>8.106850752750434</v>
      </c>
      <c r="O363" s="204"/>
      <c r="P363" s="267"/>
    </row>
    <row r="364" spans="1:16" s="264" customFormat="1" ht="15">
      <c r="A364" s="186">
        <v>361</v>
      </c>
      <c r="B364" s="298" t="s">
        <v>43</v>
      </c>
      <c r="C364" s="114">
        <v>40046</v>
      </c>
      <c r="D364" s="115" t="s">
        <v>155</v>
      </c>
      <c r="E364" s="324">
        <v>5</v>
      </c>
      <c r="F364" s="324">
        <v>1</v>
      </c>
      <c r="G364" s="324">
        <v>17</v>
      </c>
      <c r="H364" s="99">
        <v>487.5</v>
      </c>
      <c r="I364" s="100">
        <v>78</v>
      </c>
      <c r="J364" s="101">
        <f t="shared" si="32"/>
        <v>78</v>
      </c>
      <c r="K364" s="106">
        <f>H364/I364</f>
        <v>6.25</v>
      </c>
      <c r="L364" s="103">
        <f>29266.75+13116.25+9279.25+8463+18147.5+3121+4110+6763+926+5173.5+9461.5+192+486+2002+382+72+487.5</f>
        <v>111449.25</v>
      </c>
      <c r="M364" s="104">
        <f>2425+1257+1223+1013+2360+455+662+1253+138+745+1554+44+79+353+69+18+78</f>
        <v>13726</v>
      </c>
      <c r="N364" s="295">
        <f t="shared" si="33"/>
        <v>8.119572344455777</v>
      </c>
      <c r="O364" s="202"/>
      <c r="P364" s="267"/>
    </row>
    <row r="365" spans="1:16" s="265" customFormat="1" ht="15">
      <c r="A365" s="186">
        <v>362</v>
      </c>
      <c r="B365" s="298" t="s">
        <v>43</v>
      </c>
      <c r="C365" s="114">
        <v>40046</v>
      </c>
      <c r="D365" s="116" t="s">
        <v>155</v>
      </c>
      <c r="E365" s="324">
        <v>5</v>
      </c>
      <c r="F365" s="324">
        <v>1</v>
      </c>
      <c r="G365" s="324">
        <v>19</v>
      </c>
      <c r="H365" s="112">
        <v>468</v>
      </c>
      <c r="I365" s="108">
        <v>76</v>
      </c>
      <c r="J365" s="109">
        <f t="shared" si="32"/>
        <v>76</v>
      </c>
      <c r="K365" s="102">
        <f>H365/I365</f>
        <v>6.157894736842105</v>
      </c>
      <c r="L365" s="113">
        <f>29266.75+13116.25+9279.25+8463+18147.5+3121+4110+6763+926+5173.5+9461.5+192+486+2002+382+72+487.5+555+468</f>
        <v>112472.25</v>
      </c>
      <c r="M365" s="110">
        <f>2425+1257+1223+1013+2360+455+662+1253+138+745+1554+44+79+353+69+18+78+90+76</f>
        <v>13892</v>
      </c>
      <c r="N365" s="296">
        <f t="shared" si="33"/>
        <v>8.096188453786352</v>
      </c>
      <c r="O365" s="204"/>
      <c r="P365" s="268"/>
    </row>
    <row r="366" spans="1:16" s="264" customFormat="1" ht="15">
      <c r="A366" s="186">
        <v>363</v>
      </c>
      <c r="B366" s="298" t="s">
        <v>43</v>
      </c>
      <c r="C366" s="114">
        <v>40046</v>
      </c>
      <c r="D366" s="105" t="s">
        <v>155</v>
      </c>
      <c r="E366" s="324">
        <v>5</v>
      </c>
      <c r="F366" s="324">
        <v>1</v>
      </c>
      <c r="G366" s="324">
        <v>21</v>
      </c>
      <c r="H366" s="200">
        <v>222</v>
      </c>
      <c r="I366" s="201">
        <v>37</v>
      </c>
      <c r="J366" s="175">
        <f t="shared" si="32"/>
        <v>37</v>
      </c>
      <c r="K366" s="119">
        <f>H366/I366</f>
        <v>6</v>
      </c>
      <c r="L366" s="146">
        <f>29266.75+13116.25+9279.25+8463+18147.5+3121+4110+6763+926+5173.5+9461.5+192+486+2002+382+72+487.5+555+468+186+222</f>
        <v>112880.25</v>
      </c>
      <c r="M366" s="175">
        <f>2425+1257+1223+1013+2360+455+662+1253+138+745+1554+44+79+353+69+18+78+90+76+31+37</f>
        <v>13960</v>
      </c>
      <c r="N366" s="299">
        <f t="shared" si="33"/>
        <v>8.085977793696275</v>
      </c>
      <c r="O366" s="204"/>
      <c r="P366" s="267"/>
    </row>
    <row r="367" spans="1:16" s="266" customFormat="1" ht="15">
      <c r="A367" s="186">
        <v>364</v>
      </c>
      <c r="B367" s="300" t="s">
        <v>43</v>
      </c>
      <c r="C367" s="130">
        <v>40046</v>
      </c>
      <c r="D367" s="131" t="s">
        <v>155</v>
      </c>
      <c r="E367" s="325">
        <v>5</v>
      </c>
      <c r="F367" s="325">
        <v>1</v>
      </c>
      <c r="G367" s="325">
        <v>20</v>
      </c>
      <c r="H367" s="112">
        <v>186</v>
      </c>
      <c r="I367" s="108">
        <v>31</v>
      </c>
      <c r="J367" s="109">
        <f t="shared" si="32"/>
        <v>31</v>
      </c>
      <c r="K367" s="119">
        <f>+H367/I367</f>
        <v>6</v>
      </c>
      <c r="L367" s="113">
        <f>29266.75+13116.25+9279.25+8463+18147.5+3121+4110+6763+926+5173.5+9461.5+192+486+2002+382+72+487.5+555+468+186</f>
        <v>112658.25</v>
      </c>
      <c r="M367" s="110">
        <f>2425+1257+1223+1013+2360+455+662+1253+138+745+1554+44+79+353+69+18+78+90+76+31</f>
        <v>13923</v>
      </c>
      <c r="N367" s="301">
        <f t="shared" si="33"/>
        <v>8.091521223874166</v>
      </c>
      <c r="O367" s="205"/>
      <c r="P367" s="269"/>
    </row>
    <row r="368" spans="1:16" s="265" customFormat="1" ht="15">
      <c r="A368" s="186">
        <v>365</v>
      </c>
      <c r="B368" s="298" t="s">
        <v>43</v>
      </c>
      <c r="C368" s="114">
        <v>40046</v>
      </c>
      <c r="D368" s="116" t="s">
        <v>155</v>
      </c>
      <c r="E368" s="324">
        <v>5</v>
      </c>
      <c r="F368" s="324">
        <v>1</v>
      </c>
      <c r="G368" s="324">
        <v>16</v>
      </c>
      <c r="H368" s="99">
        <v>72</v>
      </c>
      <c r="I368" s="100">
        <v>18</v>
      </c>
      <c r="J368" s="101">
        <f t="shared" si="32"/>
        <v>18</v>
      </c>
      <c r="K368" s="102">
        <f>H368/I368</f>
        <v>4</v>
      </c>
      <c r="L368" s="103">
        <f>29266.75+13116.25+9279.25+8463+18147.5+3121+4110+6763+926+5173.5+9461.5+192+486+2002+382+72</f>
        <v>110961.75</v>
      </c>
      <c r="M368" s="104">
        <f>2425+1257+1223+1013+2360+455+662+1253+138+745+1554+44+79+353+69+18</f>
        <v>13648</v>
      </c>
      <c r="N368" s="296">
        <f t="shared" si="33"/>
        <v>8.130257180539273</v>
      </c>
      <c r="O368" s="202"/>
      <c r="P368" s="268"/>
    </row>
    <row r="369" spans="1:16" s="264" customFormat="1" ht="15">
      <c r="A369" s="186">
        <v>366</v>
      </c>
      <c r="B369" s="298" t="s">
        <v>107</v>
      </c>
      <c r="C369" s="114">
        <v>40144</v>
      </c>
      <c r="D369" s="115" t="s">
        <v>108</v>
      </c>
      <c r="E369" s="324">
        <v>2</v>
      </c>
      <c r="F369" s="324">
        <v>1</v>
      </c>
      <c r="G369" s="324">
        <v>3</v>
      </c>
      <c r="H369" s="117">
        <v>6827</v>
      </c>
      <c r="I369" s="118">
        <v>1058</v>
      </c>
      <c r="J369" s="135">
        <f>I369/F369</f>
        <v>1058</v>
      </c>
      <c r="K369" s="140">
        <f>H369/I369</f>
        <v>6.452741020793951</v>
      </c>
      <c r="L369" s="120">
        <v>12004</v>
      </c>
      <c r="M369" s="229">
        <v>1817</v>
      </c>
      <c r="N369" s="303">
        <f>IF(L369&lt;&gt;0,L369/M369,"")</f>
        <v>6.606494221243809</v>
      </c>
      <c r="O369" s="203"/>
      <c r="P369" s="267"/>
    </row>
    <row r="370" spans="1:16" s="264" customFormat="1" ht="15">
      <c r="A370" s="186">
        <v>367</v>
      </c>
      <c r="B370" s="298" t="s">
        <v>107</v>
      </c>
      <c r="C370" s="114">
        <v>40144</v>
      </c>
      <c r="D370" s="115" t="s">
        <v>108</v>
      </c>
      <c r="E370" s="324">
        <v>2</v>
      </c>
      <c r="F370" s="324">
        <v>1</v>
      </c>
      <c r="G370" s="324">
        <v>4</v>
      </c>
      <c r="H370" s="117">
        <v>1199</v>
      </c>
      <c r="I370" s="118">
        <v>221</v>
      </c>
      <c r="J370" s="135">
        <f>I370/F370</f>
        <v>221</v>
      </c>
      <c r="K370" s="140">
        <f>H370/I370</f>
        <v>5.425339366515837</v>
      </c>
      <c r="L370" s="120">
        <v>13203</v>
      </c>
      <c r="M370" s="229">
        <v>2038</v>
      </c>
      <c r="N370" s="303">
        <f>IF(L370&lt;&gt;0,L370/M370,"")</f>
        <v>6.478410206084397</v>
      </c>
      <c r="O370" s="204"/>
      <c r="P370" s="267"/>
    </row>
    <row r="371" spans="1:16" s="264" customFormat="1" ht="15">
      <c r="A371" s="186">
        <v>368</v>
      </c>
      <c r="B371" s="304" t="s">
        <v>39</v>
      </c>
      <c r="C371" s="97">
        <v>40060</v>
      </c>
      <c r="D371" s="155" t="s">
        <v>130</v>
      </c>
      <c r="E371" s="326">
        <v>60</v>
      </c>
      <c r="F371" s="326">
        <v>1</v>
      </c>
      <c r="G371" s="326">
        <v>9</v>
      </c>
      <c r="H371" s="156">
        <v>722</v>
      </c>
      <c r="I371" s="157">
        <v>98</v>
      </c>
      <c r="J371" s="124">
        <f>+I371/F371</f>
        <v>98</v>
      </c>
      <c r="K371" s="125">
        <f>+H371/I371</f>
        <v>7.36734693877551</v>
      </c>
      <c r="L371" s="158">
        <v>31093</v>
      </c>
      <c r="M371" s="159">
        <v>4346</v>
      </c>
      <c r="N371" s="297">
        <f aca="true" t="shared" si="34" ref="N371:N376">+L371/M371</f>
        <v>7.154394845835251</v>
      </c>
      <c r="O371" s="204">
        <v>1</v>
      </c>
      <c r="P371" s="267"/>
    </row>
    <row r="372" spans="1:16" s="265" customFormat="1" ht="15">
      <c r="A372" s="186">
        <v>369</v>
      </c>
      <c r="B372" s="294" t="s">
        <v>89</v>
      </c>
      <c r="C372" s="97">
        <v>40172</v>
      </c>
      <c r="D372" s="98" t="s">
        <v>153</v>
      </c>
      <c r="E372" s="323">
        <v>40</v>
      </c>
      <c r="F372" s="323">
        <v>34</v>
      </c>
      <c r="G372" s="323">
        <v>2</v>
      </c>
      <c r="H372" s="99">
        <v>15275</v>
      </c>
      <c r="I372" s="100">
        <v>1524</v>
      </c>
      <c r="J372" s="101">
        <f>I372/F372</f>
        <v>44.8235294117647</v>
      </c>
      <c r="K372" s="102">
        <f>H372/I372</f>
        <v>10.022965879265092</v>
      </c>
      <c r="L372" s="103">
        <f>74576+15275</f>
        <v>89851</v>
      </c>
      <c r="M372" s="104">
        <f>7330+1524</f>
        <v>8854</v>
      </c>
      <c r="N372" s="296">
        <f t="shared" si="34"/>
        <v>10.148068669527897</v>
      </c>
      <c r="O372" s="202"/>
      <c r="P372" s="268"/>
    </row>
    <row r="373" spans="1:16" s="266" customFormat="1" ht="15">
      <c r="A373" s="186">
        <v>370</v>
      </c>
      <c r="B373" s="294" t="s">
        <v>89</v>
      </c>
      <c r="C373" s="97">
        <v>40172</v>
      </c>
      <c r="D373" s="107" t="s">
        <v>153</v>
      </c>
      <c r="E373" s="323">
        <v>40</v>
      </c>
      <c r="F373" s="323">
        <v>8</v>
      </c>
      <c r="G373" s="323">
        <v>4</v>
      </c>
      <c r="H373" s="99">
        <v>5335</v>
      </c>
      <c r="I373" s="108">
        <v>870</v>
      </c>
      <c r="J373" s="109">
        <f>I373/F373</f>
        <v>108.75</v>
      </c>
      <c r="K373" s="102">
        <f>H373/I373</f>
        <v>6.132183908045977</v>
      </c>
      <c r="L373" s="103">
        <f>74576+15275+3431+38+5335</f>
        <v>98655</v>
      </c>
      <c r="M373" s="110">
        <f>7330+1524+499+4+870</f>
        <v>10227</v>
      </c>
      <c r="N373" s="296">
        <f t="shared" si="34"/>
        <v>9.646523907304195</v>
      </c>
      <c r="O373" s="204"/>
      <c r="P373" s="269"/>
    </row>
    <row r="374" spans="1:16" s="264" customFormat="1" ht="15">
      <c r="A374" s="186">
        <v>371</v>
      </c>
      <c r="B374" s="294" t="s">
        <v>89</v>
      </c>
      <c r="C374" s="97">
        <v>40172</v>
      </c>
      <c r="D374" s="105" t="s">
        <v>153</v>
      </c>
      <c r="E374" s="323">
        <v>40</v>
      </c>
      <c r="F374" s="323">
        <v>10</v>
      </c>
      <c r="G374" s="323">
        <v>3</v>
      </c>
      <c r="H374" s="99">
        <f>3431+38</f>
        <v>3469</v>
      </c>
      <c r="I374" s="100">
        <f>499+4</f>
        <v>503</v>
      </c>
      <c r="J374" s="101">
        <f>I374/F374</f>
        <v>50.3</v>
      </c>
      <c r="K374" s="106">
        <f>H374/I374</f>
        <v>6.89662027833002</v>
      </c>
      <c r="L374" s="103">
        <f>74576+15275+3431+38</f>
        <v>93320</v>
      </c>
      <c r="M374" s="104">
        <f>7330+1524+499+4</f>
        <v>9357</v>
      </c>
      <c r="N374" s="295">
        <f t="shared" si="34"/>
        <v>9.973282034840226</v>
      </c>
      <c r="O374" s="203"/>
      <c r="P374" s="267"/>
    </row>
    <row r="375" spans="1:16" s="264" customFormat="1" ht="15">
      <c r="A375" s="186">
        <v>372</v>
      </c>
      <c r="B375" s="294" t="s">
        <v>89</v>
      </c>
      <c r="C375" s="114">
        <v>40172</v>
      </c>
      <c r="D375" s="105" t="s">
        <v>153</v>
      </c>
      <c r="E375" s="324">
        <v>40</v>
      </c>
      <c r="F375" s="324">
        <v>1</v>
      </c>
      <c r="G375" s="324">
        <v>6</v>
      </c>
      <c r="H375" s="144">
        <v>292</v>
      </c>
      <c r="I375" s="145">
        <v>51</v>
      </c>
      <c r="J375" s="175">
        <f>I375/F375</f>
        <v>51</v>
      </c>
      <c r="K375" s="119">
        <f>H375/I375</f>
        <v>5.7254901960784315</v>
      </c>
      <c r="L375" s="146">
        <f>74576+15275+3431+38+5335+40+292</f>
        <v>98987</v>
      </c>
      <c r="M375" s="175">
        <f>7330+1524+499+4+870+8+51</f>
        <v>10286</v>
      </c>
      <c r="N375" s="297">
        <f t="shared" si="34"/>
        <v>9.62346879253354</v>
      </c>
      <c r="O375" s="205"/>
      <c r="P375" s="267"/>
    </row>
    <row r="376" spans="1:16" s="264" customFormat="1" ht="15.75" thickBot="1">
      <c r="A376" s="186">
        <v>373</v>
      </c>
      <c r="B376" s="312" t="s">
        <v>89</v>
      </c>
      <c r="C376" s="313">
        <v>40172</v>
      </c>
      <c r="D376" s="314" t="s">
        <v>153</v>
      </c>
      <c r="E376" s="329">
        <v>40</v>
      </c>
      <c r="F376" s="329">
        <v>1</v>
      </c>
      <c r="G376" s="329">
        <v>5</v>
      </c>
      <c r="H376" s="315">
        <v>40</v>
      </c>
      <c r="I376" s="316">
        <v>8</v>
      </c>
      <c r="J376" s="317">
        <f>I376/F376</f>
        <v>8</v>
      </c>
      <c r="K376" s="318">
        <f>H376/I376</f>
        <v>5</v>
      </c>
      <c r="L376" s="319">
        <f>74576+15275+3431+38+5335+40</f>
        <v>98695</v>
      </c>
      <c r="M376" s="320">
        <f>7330+1524+499+4+870+8</f>
        <v>10235</v>
      </c>
      <c r="N376" s="321">
        <f t="shared" si="34"/>
        <v>9.642892037127504</v>
      </c>
      <c r="O376" s="204"/>
      <c r="P376" s="267"/>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H4:I35 M4:M35 J4:L8 L109:M111 L137:M137 L112:M117 N112:O117 L138:N160" unlockedFormula="1"/>
    <ignoredError sqref="J9:L35 L47:M72 L105:M108 L88:M104 L118:M136 N118:O137" formula="1" unlockedFormula="1"/>
    <ignoredError sqref="O43:O44 N19:N42 O19:O42 N43:N44 N47:N72 K43:M46 N45:N46 J47:J72 K47:K72 J105:K108 N75:N104 J75:K104 L75:M87 J118:K136 P118:Q1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2010-03-08T17:50:41Z</dcterms:modified>
  <cp:category/>
  <cp:version/>
  <cp:contentType/>
  <cp:contentStatus/>
</cp:coreProperties>
</file>