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2-08 Oct '09 (WK 40)" sheetId="1" r:id="rId1"/>
    <sheet name="02 Jan-08 Oct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Jan-08 Oct ''09 (Annual)'!$A$5:$J$8</definedName>
    <definedName name="_xlnm.Print_Area" localSheetId="0">'02-08 Oct ''09 (WK 40)'!$A$1:$O$112</definedName>
  </definedNames>
  <calcPr fullCalcOnLoad="1"/>
</workbook>
</file>

<file path=xl/sharedStrings.xml><?xml version="1.0" encoding="utf-8"?>
<sst xmlns="http://schemas.openxmlformats.org/spreadsheetml/2006/main" count="2877" uniqueCount="565">
  <si>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</si>
  <si>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</si>
  <si>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</si>
  <si>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</si>
  <si>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</si>
  <si>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</si>
  <si>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</si>
  <si>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</si>
  <si>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</si>
  <si>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</si>
  <si>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</si>
  <si>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</si>
  <si>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</si>
  <si>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</si>
  <si>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</si>
  <si>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</si>
  <si>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</si>
  <si>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</si>
  <si>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</si>
  <si>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</si>
  <si>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</si>
  <si>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</si>
  <si>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</si>
  <si>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</si>
  <si>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</si>
  <si>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</si>
  <si>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</si>
  <si>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</si>
  <si>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</si>
  <si>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</si>
  <si>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</si>
  <si>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</si>
  <si>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</si>
  <si>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</si>
  <si>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</si>
  <si>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</si>
  <si>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</si>
  <si>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</si>
  <si>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</si>
  <si>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</si>
  <si>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</si>
  <si>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</si>
  <si>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</si>
  <si>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</si>
  <si>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</si>
  <si>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</si>
  <si>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</si>
  <si>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</si>
  <si>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</si>
  <si>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</si>
  <si>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</si>
  <si>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</si>
  <si>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</si>
  <si>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</si>
  <si>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</si>
  <si>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</si>
  <si>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</si>
  <si>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</si>
  <si>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</si>
  <si>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</si>
  <si>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</si>
  <si>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</si>
  <si>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</si>
  <si>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</si>
  <si>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</si>
  <si>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</si>
  <si>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</si>
  <si>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</si>
  <si>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</si>
  <si>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</si>
  <si>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</si>
  <si>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</si>
  <si>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</si>
  <si>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</si>
  <si>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</si>
  <si>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</si>
  <si>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</si>
  <si>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</si>
  <si>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</si>
  <si>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</si>
  <si>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</si>
  <si>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</si>
  <si>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</si>
  <si>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</si>
  <si>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</si>
  <si>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</si>
  <si>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</si>
  <si>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</si>
  <si>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</si>
  <si>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</si>
  <si>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</si>
  <si>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</si>
  <si>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</si>
  <si>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</si>
  <si>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</si>
  <si>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</si>
  <si>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</si>
  <si>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</si>
  <si>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</si>
  <si>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</si>
  <si>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</si>
  <si>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</si>
  <si>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</si>
  <si>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</si>
  <si>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</si>
  <si>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</si>
  <si>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</si>
  <si>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</si>
  <si>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</si>
  <si>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</si>
  <si>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</si>
  <si>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</si>
  <si>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</si>
  <si>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</si>
  <si>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</si>
  <si>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</si>
  <si>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</si>
  <si>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</si>
  <si>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</si>
  <si>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</si>
  <si>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</si>
  <si>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</si>
  <si>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</si>
  <si>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</si>
  <si>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</si>
  <si>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</si>
  <si>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</si>
  <si>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</si>
  <si>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</si>
  <si>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</si>
  <si>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</si>
  <si>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</si>
  <si>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</si>
  <si>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</si>
  <si>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</si>
  <si>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</si>
  <si>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</si>
  <si>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</si>
  <si>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</si>
  <si>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</si>
  <si>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</si>
  <si>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</si>
  <si>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</si>
  <si>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</si>
  <si>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</si>
  <si>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</si>
  <si>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</si>
  <si>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</si>
  <si>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</si>
  <si>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</si>
  <si>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</si>
  <si>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</si>
  <si>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</si>
  <si>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</si>
  <si>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</si>
  <si>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</si>
  <si>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</si>
  <si>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</si>
  <si>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</si>
  <si>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</si>
  <si>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</si>
  <si>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</si>
  <si>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</si>
  <si>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</si>
  <si>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</si>
  <si>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</si>
  <si>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</si>
  <si>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</si>
  <si>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</si>
  <si>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</si>
  <si>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</si>
  <si>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</si>
  <si>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</si>
  <si>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</si>
  <si>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</si>
  <si>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</si>
  <si>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</si>
  <si>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</si>
  <si>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</si>
  <si>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</si>
  <si>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</si>
  <si>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</si>
  <si>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</si>
  <si>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</si>
  <si>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</si>
  <si>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</si>
  <si>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</si>
  <si>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</si>
  <si>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</si>
  <si>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</si>
  <si>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</si>
  <si>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</si>
  <si>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</si>
  <si>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</si>
  <si>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</si>
  <si>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</si>
  <si>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</si>
  <si>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</si>
  <si>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</si>
  <si>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</si>
  <si>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</si>
  <si>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</si>
  <si>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</si>
  <si>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</si>
  <si>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</si>
  <si>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</si>
  <si>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</si>
  <si>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</si>
  <si>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</si>
  <si>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</si>
  <si>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</si>
  <si>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</si>
  <si>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</si>
  <si>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</si>
  <si>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</si>
  <si>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</si>
  <si>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</si>
  <si>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</si>
  <si>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</si>
  <si>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</si>
  <si>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</si>
  <si>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</si>
  <si>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</si>
  <si>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</si>
  <si>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</si>
  <si>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</si>
  <si>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</si>
  <si>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</si>
  <si>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</si>
  <si>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</si>
  <si>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</si>
  <si>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</si>
  <si>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</si>
  <si>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</si>
  <si>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</si>
  <si>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</si>
  <si>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</si>
  <si>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</si>
  <si>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</si>
  <si>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</si>
  <si>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</si>
  <si>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</si>
  <si>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</si>
  <si>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</si>
  <si>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</si>
  <si>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</si>
  <si>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</si>
  <si>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</si>
  <si>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</si>
  <si>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</si>
  <si>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</si>
  <si>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</si>
  <si>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</si>
  <si>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</si>
  <si>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</si>
  <si>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</si>
  <si>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</si>
  <si>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</si>
  <si>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</si>
  <si>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</si>
  <si>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</si>
  <si>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</si>
  <si>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</si>
  <si>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</si>
  <si>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</si>
  <si>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</si>
  <si>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</si>
  <si>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</si>
  <si>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</si>
  <si>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</si>
  <si>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</si>
  <si>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</si>
  <si>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</si>
  <si>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</si>
  <si>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</si>
  <si>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</si>
  <si>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</si>
  <si>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</si>
  <si>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</si>
  <si>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</si>
  <si>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</si>
  <si>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</si>
  <si>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</si>
  <si>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</si>
  <si>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</si>
  <si>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</si>
  <si>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</si>
  <si>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</si>
  <si>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</si>
  <si>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</si>
  <si>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</si>
  <si>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</si>
  <si>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</si>
  <si>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</si>
  <si>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</si>
  <si>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</si>
  <si>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</si>
  <si>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</si>
  <si>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</si>
  <si>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</si>
  <si>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</si>
  <si>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</si>
  <si>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</si>
  <si>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</si>
  <si>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</si>
  <si>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</si>
  <si>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</si>
  <si>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</si>
  <si>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</si>
  <si>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</si>
  <si>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</si>
  <si>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</si>
  <si>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</si>
  <si>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</si>
  <si>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</si>
  <si>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</si>
  <si>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</si>
  <si>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</si>
  <si>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</si>
  <si>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</si>
  <si>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</si>
  <si>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</si>
  <si>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</si>
  <si>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</si>
  <si>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</si>
  <si>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</si>
  <si>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</si>
  <si>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</si>
  <si>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</si>
  <si>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</si>
  <si>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</si>
  <si>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</si>
  <si>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</si>
  <si>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</si>
  <si>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</si>
  <si>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</si>
  <si>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</si>
  <si>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</si>
  <si>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</si>
  <si>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</si>
  <si>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</si>
  <si>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</si>
  <si>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</si>
  <si>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</si>
  <si>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</si>
  <si>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</si>
  <si>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</si>
  <si>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</si>
  <si>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</si>
  <si>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</si>
  <si>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</si>
  <si>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</si>
  <si>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</si>
  <si>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</si>
  <si>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</si>
  <si>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</si>
  <si>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</si>
  <si>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</si>
  <si>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</si>
  <si>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</si>
  <si>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</si>
  <si>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</si>
  <si>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</si>
  <si>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</si>
  <si>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</si>
  <si>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</si>
  <si>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</si>
  <si>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</si>
  <si>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</si>
  <si>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</si>
  <si>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</si>
  <si>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</si>
  <si>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</si>
  <si>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</si>
  <si>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</si>
  <si>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</si>
  <si>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</si>
  <si>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</si>
  <si>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</si>
  <si>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</si>
  <si>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</si>
  <si>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</si>
  <si>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</si>
  <si>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</si>
  <si>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</si>
  <si>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</si>
  <si>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</si>
  <si>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</si>
  <si>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</si>
  <si>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</si>
  <si>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</si>
  <si>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</si>
  <si>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</si>
  <si>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</si>
  <si>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</si>
  <si>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</si>
  <si>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</si>
  <si>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</si>
  <si>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</si>
  <si>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</si>
  <si>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</si>
  <si>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</si>
  <si>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</si>
  <si>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</si>
  <si>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</si>
  <si>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</si>
  <si>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</si>
  <si>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</si>
  <si>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</si>
  <si>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</si>
  <si>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</si>
  <si>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</si>
  <si>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</si>
  <si>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</si>
  <si>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</si>
  <si>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</si>
  <si>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</si>
  <si>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</si>
  <si>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</si>
  <si>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</si>
  <si>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</si>
  <si>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</si>
  <si>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</si>
  <si>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</si>
  <si>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</si>
  <si>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</si>
  <si>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</si>
  <si>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</si>
  <si>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</si>
  <si>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</si>
  <si>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</si>
  <si>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</si>
  <si>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</si>
  <si>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</si>
  <si>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</si>
  <si>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</si>
  <si>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</si>
  <si>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</si>
  <si>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</si>
  <si>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</si>
  <si>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</si>
  <si>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</si>
  <si>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</si>
  <si>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</si>
  <si>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</si>
  <si>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</si>
  <si>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</si>
  <si>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</si>
  <si>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</si>
  <si>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</si>
  <si>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</si>
  <si>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</si>
  <si>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</si>
  <si>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</si>
  <si>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</si>
  <si>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</si>
  <si>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</si>
  <si>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</si>
  <si>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</si>
  <si>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</si>
  <si>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</si>
  <si>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</si>
  <si>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</si>
  <si>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</si>
  <si>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</si>
  <si>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</si>
  <si>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</si>
  <si>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</si>
  <si>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</si>
  <si>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</si>
  <si>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</si>
  <si>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</si>
  <si>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</si>
  <si>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</si>
  <si>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</si>
  <si>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</si>
  <si>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KIZ KARDESIM</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</si>
  <si>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</si>
  <si>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</si>
  <si>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</si>
  <si>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</si>
  <si>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</si>
  <si>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</si>
  <si>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</si>
  <si>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</si>
  <si>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</si>
  <si>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</si>
  <si>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</si>
  <si>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</si>
  <si>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</si>
  <si>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</si>
  <si>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</si>
  <si>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</si>
  <si>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</si>
  <si>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</si>
  <si>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</si>
  <si>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</si>
  <si>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</si>
  <si>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</si>
  <si>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</si>
  <si>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</si>
  <si>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</si>
  <si>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</si>
  <si>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</si>
  <si>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</si>
  <si>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</si>
  <si>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</si>
  <si>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</si>
  <si>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</si>
  <si>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</si>
  <si>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</si>
  <si>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</si>
  <si>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</si>
  <si>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</si>
  <si>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</si>
  <si>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</si>
  <si>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</si>
  <si>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</si>
  <si>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</si>
  <si>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</si>
  <si>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</si>
  <si>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</si>
  <si>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</si>
  <si>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</si>
  <si>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</si>
  <si>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</si>
  <si>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</si>
  <si>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</si>
  <si>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KANIMDAKI BARUT</t>
  </si>
  <si>
    <t>BLOOD: THE LAST VAMPIRE</t>
  </si>
  <si>
    <t>COLD PREY 2</t>
  </si>
  <si>
    <t>G.I.JOE: THE RISE OF COBRA</t>
  </si>
  <si>
    <t>ÇINGIRAKLI TOP</t>
  </si>
  <si>
    <t>ODE FILM</t>
  </si>
  <si>
    <t>PONTYPOOL</t>
  </si>
  <si>
    <t>A+ FILMS</t>
  </si>
  <si>
    <t>IMMIGRANTS</t>
  </si>
  <si>
    <t>OZEN-HERMES</t>
  </si>
  <si>
    <t>GOKTEN 3 ELMA DÜŞTÜ</t>
  </si>
  <si>
    <t>25-01</t>
  </si>
  <si>
    <t>October</t>
  </si>
  <si>
    <t>SURROGATES</t>
  </si>
  <si>
    <t>11' E 10 KALA</t>
  </si>
  <si>
    <t>PASHA</t>
  </si>
  <si>
    <t>SARI SATEN</t>
  </si>
  <si>
    <t>SON FILM</t>
  </si>
  <si>
    <t>RICKY</t>
  </si>
  <si>
    <t>HARRY POTTER 6: HALF-BLOOD PRINCE</t>
  </si>
  <si>
    <t>FILMPARK</t>
  </si>
  <si>
    <r>
      <t xml:space="preserve">2009 Türkiye Annual Box Office Report  </t>
    </r>
    <r>
      <rPr>
        <sz val="16"/>
        <rFont val="Impact"/>
        <family val="0"/>
      </rPr>
      <t>02 January-08 October 2009</t>
    </r>
  </si>
  <si>
    <r>
      <t>2009 Türkiye Ex Years Releases Annual Box Office Report</t>
    </r>
    <r>
      <rPr>
        <b/>
        <sz val="26"/>
        <rFont val="Impact"/>
        <family val="2"/>
      </rPr>
      <t xml:space="preserve">  </t>
    </r>
    <r>
      <rPr>
        <b/>
        <sz val="16"/>
        <rFont val="Impact"/>
        <family val="2"/>
      </rPr>
      <t>02 January-08 October 2009</t>
    </r>
  </si>
  <si>
    <t>KARANLIKTAKİLER</t>
  </si>
  <si>
    <t>GAMER</t>
  </si>
  <si>
    <t>FUNNY PEOPLE</t>
  </si>
  <si>
    <t>KAMPÜSTE ÇIPLAK AYAKLAR</t>
  </si>
  <si>
    <t>KIPROKO FILM</t>
  </si>
  <si>
    <t>OKURIBITO</t>
  </si>
  <si>
    <t>AVSAR</t>
  </si>
  <si>
    <t>HURT LOCKER</t>
  </si>
  <si>
    <t>VOLTAGE PICTURES</t>
  </si>
  <si>
    <t>SINEFILM</t>
  </si>
  <si>
    <t>ACI</t>
  </si>
  <si>
    <t>3</t>
  </si>
  <si>
    <t>14</t>
  </si>
  <si>
    <t>YERLİ 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</si>
</sst>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11">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0"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2" fillId="0" borderId="0" xfId="0" applyFont="1" applyFill="1" applyBorder="1" applyAlignment="1" applyProtection="1">
      <alignment horizontal="center" vertical="center" wrapText="1"/>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192"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13" fillId="36" borderId="32" xfId="0" applyFont="1" applyFill="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3"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3" fillId="0" borderId="0" xfId="0" applyFont="1" applyAlignment="1">
      <alignment/>
    </xf>
    <xf numFmtId="200" fontId="11" fillId="0" borderId="23" xfId="42" applyNumberFormat="1" applyFont="1" applyFill="1" applyBorder="1" applyAlignment="1" applyProtection="1">
      <alignment vertical="center"/>
      <protection locked="0"/>
    </xf>
    <xf numFmtId="193" fontId="11" fillId="0" borderId="23" xfId="42" applyNumberFormat="1" applyFont="1" applyFill="1" applyBorder="1" applyAlignment="1" applyProtection="1">
      <alignment vertical="center"/>
      <protection locked="0"/>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200" fontId="11"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2"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200" fontId="11" fillId="0" borderId="23" xfId="0" applyNumberFormat="1" applyFont="1" applyFill="1" applyBorder="1" applyAlignment="1">
      <alignment vertical="center"/>
    </xf>
    <xf numFmtId="0" fontId="13" fillId="0" borderId="32" xfId="0" applyFont="1" applyBorder="1" applyAlignment="1" applyProtection="1">
      <alignment horizontal="center" vertical="center"/>
      <protection locked="0"/>
    </xf>
    <xf numFmtId="200" fontId="28" fillId="0" borderId="23" xfId="0" applyNumberFormat="1" applyFont="1" applyFill="1" applyBorder="1" applyAlignment="1">
      <alignment vertical="center"/>
    </xf>
    <xf numFmtId="193" fontId="28" fillId="0" borderId="23" xfId="0" applyNumberFormat="1" applyFont="1" applyFill="1" applyBorder="1" applyAlignment="1">
      <alignment vertical="center"/>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28" fillId="0" borderId="33" xfId="0" applyNumberFormat="1" applyFont="1" applyFill="1" applyBorder="1" applyAlignment="1">
      <alignment vertical="center"/>
    </xf>
    <xf numFmtId="193" fontId="28" fillId="0" borderId="33" xfId="0" applyNumberFormat="1" applyFont="1" applyFill="1" applyBorder="1" applyAlignment="1">
      <alignment vertical="center"/>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0"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171" fontId="22" fillId="0" borderId="41" xfId="42" applyFont="1" applyFill="1" applyBorder="1" applyAlignment="1" applyProtection="1">
      <alignment horizontal="center" vertical="center" wrapText="1"/>
      <protection/>
    </xf>
    <xf numFmtId="0" fontId="22" fillId="0" borderId="41" xfId="0"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184" fontId="22" fillId="0" borderId="4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4" xfId="0" applyFont="1" applyFill="1" applyBorder="1" applyAlignment="1">
      <alignment horizontal="right" vertical="center"/>
    </xf>
    <xf numFmtId="0" fontId="0" fillId="0" borderId="45"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9"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pplyProtection="1">
      <alignment horizontal="center" vertical="center" wrapText="1"/>
      <protection/>
    </xf>
    <xf numFmtId="0" fontId="22" fillId="0" borderId="38"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0"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1" xfId="0" applyNumberFormat="1" applyFont="1" applyFill="1" applyBorder="1" applyAlignment="1" applyProtection="1">
      <alignment horizontal="center" vertical="center" wrapText="1"/>
      <protection/>
    </xf>
    <xf numFmtId="0" fontId="9" fillId="0" borderId="42"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2" xfId="42"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02067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163175"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40</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02-08 OCT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912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8"/>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7.7109375" style="15" customWidth="1"/>
    <col min="6" max="6" width="6.140625" style="6" customWidth="1"/>
    <col min="7" max="7" width="8.57421875" style="6" bestFit="1" customWidth="1"/>
    <col min="8" max="8" width="9.421875" style="6" customWidth="1"/>
    <col min="9" max="9" width="14.140625" style="70" bestFit="1"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6.8515625" style="22" customWidth="1"/>
    <col min="16" max="16" width="2.140625" style="245"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245"/>
    </row>
    <row r="2" spans="1:16" s="9" customFormat="1" ht="27.75" thickBot="1">
      <c r="A2" s="354" t="s">
        <v>125</v>
      </c>
      <c r="B2" s="355"/>
      <c r="C2" s="355"/>
      <c r="D2" s="355"/>
      <c r="E2" s="355"/>
      <c r="F2" s="355"/>
      <c r="G2" s="355"/>
      <c r="H2" s="355"/>
      <c r="I2" s="355"/>
      <c r="J2" s="355"/>
      <c r="K2" s="355"/>
      <c r="L2" s="355"/>
      <c r="M2" s="355"/>
      <c r="N2" s="355"/>
      <c r="O2" s="355"/>
      <c r="P2" s="245"/>
    </row>
    <row r="3" spans="1:16" s="91" customFormat="1" ht="16.5">
      <c r="A3" s="28"/>
      <c r="B3" s="361" t="s">
        <v>3</v>
      </c>
      <c r="C3" s="366" t="s">
        <v>113</v>
      </c>
      <c r="D3" s="362" t="s">
        <v>129</v>
      </c>
      <c r="E3" s="362" t="s">
        <v>128</v>
      </c>
      <c r="F3" s="359" t="s">
        <v>114</v>
      </c>
      <c r="G3" s="359" t="s">
        <v>121</v>
      </c>
      <c r="H3" s="359" t="s">
        <v>123</v>
      </c>
      <c r="I3" s="363" t="s">
        <v>115</v>
      </c>
      <c r="J3" s="364"/>
      <c r="K3" s="364"/>
      <c r="L3" s="365"/>
      <c r="M3" s="356" t="s">
        <v>116</v>
      </c>
      <c r="N3" s="357"/>
      <c r="O3" s="358"/>
      <c r="P3" s="246"/>
    </row>
    <row r="4" spans="1:16" s="91" customFormat="1" ht="48" customHeight="1" thickBot="1">
      <c r="A4" s="84"/>
      <c r="B4" s="360"/>
      <c r="C4" s="360"/>
      <c r="D4" s="360"/>
      <c r="E4" s="360"/>
      <c r="F4" s="360"/>
      <c r="G4" s="360"/>
      <c r="H4" s="360"/>
      <c r="I4" s="118" t="s">
        <v>117</v>
      </c>
      <c r="J4" s="92" t="s">
        <v>118</v>
      </c>
      <c r="K4" s="92" t="s">
        <v>101</v>
      </c>
      <c r="L4" s="51" t="s">
        <v>119</v>
      </c>
      <c r="M4" s="118" t="s">
        <v>117</v>
      </c>
      <c r="N4" s="92" t="s">
        <v>118</v>
      </c>
      <c r="O4" s="52" t="s">
        <v>120</v>
      </c>
      <c r="P4" s="246"/>
    </row>
    <row r="5" spans="1:16" s="3" customFormat="1" ht="15">
      <c r="A5" s="63">
        <v>1</v>
      </c>
      <c r="B5" s="281" t="s">
        <v>551</v>
      </c>
      <c r="C5" s="144">
        <v>40088</v>
      </c>
      <c r="D5" s="257" t="s">
        <v>65</v>
      </c>
      <c r="E5" s="257" t="s">
        <v>66</v>
      </c>
      <c r="F5" s="258">
        <v>149</v>
      </c>
      <c r="G5" s="258">
        <v>149</v>
      </c>
      <c r="H5" s="258">
        <v>1</v>
      </c>
      <c r="I5" s="346">
        <v>511247.5</v>
      </c>
      <c r="J5" s="347">
        <v>56660</v>
      </c>
      <c r="K5" s="277">
        <f>+J5/G5</f>
        <v>380.2684563758389</v>
      </c>
      <c r="L5" s="282">
        <f>+I5/J5</f>
        <v>9.02307624426403</v>
      </c>
      <c r="M5" s="344">
        <v>511247.5</v>
      </c>
      <c r="N5" s="277">
        <v>56660</v>
      </c>
      <c r="O5" s="283">
        <f aca="true" t="shared" si="0" ref="O5:O15">+M5/N5</f>
        <v>9.02307624426403</v>
      </c>
      <c r="P5" s="345">
        <v>1</v>
      </c>
    </row>
    <row r="6" spans="1:16" s="3" customFormat="1" ht="15">
      <c r="A6" s="63">
        <v>2</v>
      </c>
      <c r="B6" s="49" t="s">
        <v>541</v>
      </c>
      <c r="C6" s="39">
        <v>40081</v>
      </c>
      <c r="D6" s="44" t="s">
        <v>131</v>
      </c>
      <c r="E6" s="44" t="s">
        <v>111</v>
      </c>
      <c r="F6" s="41">
        <v>61</v>
      </c>
      <c r="G6" s="41">
        <v>79</v>
      </c>
      <c r="H6" s="41">
        <v>2</v>
      </c>
      <c r="I6" s="348">
        <v>455643</v>
      </c>
      <c r="J6" s="349">
        <v>44487</v>
      </c>
      <c r="K6" s="138">
        <f>J6/G6</f>
        <v>563.126582278481</v>
      </c>
      <c r="L6" s="139">
        <f>+I6/J6</f>
        <v>10.242160631195631</v>
      </c>
      <c r="M6" s="301">
        <v>1294966</v>
      </c>
      <c r="N6" s="138">
        <v>124476</v>
      </c>
      <c r="O6" s="103">
        <f t="shared" si="0"/>
        <v>10.403338796233813</v>
      </c>
      <c r="P6" s="345"/>
    </row>
    <row r="7" spans="1:16" s="3" customFormat="1" ht="15.75" thickBot="1">
      <c r="A7" s="270">
        <v>3</v>
      </c>
      <c r="B7" s="287" t="s">
        <v>521</v>
      </c>
      <c r="C7" s="259">
        <v>40081</v>
      </c>
      <c r="D7" s="260" t="s">
        <v>130</v>
      </c>
      <c r="E7" s="260" t="s">
        <v>63</v>
      </c>
      <c r="F7" s="261">
        <v>70</v>
      </c>
      <c r="G7" s="261">
        <v>70</v>
      </c>
      <c r="H7" s="261">
        <v>2</v>
      </c>
      <c r="I7" s="350">
        <v>427047</v>
      </c>
      <c r="J7" s="351">
        <v>40272</v>
      </c>
      <c r="K7" s="272">
        <f>J7/G7</f>
        <v>575.3142857142857</v>
      </c>
      <c r="L7" s="285">
        <f>I7/J7</f>
        <v>10.604067342073897</v>
      </c>
      <c r="M7" s="302">
        <v>1011704</v>
      </c>
      <c r="N7" s="272">
        <v>96292</v>
      </c>
      <c r="O7" s="286">
        <f t="shared" si="0"/>
        <v>10.506625680222657</v>
      </c>
      <c r="P7" s="247"/>
    </row>
    <row r="8" spans="1:16" s="3" customFormat="1" ht="15">
      <c r="A8" s="64">
        <v>4</v>
      </c>
      <c r="B8" s="213" t="s">
        <v>552</v>
      </c>
      <c r="C8" s="262">
        <v>40088</v>
      </c>
      <c r="D8" s="263" t="s">
        <v>4</v>
      </c>
      <c r="E8" s="263" t="s">
        <v>77</v>
      </c>
      <c r="F8" s="214">
        <v>53</v>
      </c>
      <c r="G8" s="214">
        <v>53</v>
      </c>
      <c r="H8" s="214">
        <v>1</v>
      </c>
      <c r="I8" s="352">
        <v>278215</v>
      </c>
      <c r="J8" s="353">
        <v>26123</v>
      </c>
      <c r="K8" s="221">
        <f>+J8/G8</f>
        <v>492.8867924528302</v>
      </c>
      <c r="L8" s="224">
        <f>+I8/J8</f>
        <v>10.650193316234736</v>
      </c>
      <c r="M8" s="303">
        <v>278215</v>
      </c>
      <c r="N8" s="221">
        <v>26123</v>
      </c>
      <c r="O8" s="225">
        <f t="shared" si="0"/>
        <v>10.650193316234736</v>
      </c>
      <c r="P8" s="345"/>
    </row>
    <row r="9" spans="1:16" s="7" customFormat="1" ht="15">
      <c r="A9" s="63">
        <v>5</v>
      </c>
      <c r="B9" s="49" t="s">
        <v>524</v>
      </c>
      <c r="C9" s="39">
        <v>40074</v>
      </c>
      <c r="D9" s="44" t="s">
        <v>131</v>
      </c>
      <c r="E9" s="44" t="s">
        <v>111</v>
      </c>
      <c r="F9" s="41">
        <v>61</v>
      </c>
      <c r="G9" s="41">
        <v>62</v>
      </c>
      <c r="H9" s="41">
        <v>3</v>
      </c>
      <c r="I9" s="348">
        <v>184332</v>
      </c>
      <c r="J9" s="349">
        <v>18062</v>
      </c>
      <c r="K9" s="138">
        <f>J9/G9</f>
        <v>291.3225806451613</v>
      </c>
      <c r="L9" s="139">
        <f>+I9/J9</f>
        <v>10.205514339497286</v>
      </c>
      <c r="M9" s="301">
        <v>864177</v>
      </c>
      <c r="N9" s="138">
        <v>82783</v>
      </c>
      <c r="O9" s="103">
        <f t="shared" si="0"/>
        <v>10.439063575854947</v>
      </c>
      <c r="P9" s="345"/>
    </row>
    <row r="10" spans="1:16" s="7" customFormat="1" ht="15">
      <c r="A10" s="63">
        <v>6</v>
      </c>
      <c r="B10" s="49" t="s">
        <v>553</v>
      </c>
      <c r="C10" s="39">
        <v>40088</v>
      </c>
      <c r="D10" s="44" t="s">
        <v>131</v>
      </c>
      <c r="E10" s="44" t="s">
        <v>43</v>
      </c>
      <c r="F10" s="41">
        <v>40</v>
      </c>
      <c r="G10" s="41">
        <v>40</v>
      </c>
      <c r="H10" s="41">
        <v>1</v>
      </c>
      <c r="I10" s="348">
        <v>167990</v>
      </c>
      <c r="J10" s="349">
        <v>15437</v>
      </c>
      <c r="K10" s="138">
        <f>J10/G10</f>
        <v>385.925</v>
      </c>
      <c r="L10" s="139">
        <f>+I10/J10</f>
        <v>10.882295782859364</v>
      </c>
      <c r="M10" s="301">
        <v>167990</v>
      </c>
      <c r="N10" s="138">
        <v>15437</v>
      </c>
      <c r="O10" s="103">
        <f t="shared" si="0"/>
        <v>10.882295782859364</v>
      </c>
      <c r="P10" s="345"/>
    </row>
    <row r="11" spans="1:16" s="7" customFormat="1" ht="15">
      <c r="A11" s="63">
        <v>7</v>
      </c>
      <c r="B11" s="49" t="s">
        <v>501</v>
      </c>
      <c r="C11" s="39">
        <v>40009</v>
      </c>
      <c r="D11" s="44" t="s">
        <v>130</v>
      </c>
      <c r="E11" s="44" t="s">
        <v>122</v>
      </c>
      <c r="F11" s="41">
        <v>19</v>
      </c>
      <c r="G11" s="41">
        <v>30</v>
      </c>
      <c r="H11" s="41">
        <v>6</v>
      </c>
      <c r="I11" s="348">
        <v>148847</v>
      </c>
      <c r="J11" s="349">
        <v>12718</v>
      </c>
      <c r="K11" s="138">
        <f>J11/G11</f>
        <v>423.93333333333334</v>
      </c>
      <c r="L11" s="139">
        <f>I11/J11</f>
        <v>11.703648372385596</v>
      </c>
      <c r="M11" s="301">
        <v>2891030</v>
      </c>
      <c r="N11" s="138">
        <v>251599</v>
      </c>
      <c r="O11" s="103">
        <f t="shared" si="0"/>
        <v>11.490625956382974</v>
      </c>
      <c r="P11" s="247"/>
    </row>
    <row r="12" spans="1:16" s="7" customFormat="1" ht="15">
      <c r="A12" s="63">
        <v>8</v>
      </c>
      <c r="B12" s="49" t="s">
        <v>525</v>
      </c>
      <c r="C12" s="39">
        <v>40074</v>
      </c>
      <c r="D12" s="44" t="s">
        <v>132</v>
      </c>
      <c r="E12" s="44" t="s">
        <v>13</v>
      </c>
      <c r="F12" s="41">
        <v>201</v>
      </c>
      <c r="G12" s="41">
        <v>175</v>
      </c>
      <c r="H12" s="41">
        <v>3</v>
      </c>
      <c r="I12" s="348">
        <v>93279.75</v>
      </c>
      <c r="J12" s="349">
        <v>13952</v>
      </c>
      <c r="K12" s="138">
        <f>+J12/G12</f>
        <v>79.72571428571429</v>
      </c>
      <c r="L12" s="139">
        <f>+I12/J12</f>
        <v>6.68576189793578</v>
      </c>
      <c r="M12" s="301">
        <f>492395.5+172608.75+93279.75</f>
        <v>758284</v>
      </c>
      <c r="N12" s="138">
        <f>60122+23227+13952</f>
        <v>97301</v>
      </c>
      <c r="O12" s="103">
        <f t="shared" si="0"/>
        <v>7.79317787073103</v>
      </c>
      <c r="P12" s="345">
        <v>1</v>
      </c>
    </row>
    <row r="13" spans="1:16" s="7" customFormat="1" ht="15">
      <c r="A13" s="63">
        <v>9</v>
      </c>
      <c r="B13" s="49" t="s">
        <v>554</v>
      </c>
      <c r="C13" s="39">
        <v>40088</v>
      </c>
      <c r="D13" s="44" t="s">
        <v>136</v>
      </c>
      <c r="E13" s="44" t="s">
        <v>555</v>
      </c>
      <c r="F13" s="41">
        <v>55</v>
      </c>
      <c r="G13" s="41">
        <v>55</v>
      </c>
      <c r="H13" s="41">
        <v>1</v>
      </c>
      <c r="I13" s="348">
        <v>85463</v>
      </c>
      <c r="J13" s="349">
        <v>9228</v>
      </c>
      <c r="K13" s="138">
        <f>+J13/G13</f>
        <v>167.78181818181818</v>
      </c>
      <c r="L13" s="139">
        <f>+I13/J13</f>
        <v>9.261270047680972</v>
      </c>
      <c r="M13" s="301">
        <v>85463</v>
      </c>
      <c r="N13" s="138">
        <v>9228</v>
      </c>
      <c r="O13" s="103">
        <f t="shared" si="0"/>
        <v>9.261270047680972</v>
      </c>
      <c r="P13" s="345">
        <v>1</v>
      </c>
    </row>
    <row r="14" spans="1:16" s="7" customFormat="1" ht="15">
      <c r="A14" s="63">
        <v>10</v>
      </c>
      <c r="B14" s="49" t="s">
        <v>526</v>
      </c>
      <c r="C14" s="39">
        <v>40074</v>
      </c>
      <c r="D14" s="44" t="s">
        <v>136</v>
      </c>
      <c r="E14" s="44" t="s">
        <v>24</v>
      </c>
      <c r="F14" s="41">
        <v>142</v>
      </c>
      <c r="G14" s="41">
        <v>104</v>
      </c>
      <c r="H14" s="41">
        <v>3</v>
      </c>
      <c r="I14" s="348">
        <v>73415</v>
      </c>
      <c r="J14" s="349">
        <v>10656</v>
      </c>
      <c r="K14" s="138">
        <f>+J14/G14</f>
        <v>102.46153846153847</v>
      </c>
      <c r="L14" s="139">
        <f>+I14/J14</f>
        <v>6.8895457957957955</v>
      </c>
      <c r="M14" s="301">
        <v>744731.5</v>
      </c>
      <c r="N14" s="138">
        <v>91439</v>
      </c>
      <c r="O14" s="103">
        <f t="shared" si="0"/>
        <v>8.144571791030085</v>
      </c>
      <c r="P14" s="345">
        <v>1</v>
      </c>
    </row>
    <row r="15" spans="1:16" s="7" customFormat="1" ht="15">
      <c r="A15" s="63">
        <v>11</v>
      </c>
      <c r="B15" s="49" t="s">
        <v>491</v>
      </c>
      <c r="C15" s="39">
        <v>40046</v>
      </c>
      <c r="D15" s="44" t="s">
        <v>131</v>
      </c>
      <c r="E15" s="44" t="s">
        <v>43</v>
      </c>
      <c r="F15" s="41">
        <v>55</v>
      </c>
      <c r="G15" s="41">
        <v>54</v>
      </c>
      <c r="H15" s="41">
        <v>7</v>
      </c>
      <c r="I15" s="348">
        <v>58239</v>
      </c>
      <c r="J15" s="349">
        <v>7559</v>
      </c>
      <c r="K15" s="138">
        <f>J15/G15</f>
        <v>139.9814814814815</v>
      </c>
      <c r="L15" s="139">
        <f>+I15/J15</f>
        <v>7.704590554306125</v>
      </c>
      <c r="M15" s="301">
        <v>2833337</v>
      </c>
      <c r="N15" s="138">
        <v>278558</v>
      </c>
      <c r="O15" s="103">
        <f t="shared" si="0"/>
        <v>10.17144364907847</v>
      </c>
      <c r="P15" s="345"/>
    </row>
    <row r="16" spans="1:16" s="7" customFormat="1" ht="15">
      <c r="A16" s="63">
        <v>12</v>
      </c>
      <c r="B16" s="49" t="s">
        <v>423</v>
      </c>
      <c r="C16" s="39">
        <v>39995</v>
      </c>
      <c r="D16" s="44" t="s">
        <v>134</v>
      </c>
      <c r="E16" s="44" t="s">
        <v>133</v>
      </c>
      <c r="F16" s="41">
        <v>209</v>
      </c>
      <c r="G16" s="41">
        <v>82</v>
      </c>
      <c r="H16" s="41">
        <v>14</v>
      </c>
      <c r="I16" s="348">
        <v>54821.5</v>
      </c>
      <c r="J16" s="349">
        <v>6695</v>
      </c>
      <c r="K16" s="138">
        <f>(J16/G16)</f>
        <v>81.64634146341463</v>
      </c>
      <c r="L16" s="139">
        <f>I16/J16</f>
        <v>8.18842419716206</v>
      </c>
      <c r="M16" s="301">
        <f>872160.5+3062686.25+2016658.5+1330226.25+943221.5+742732+516667.5+450351.5+331944.75+238834+191406+133484.5+252388.75+88483.5+54821.5</f>
        <v>11226067</v>
      </c>
      <c r="N16" s="138">
        <f>115039+364710+241056+162109+115810+90639+66180+59650+44695+33272+25508+18324+32600+11489+6695</f>
        <v>1387776</v>
      </c>
      <c r="O16" s="103">
        <f>M16/N16</f>
        <v>8.08924999423538</v>
      </c>
      <c r="P16" s="345"/>
    </row>
    <row r="17" spans="1:16" s="7" customFormat="1" ht="15">
      <c r="A17" s="63">
        <v>13</v>
      </c>
      <c r="B17" s="49" t="s">
        <v>527</v>
      </c>
      <c r="C17" s="39">
        <v>40074</v>
      </c>
      <c r="D17" s="44" t="s">
        <v>136</v>
      </c>
      <c r="E17" s="44" t="s">
        <v>376</v>
      </c>
      <c r="F17" s="41">
        <v>65</v>
      </c>
      <c r="G17" s="41">
        <v>49</v>
      </c>
      <c r="H17" s="41">
        <v>3</v>
      </c>
      <c r="I17" s="348">
        <v>42987.5</v>
      </c>
      <c r="J17" s="349">
        <v>5931</v>
      </c>
      <c r="K17" s="138">
        <f>+J17/G17</f>
        <v>121.04081632653062</v>
      </c>
      <c r="L17" s="139">
        <f>+I17/J17</f>
        <v>7.247934581015006</v>
      </c>
      <c r="M17" s="301">
        <v>514997.5</v>
      </c>
      <c r="N17" s="138">
        <v>55514</v>
      </c>
      <c r="O17" s="103">
        <f>+M17/N17</f>
        <v>9.276894116799365</v>
      </c>
      <c r="P17" s="345"/>
    </row>
    <row r="18" spans="1:16" s="7" customFormat="1" ht="15">
      <c r="A18" s="63">
        <v>14</v>
      </c>
      <c r="B18" s="49" t="s">
        <v>556</v>
      </c>
      <c r="C18" s="39">
        <v>40088</v>
      </c>
      <c r="D18" s="44" t="s">
        <v>130</v>
      </c>
      <c r="E18" s="44" t="s">
        <v>557</v>
      </c>
      <c r="F18" s="41">
        <v>10</v>
      </c>
      <c r="G18" s="41">
        <v>10</v>
      </c>
      <c r="H18" s="41">
        <v>1</v>
      </c>
      <c r="I18" s="348">
        <v>29098</v>
      </c>
      <c r="J18" s="349">
        <v>2434</v>
      </c>
      <c r="K18" s="138">
        <f>J18/G18</f>
        <v>243.4</v>
      </c>
      <c r="L18" s="139">
        <f>I18/J18</f>
        <v>11.95480690221857</v>
      </c>
      <c r="M18" s="301">
        <v>29098</v>
      </c>
      <c r="N18" s="138">
        <v>2434</v>
      </c>
      <c r="O18" s="103">
        <f>+M18/N18</f>
        <v>11.95480690221857</v>
      </c>
      <c r="P18" s="247"/>
    </row>
    <row r="19" spans="1:16" s="7" customFormat="1" ht="15">
      <c r="A19" s="63">
        <v>15</v>
      </c>
      <c r="B19" s="49" t="s">
        <v>558</v>
      </c>
      <c r="C19" s="39">
        <v>40088</v>
      </c>
      <c r="D19" s="44" t="s">
        <v>134</v>
      </c>
      <c r="E19" s="44" t="s">
        <v>559</v>
      </c>
      <c r="F19" s="41">
        <v>22</v>
      </c>
      <c r="G19" s="41">
        <v>22</v>
      </c>
      <c r="H19" s="41">
        <v>1</v>
      </c>
      <c r="I19" s="348">
        <v>25195</v>
      </c>
      <c r="J19" s="349">
        <v>2139</v>
      </c>
      <c r="K19" s="138">
        <f>(J19/G19)</f>
        <v>97.22727272727273</v>
      </c>
      <c r="L19" s="139">
        <f>I19/J19</f>
        <v>11.778868630201028</v>
      </c>
      <c r="M19" s="301">
        <f>25195</f>
        <v>25195</v>
      </c>
      <c r="N19" s="138">
        <f>2139</f>
        <v>2139</v>
      </c>
      <c r="O19" s="103">
        <f>M19/N19</f>
        <v>11.778868630201028</v>
      </c>
      <c r="P19" s="345"/>
    </row>
    <row r="20" spans="1:16" s="7" customFormat="1" ht="15">
      <c r="A20" s="63">
        <v>16</v>
      </c>
      <c r="B20" s="49" t="s">
        <v>518</v>
      </c>
      <c r="C20" s="39">
        <v>40067</v>
      </c>
      <c r="D20" s="44" t="s">
        <v>136</v>
      </c>
      <c r="E20" s="44" t="s">
        <v>376</v>
      </c>
      <c r="F20" s="41">
        <v>105</v>
      </c>
      <c r="G20" s="41">
        <v>54</v>
      </c>
      <c r="H20" s="41">
        <v>4</v>
      </c>
      <c r="I20" s="348">
        <v>24683</v>
      </c>
      <c r="J20" s="349">
        <v>3571</v>
      </c>
      <c r="K20" s="138">
        <f>+J20/G20</f>
        <v>66.12962962962963</v>
      </c>
      <c r="L20" s="139">
        <f>+I20/J20</f>
        <v>6.9120694483338</v>
      </c>
      <c r="M20" s="301">
        <v>573494.75</v>
      </c>
      <c r="N20" s="138">
        <v>65118</v>
      </c>
      <c r="O20" s="103">
        <f>+M20/N20</f>
        <v>8.807008046930187</v>
      </c>
      <c r="P20" s="345"/>
    </row>
    <row r="21" spans="1:16" s="7" customFormat="1" ht="15">
      <c r="A21" s="63">
        <v>17</v>
      </c>
      <c r="B21" s="49" t="s">
        <v>519</v>
      </c>
      <c r="C21" s="39">
        <v>40067</v>
      </c>
      <c r="D21" s="44" t="s">
        <v>134</v>
      </c>
      <c r="E21" s="44" t="s">
        <v>133</v>
      </c>
      <c r="F21" s="41">
        <v>51</v>
      </c>
      <c r="G21" s="41">
        <v>37</v>
      </c>
      <c r="H21" s="41">
        <v>4</v>
      </c>
      <c r="I21" s="348">
        <v>20114</v>
      </c>
      <c r="J21" s="349">
        <v>2859</v>
      </c>
      <c r="K21" s="138">
        <f>(J21/G21)</f>
        <v>77.27027027027027</v>
      </c>
      <c r="L21" s="139">
        <f>I21/J21</f>
        <v>7.035327037425673</v>
      </c>
      <c r="M21" s="301">
        <f>182949+180053+29827+20114</f>
        <v>412943</v>
      </c>
      <c r="N21" s="138">
        <f>18625+17802+3355+2859</f>
        <v>42641</v>
      </c>
      <c r="O21" s="103">
        <f>M21/N21</f>
        <v>9.684177200347083</v>
      </c>
      <c r="P21" s="345"/>
    </row>
    <row r="22" spans="1:16" s="7" customFormat="1" ht="15">
      <c r="A22" s="63">
        <v>18</v>
      </c>
      <c r="B22" s="49" t="s">
        <v>542</v>
      </c>
      <c r="C22" s="39">
        <v>40081</v>
      </c>
      <c r="D22" s="44" t="s">
        <v>132</v>
      </c>
      <c r="E22" s="44" t="s">
        <v>560</v>
      </c>
      <c r="F22" s="41">
        <v>30</v>
      </c>
      <c r="G22" s="41">
        <v>28</v>
      </c>
      <c r="H22" s="41">
        <v>2</v>
      </c>
      <c r="I22" s="348">
        <v>18333.5</v>
      </c>
      <c r="J22" s="349">
        <v>2128</v>
      </c>
      <c r="K22" s="138">
        <f>+J22/G22</f>
        <v>76</v>
      </c>
      <c r="L22" s="139">
        <f>+I22/J22</f>
        <v>8.615366541353383</v>
      </c>
      <c r="M22" s="301">
        <f>50711+18333.5</f>
        <v>69044.5</v>
      </c>
      <c r="N22" s="138">
        <f>4935+2128</f>
        <v>7063</v>
      </c>
      <c r="O22" s="103">
        <f>+M22/N22</f>
        <v>9.77552031714569</v>
      </c>
      <c r="P22" s="345">
        <v>1</v>
      </c>
    </row>
    <row r="23" spans="1:16" s="7" customFormat="1" ht="15">
      <c r="A23" s="63">
        <v>19</v>
      </c>
      <c r="B23" s="49" t="s">
        <v>561</v>
      </c>
      <c r="C23" s="39">
        <v>40088</v>
      </c>
      <c r="D23" s="44" t="s">
        <v>329</v>
      </c>
      <c r="E23" s="44" t="s">
        <v>393</v>
      </c>
      <c r="F23" s="41">
        <v>25</v>
      </c>
      <c r="G23" s="41">
        <v>25</v>
      </c>
      <c r="H23" s="41">
        <v>1</v>
      </c>
      <c r="I23" s="348">
        <v>17477.75</v>
      </c>
      <c r="J23" s="349">
        <v>2524</v>
      </c>
      <c r="K23" s="138">
        <f>+J23/G23</f>
        <v>100.96</v>
      </c>
      <c r="L23" s="139">
        <f>+I23/J23</f>
        <v>6.924623613312203</v>
      </c>
      <c r="M23" s="301">
        <v>17477.75</v>
      </c>
      <c r="N23" s="138">
        <v>2524</v>
      </c>
      <c r="O23" s="103">
        <f>+M23/N23</f>
        <v>6.924623613312203</v>
      </c>
      <c r="P23" s="345">
        <v>1</v>
      </c>
    </row>
    <row r="24" spans="1:16" s="7" customFormat="1" ht="15">
      <c r="A24" s="63">
        <v>20</v>
      </c>
      <c r="B24" s="49" t="s">
        <v>530</v>
      </c>
      <c r="C24" s="39">
        <v>40074</v>
      </c>
      <c r="D24" s="44" t="s">
        <v>430</v>
      </c>
      <c r="E24" s="44" t="s">
        <v>430</v>
      </c>
      <c r="F24" s="41" t="s">
        <v>522</v>
      </c>
      <c r="G24" s="41" t="s">
        <v>522</v>
      </c>
      <c r="H24" s="41" t="s">
        <v>562</v>
      </c>
      <c r="I24" s="348">
        <v>17106</v>
      </c>
      <c r="J24" s="349">
        <v>2296</v>
      </c>
      <c r="K24" s="138">
        <f>+J24/G24</f>
        <v>208.72727272727272</v>
      </c>
      <c r="L24" s="139">
        <f>+I24/J24</f>
        <v>7.450348432055749</v>
      </c>
      <c r="M24" s="301">
        <v>102415.5</v>
      </c>
      <c r="N24" s="138">
        <v>10478</v>
      </c>
      <c r="O24" s="103">
        <f>+M24/N24</f>
        <v>9.774336705478145</v>
      </c>
      <c r="P24" s="345"/>
    </row>
    <row r="25" spans="1:16" s="7" customFormat="1" ht="15">
      <c r="A25" s="63">
        <v>21</v>
      </c>
      <c r="B25" s="49" t="s">
        <v>528</v>
      </c>
      <c r="C25" s="39">
        <v>40074</v>
      </c>
      <c r="D25" s="44" t="s">
        <v>130</v>
      </c>
      <c r="E25" s="44" t="s">
        <v>543</v>
      </c>
      <c r="F25" s="41">
        <v>66</v>
      </c>
      <c r="G25" s="41">
        <v>31</v>
      </c>
      <c r="H25" s="41">
        <v>3</v>
      </c>
      <c r="I25" s="348">
        <v>15402</v>
      </c>
      <c r="J25" s="349">
        <v>2544</v>
      </c>
      <c r="K25" s="138">
        <f>J25/G25</f>
        <v>82.06451612903226</v>
      </c>
      <c r="L25" s="139">
        <f>I25/J25</f>
        <v>6.054245283018868</v>
      </c>
      <c r="M25" s="301">
        <v>212470</v>
      </c>
      <c r="N25" s="138">
        <v>25878</v>
      </c>
      <c r="O25" s="103">
        <f>+M25/N25</f>
        <v>8.210449030064147</v>
      </c>
      <c r="P25" s="247">
        <v>1</v>
      </c>
    </row>
    <row r="26" spans="1:16" s="7" customFormat="1" ht="15">
      <c r="A26" s="63">
        <v>22</v>
      </c>
      <c r="B26" s="49" t="s">
        <v>529</v>
      </c>
      <c r="C26" s="39">
        <v>40074</v>
      </c>
      <c r="D26" s="44" t="s">
        <v>134</v>
      </c>
      <c r="E26" s="44" t="s">
        <v>386</v>
      </c>
      <c r="F26" s="41">
        <v>30</v>
      </c>
      <c r="G26" s="41">
        <v>27</v>
      </c>
      <c r="H26" s="41">
        <v>3</v>
      </c>
      <c r="I26" s="348">
        <v>14932</v>
      </c>
      <c r="J26" s="349">
        <v>2442</v>
      </c>
      <c r="K26" s="138">
        <f>(J26/G26)</f>
        <v>90.44444444444444</v>
      </c>
      <c r="L26" s="139">
        <f>I26/J26</f>
        <v>6.114660114660115</v>
      </c>
      <c r="M26" s="301">
        <f>119088.25+23049.75+14932</f>
        <v>157070</v>
      </c>
      <c r="N26" s="138">
        <f>10957+2278+2442</f>
        <v>15677</v>
      </c>
      <c r="O26" s="103">
        <f>M26/N26</f>
        <v>10.019136314345857</v>
      </c>
      <c r="P26" s="345"/>
    </row>
    <row r="27" spans="1:16" s="7" customFormat="1" ht="15">
      <c r="A27" s="63">
        <v>23</v>
      </c>
      <c r="B27" s="49" t="s">
        <v>507</v>
      </c>
      <c r="C27" s="39">
        <v>40060</v>
      </c>
      <c r="D27" s="44" t="s">
        <v>130</v>
      </c>
      <c r="E27" s="44" t="s">
        <v>122</v>
      </c>
      <c r="F27" s="41">
        <v>82</v>
      </c>
      <c r="G27" s="41">
        <v>24</v>
      </c>
      <c r="H27" s="41">
        <v>5</v>
      </c>
      <c r="I27" s="348">
        <v>11599</v>
      </c>
      <c r="J27" s="349">
        <v>1816</v>
      </c>
      <c r="K27" s="138">
        <f>J27/G27</f>
        <v>75.66666666666667</v>
      </c>
      <c r="L27" s="139">
        <f>I27/J27</f>
        <v>6.387114537444934</v>
      </c>
      <c r="M27" s="301">
        <v>654748</v>
      </c>
      <c r="N27" s="138">
        <v>75847</v>
      </c>
      <c r="O27" s="103">
        <f>+M27/N27</f>
        <v>8.632483816103472</v>
      </c>
      <c r="P27" s="247"/>
    </row>
    <row r="28" spans="1:16" s="7" customFormat="1" ht="15">
      <c r="A28" s="63">
        <v>24</v>
      </c>
      <c r="B28" s="49" t="s">
        <v>520</v>
      </c>
      <c r="C28" s="39">
        <v>40067</v>
      </c>
      <c r="D28" s="44" t="s">
        <v>132</v>
      </c>
      <c r="E28" s="44" t="s">
        <v>13</v>
      </c>
      <c r="F28" s="41">
        <v>34</v>
      </c>
      <c r="G28" s="41">
        <v>21</v>
      </c>
      <c r="H28" s="41">
        <v>4</v>
      </c>
      <c r="I28" s="348">
        <v>11088.5</v>
      </c>
      <c r="J28" s="349">
        <v>1731</v>
      </c>
      <c r="K28" s="138">
        <f>+J28/G28</f>
        <v>82.42857142857143</v>
      </c>
      <c r="L28" s="139">
        <f>+I28/J28</f>
        <v>6.405834777585211</v>
      </c>
      <c r="M28" s="301">
        <f>104798.5+73267.5-54+19255+11088.5</f>
        <v>208355.5</v>
      </c>
      <c r="N28" s="138">
        <f>10391+7949-1+2890+1731</f>
        <v>22960</v>
      </c>
      <c r="O28" s="103">
        <f>+M28/N28</f>
        <v>9.074716898954703</v>
      </c>
      <c r="P28" s="345"/>
    </row>
    <row r="29" spans="1:16" s="7" customFormat="1" ht="15">
      <c r="A29" s="63">
        <v>25</v>
      </c>
      <c r="B29" s="49" t="s">
        <v>544</v>
      </c>
      <c r="C29" s="39">
        <v>40081</v>
      </c>
      <c r="D29" s="44" t="s">
        <v>65</v>
      </c>
      <c r="E29" s="44" t="s">
        <v>545</v>
      </c>
      <c r="F29" s="41">
        <v>40</v>
      </c>
      <c r="G29" s="41">
        <v>34</v>
      </c>
      <c r="H29" s="41">
        <v>2</v>
      </c>
      <c r="I29" s="348">
        <v>10339</v>
      </c>
      <c r="J29" s="349">
        <v>1415</v>
      </c>
      <c r="K29" s="138">
        <f>+J29/G29</f>
        <v>41.61764705882353</v>
      </c>
      <c r="L29" s="139">
        <f>+I29/J29</f>
        <v>7.306713780918728</v>
      </c>
      <c r="M29" s="301">
        <f>25203+10339</f>
        <v>35542</v>
      </c>
      <c r="N29" s="138">
        <f>3326+1415</f>
        <v>4741</v>
      </c>
      <c r="O29" s="103">
        <f>+M29/N29</f>
        <v>7.496730647542712</v>
      </c>
      <c r="P29" s="345">
        <v>1</v>
      </c>
    </row>
    <row r="30" spans="1:16" s="7" customFormat="1" ht="15">
      <c r="A30" s="63">
        <v>26</v>
      </c>
      <c r="B30" s="49" t="s">
        <v>481</v>
      </c>
      <c r="C30" s="39">
        <v>40039</v>
      </c>
      <c r="D30" s="44" t="s">
        <v>134</v>
      </c>
      <c r="E30" s="44" t="s">
        <v>112</v>
      </c>
      <c r="F30" s="41">
        <v>25</v>
      </c>
      <c r="G30" s="41">
        <v>25</v>
      </c>
      <c r="H30" s="41">
        <v>8</v>
      </c>
      <c r="I30" s="348">
        <v>8486.5</v>
      </c>
      <c r="J30" s="349">
        <v>1464</v>
      </c>
      <c r="K30" s="138">
        <f>(J30/G30)</f>
        <v>58.56</v>
      </c>
      <c r="L30" s="139">
        <f>I30/J30</f>
        <v>5.796789617486339</v>
      </c>
      <c r="M30" s="301">
        <f>82054.5+35940.5+27703.5+25295+22550+51818+15256.5+8486.5</f>
        <v>269104.5</v>
      </c>
      <c r="N30" s="138">
        <f>7776+4353+3786+3658+3453+8330+2528+1464</f>
        <v>35348</v>
      </c>
      <c r="O30" s="103">
        <f>M30/N30</f>
        <v>7.613004979065294</v>
      </c>
      <c r="P30" s="345"/>
    </row>
    <row r="31" spans="1:16" s="7" customFormat="1" ht="15">
      <c r="A31" s="63">
        <v>27</v>
      </c>
      <c r="B31" s="49" t="s">
        <v>532</v>
      </c>
      <c r="C31" s="39">
        <v>40074</v>
      </c>
      <c r="D31" s="44" t="s">
        <v>329</v>
      </c>
      <c r="E31" s="44" t="s">
        <v>533</v>
      </c>
      <c r="F31" s="41">
        <v>45</v>
      </c>
      <c r="G31" s="41">
        <v>43</v>
      </c>
      <c r="H31" s="41">
        <v>3</v>
      </c>
      <c r="I31" s="348">
        <v>8249.5</v>
      </c>
      <c r="J31" s="349">
        <v>1398</v>
      </c>
      <c r="K31" s="138">
        <f>+J31/G31</f>
        <v>32.51162790697674</v>
      </c>
      <c r="L31" s="139">
        <f>+I31/J31</f>
        <v>5.900929899856939</v>
      </c>
      <c r="M31" s="301">
        <v>83744.25</v>
      </c>
      <c r="N31" s="138">
        <v>12462</v>
      </c>
      <c r="O31" s="103">
        <f>+M31/N31</f>
        <v>6.719968704862783</v>
      </c>
      <c r="P31" s="345">
        <v>1</v>
      </c>
    </row>
    <row r="32" spans="1:16" s="7" customFormat="1" ht="15">
      <c r="A32" s="63">
        <v>28</v>
      </c>
      <c r="B32" s="49" t="s">
        <v>546</v>
      </c>
      <c r="C32" s="39">
        <v>40081</v>
      </c>
      <c r="D32" s="44" t="s">
        <v>134</v>
      </c>
      <c r="E32" s="44" t="s">
        <v>1</v>
      </c>
      <c r="F32" s="41">
        <v>10</v>
      </c>
      <c r="G32" s="41">
        <v>10</v>
      </c>
      <c r="H32" s="41">
        <v>2</v>
      </c>
      <c r="I32" s="348">
        <v>7416.5</v>
      </c>
      <c r="J32" s="349">
        <v>729</v>
      </c>
      <c r="K32" s="138">
        <f>(J32/G32)</f>
        <v>72.9</v>
      </c>
      <c r="L32" s="139">
        <f>I32/J32</f>
        <v>10.173525377229081</v>
      </c>
      <c r="M32" s="301">
        <f>15355.5+7416.5</f>
        <v>22772</v>
      </c>
      <c r="N32" s="138">
        <f>1226+729</f>
        <v>1955</v>
      </c>
      <c r="O32" s="103">
        <f>M32/N32</f>
        <v>11.648081841432225</v>
      </c>
      <c r="P32" s="345"/>
    </row>
    <row r="33" spans="1:16" s="7" customFormat="1" ht="15">
      <c r="A33" s="63">
        <v>29</v>
      </c>
      <c r="B33" s="49" t="s">
        <v>457</v>
      </c>
      <c r="C33" s="39">
        <v>40018</v>
      </c>
      <c r="D33" s="44" t="s">
        <v>134</v>
      </c>
      <c r="E33" s="44" t="s">
        <v>1</v>
      </c>
      <c r="F33" s="41">
        <v>15</v>
      </c>
      <c r="G33" s="41">
        <v>15</v>
      </c>
      <c r="H33" s="41">
        <v>11</v>
      </c>
      <c r="I33" s="348">
        <v>6178.5</v>
      </c>
      <c r="J33" s="349">
        <v>1136</v>
      </c>
      <c r="K33" s="138">
        <f>(J33/G33)</f>
        <v>75.73333333333333</v>
      </c>
      <c r="L33" s="139">
        <f>I33/J33</f>
        <v>5.438820422535211</v>
      </c>
      <c r="M33" s="301">
        <f>45223.5+15125.5+13165.5+20680+19677+12272.5+9852.5+20545+23906.5+7791.5+6178.5</f>
        <v>194418</v>
      </c>
      <c r="N33" s="138">
        <f>4304+2235+2006+3396+3048+1969+1588+2705+3867+1425+1136</f>
        <v>27679</v>
      </c>
      <c r="O33" s="103">
        <f>M33/N33</f>
        <v>7.024025434444886</v>
      </c>
      <c r="P33" s="345"/>
    </row>
    <row r="34" spans="1:16" s="7" customFormat="1" ht="15">
      <c r="A34" s="63">
        <v>30</v>
      </c>
      <c r="B34" s="49" t="s">
        <v>502</v>
      </c>
      <c r="C34" s="39">
        <v>40053</v>
      </c>
      <c r="D34" s="44" t="s">
        <v>131</v>
      </c>
      <c r="E34" s="44" t="s">
        <v>124</v>
      </c>
      <c r="F34" s="41">
        <v>82</v>
      </c>
      <c r="G34" s="41">
        <v>14</v>
      </c>
      <c r="H34" s="41">
        <v>6</v>
      </c>
      <c r="I34" s="348">
        <v>4768</v>
      </c>
      <c r="J34" s="349">
        <v>729</v>
      </c>
      <c r="K34" s="138">
        <f>J34/G34</f>
        <v>52.07142857142857</v>
      </c>
      <c r="L34" s="139">
        <f>+I34/J34</f>
        <v>6.540466392318244</v>
      </c>
      <c r="M34" s="301">
        <v>511594</v>
      </c>
      <c r="N34" s="138">
        <v>60696</v>
      </c>
      <c r="O34" s="103">
        <f>+M34/N34</f>
        <v>8.428792671675234</v>
      </c>
      <c r="P34" s="345"/>
    </row>
    <row r="35" spans="1:16" s="7" customFormat="1" ht="15">
      <c r="A35" s="63">
        <v>31</v>
      </c>
      <c r="B35" s="49" t="s">
        <v>531</v>
      </c>
      <c r="C35" s="39">
        <v>40032</v>
      </c>
      <c r="D35" s="44" t="s">
        <v>131</v>
      </c>
      <c r="E35" s="44" t="s">
        <v>127</v>
      </c>
      <c r="F35" s="41">
        <v>96</v>
      </c>
      <c r="G35" s="41">
        <v>9</v>
      </c>
      <c r="H35" s="41">
        <v>9</v>
      </c>
      <c r="I35" s="348">
        <v>4350</v>
      </c>
      <c r="J35" s="349">
        <v>962</v>
      </c>
      <c r="K35" s="138">
        <f>J35/G35</f>
        <v>106.88888888888889</v>
      </c>
      <c r="L35" s="139">
        <f>+I35/J35</f>
        <v>4.521829521829522</v>
      </c>
      <c r="M35" s="301">
        <v>1440555</v>
      </c>
      <c r="N35" s="138">
        <v>173227</v>
      </c>
      <c r="O35" s="103">
        <f>+M35/N35</f>
        <v>8.31599577433079</v>
      </c>
      <c r="P35" s="345"/>
    </row>
    <row r="36" spans="1:16" s="7" customFormat="1" ht="15">
      <c r="A36" s="63">
        <v>32</v>
      </c>
      <c r="B36" s="49" t="s">
        <v>477</v>
      </c>
      <c r="C36" s="39">
        <v>40039</v>
      </c>
      <c r="D36" s="44" t="s">
        <v>130</v>
      </c>
      <c r="E36" s="44" t="s">
        <v>122</v>
      </c>
      <c r="F36" s="41">
        <v>68</v>
      </c>
      <c r="G36" s="41">
        <v>2</v>
      </c>
      <c r="H36" s="41">
        <v>8</v>
      </c>
      <c r="I36" s="348">
        <v>4139</v>
      </c>
      <c r="J36" s="349">
        <v>1146</v>
      </c>
      <c r="K36" s="138">
        <f>J36/G36</f>
        <v>573</v>
      </c>
      <c r="L36" s="139">
        <f aca="true" t="shared" si="1" ref="L36:L42">I36/J36</f>
        <v>3.6116928446771377</v>
      </c>
      <c r="M36" s="301">
        <v>703696</v>
      </c>
      <c r="N36" s="138">
        <v>78814</v>
      </c>
      <c r="O36" s="103">
        <f>+M36/N36</f>
        <v>8.928565990813814</v>
      </c>
      <c r="P36" s="247"/>
    </row>
    <row r="37" spans="1:16" s="7" customFormat="1" ht="15">
      <c r="A37" s="63">
        <v>33</v>
      </c>
      <c r="B37" s="49" t="s">
        <v>492</v>
      </c>
      <c r="C37" s="39">
        <v>40046</v>
      </c>
      <c r="D37" s="44" t="s">
        <v>134</v>
      </c>
      <c r="E37" s="44" t="s">
        <v>106</v>
      </c>
      <c r="F37" s="41">
        <v>5</v>
      </c>
      <c r="G37" s="41">
        <v>5</v>
      </c>
      <c r="H37" s="41">
        <v>7</v>
      </c>
      <c r="I37" s="348">
        <v>4110</v>
      </c>
      <c r="J37" s="349">
        <v>662</v>
      </c>
      <c r="K37" s="138">
        <f aca="true" t="shared" si="2" ref="K37:K42">(J37/G37)</f>
        <v>132.4</v>
      </c>
      <c r="L37" s="139">
        <f t="shared" si="1"/>
        <v>6.20845921450151</v>
      </c>
      <c r="M37" s="301">
        <f>29266.75+13116.25+9279.25+8463+18147.5+3121+4110</f>
        <v>85503.75</v>
      </c>
      <c r="N37" s="138">
        <f>2425+1257+1223+1013+2360+455+662</f>
        <v>9395</v>
      </c>
      <c r="O37" s="103">
        <f aca="true" t="shared" si="3" ref="O37:O42">M37/N37</f>
        <v>9.100984566258647</v>
      </c>
      <c r="P37" s="345"/>
    </row>
    <row r="38" spans="1:16" s="7" customFormat="1" ht="15">
      <c r="A38" s="63">
        <v>34</v>
      </c>
      <c r="B38" s="49" t="s">
        <v>534</v>
      </c>
      <c r="C38" s="39">
        <v>40074</v>
      </c>
      <c r="D38" s="44" t="s">
        <v>134</v>
      </c>
      <c r="E38" s="44" t="s">
        <v>535</v>
      </c>
      <c r="F38" s="41">
        <v>7</v>
      </c>
      <c r="G38" s="41">
        <v>6</v>
      </c>
      <c r="H38" s="41">
        <v>3</v>
      </c>
      <c r="I38" s="348">
        <v>3754</v>
      </c>
      <c r="J38" s="349">
        <v>482</v>
      </c>
      <c r="K38" s="138">
        <f t="shared" si="2"/>
        <v>80.33333333333333</v>
      </c>
      <c r="L38" s="139">
        <f t="shared" si="1"/>
        <v>7.788381742738589</v>
      </c>
      <c r="M38" s="301">
        <f>24901+4873+3754</f>
        <v>33528</v>
      </c>
      <c r="N38" s="138">
        <f>2240+626+482</f>
        <v>3348</v>
      </c>
      <c r="O38" s="103">
        <f t="shared" si="3"/>
        <v>10.014336917562725</v>
      </c>
      <c r="P38" s="345"/>
    </row>
    <row r="39" spans="1:16" s="7" customFormat="1" ht="15">
      <c r="A39" s="63">
        <v>35</v>
      </c>
      <c r="B39" s="49" t="s">
        <v>425</v>
      </c>
      <c r="C39" s="39">
        <v>39990</v>
      </c>
      <c r="D39" s="44" t="s">
        <v>134</v>
      </c>
      <c r="E39" s="44" t="s">
        <v>1</v>
      </c>
      <c r="F39" s="41">
        <v>10</v>
      </c>
      <c r="G39" s="41">
        <v>7</v>
      </c>
      <c r="H39" s="41">
        <v>15</v>
      </c>
      <c r="I39" s="348">
        <v>3425</v>
      </c>
      <c r="J39" s="349">
        <v>727</v>
      </c>
      <c r="K39" s="138">
        <f t="shared" si="2"/>
        <v>103.85714285714286</v>
      </c>
      <c r="L39" s="139">
        <f t="shared" si="1"/>
        <v>4.711141678129298</v>
      </c>
      <c r="M39" s="301">
        <f>14867.25+9246+13679+8343+8450+11513+8265+6491+6221+11071.5+10480.5+14750.5+9437.5+5098.5+3425</f>
        <v>141338.75</v>
      </c>
      <c r="N39" s="138">
        <f>1843+1186+1532+1421+1482+1875+1461+1056+1040+1599+1597+2111+1730+929+727</f>
        <v>21589</v>
      </c>
      <c r="O39" s="103">
        <f t="shared" si="3"/>
        <v>6.546794663949234</v>
      </c>
      <c r="P39" s="345"/>
    </row>
    <row r="40" spans="1:16" s="7" customFormat="1" ht="15">
      <c r="A40" s="63">
        <v>36</v>
      </c>
      <c r="B40" s="49" t="s">
        <v>466</v>
      </c>
      <c r="C40" s="39">
        <v>40025</v>
      </c>
      <c r="D40" s="44" t="s">
        <v>134</v>
      </c>
      <c r="E40" s="44" t="s">
        <v>482</v>
      </c>
      <c r="F40" s="41">
        <v>35</v>
      </c>
      <c r="G40" s="41">
        <v>15</v>
      </c>
      <c r="H40" s="41">
        <v>10</v>
      </c>
      <c r="I40" s="348">
        <v>3140</v>
      </c>
      <c r="J40" s="349">
        <v>601</v>
      </c>
      <c r="K40" s="138">
        <f t="shared" si="2"/>
        <v>40.06666666666667</v>
      </c>
      <c r="L40" s="139">
        <f t="shared" si="1"/>
        <v>5.224625623960066</v>
      </c>
      <c r="M40" s="301">
        <f>80686.75+57621.25+37449.5+30026.25+26289+20158.25+17545+22430+6060+3140</f>
        <v>301406</v>
      </c>
      <c r="N40" s="138">
        <f>8139+7376+5420+4820+4330+3598+3165+3639+1073+601</f>
        <v>42161</v>
      </c>
      <c r="O40" s="103">
        <f t="shared" si="3"/>
        <v>7.148929105097127</v>
      </c>
      <c r="P40" s="345"/>
    </row>
    <row r="41" spans="1:16" s="7" customFormat="1" ht="15">
      <c r="A41" s="63">
        <v>37</v>
      </c>
      <c r="B41" s="49" t="s">
        <v>503</v>
      </c>
      <c r="C41" s="39">
        <v>40053</v>
      </c>
      <c r="D41" s="44" t="s">
        <v>134</v>
      </c>
      <c r="E41" s="44" t="s">
        <v>185</v>
      </c>
      <c r="F41" s="41">
        <v>14</v>
      </c>
      <c r="G41" s="41">
        <v>13</v>
      </c>
      <c r="H41" s="41">
        <v>6</v>
      </c>
      <c r="I41" s="348">
        <v>3126</v>
      </c>
      <c r="J41" s="349">
        <v>472</v>
      </c>
      <c r="K41" s="138">
        <f t="shared" si="2"/>
        <v>36.30769230769231</v>
      </c>
      <c r="L41" s="139">
        <f t="shared" si="1"/>
        <v>6.622881355932203</v>
      </c>
      <c r="M41" s="301">
        <f>46744+27773.5+29652+15092+1850+3126</f>
        <v>124237.5</v>
      </c>
      <c r="N41" s="138">
        <f>3724+2772+2752+1903+308+472</f>
        <v>11931</v>
      </c>
      <c r="O41" s="103">
        <f t="shared" si="3"/>
        <v>10.412999748554187</v>
      </c>
      <c r="P41" s="345"/>
    </row>
    <row r="42" spans="1:16" s="7" customFormat="1" ht="15">
      <c r="A42" s="63">
        <v>38</v>
      </c>
      <c r="B42" s="49" t="s">
        <v>432</v>
      </c>
      <c r="C42" s="39">
        <v>39997</v>
      </c>
      <c r="D42" s="44" t="s">
        <v>134</v>
      </c>
      <c r="E42" s="44" t="s">
        <v>433</v>
      </c>
      <c r="F42" s="41">
        <v>5</v>
      </c>
      <c r="G42" s="41">
        <v>5</v>
      </c>
      <c r="H42" s="41">
        <v>14</v>
      </c>
      <c r="I42" s="348">
        <v>2868</v>
      </c>
      <c r="J42" s="349">
        <v>424</v>
      </c>
      <c r="K42" s="138">
        <f t="shared" si="2"/>
        <v>84.8</v>
      </c>
      <c r="L42" s="139">
        <f t="shared" si="1"/>
        <v>6.764150943396227</v>
      </c>
      <c r="M42" s="301">
        <f>18914.5+7321+4028.5+1674+6130+4818.5+6984.5+5012.5+1695+4556+3587.5+1286+2931+2868</f>
        <v>71807</v>
      </c>
      <c r="N42" s="138">
        <f>1467+674+673+324+645+765+779+620+311+670+508+195+503+424</f>
        <v>8558</v>
      </c>
      <c r="O42" s="103">
        <f t="shared" si="3"/>
        <v>8.3906286515541</v>
      </c>
      <c r="P42" s="345"/>
    </row>
    <row r="43" spans="1:16" s="7" customFormat="1" ht="15">
      <c r="A43" s="63">
        <v>39</v>
      </c>
      <c r="B43" s="49" t="s">
        <v>429</v>
      </c>
      <c r="C43" s="39">
        <v>39997</v>
      </c>
      <c r="D43" s="44" t="s">
        <v>430</v>
      </c>
      <c r="E43" s="44" t="s">
        <v>430</v>
      </c>
      <c r="F43" s="41" t="s">
        <v>431</v>
      </c>
      <c r="G43" s="41" t="s">
        <v>431</v>
      </c>
      <c r="H43" s="41" t="s">
        <v>563</v>
      </c>
      <c r="I43" s="348">
        <v>2742</v>
      </c>
      <c r="J43" s="349">
        <v>522</v>
      </c>
      <c r="K43" s="138">
        <f>+J43/G43</f>
        <v>52.2</v>
      </c>
      <c r="L43" s="139">
        <f>+I43/J43</f>
        <v>5.252873563218391</v>
      </c>
      <c r="M43" s="301">
        <v>174399.5</v>
      </c>
      <c r="N43" s="138">
        <v>24550</v>
      </c>
      <c r="O43" s="103">
        <f>+M43/N43</f>
        <v>7.103849287169043</v>
      </c>
      <c r="P43" s="345"/>
    </row>
    <row r="44" spans="1:16" s="7" customFormat="1" ht="15">
      <c r="A44" s="63">
        <v>40</v>
      </c>
      <c r="B44" s="49" t="s">
        <v>459</v>
      </c>
      <c r="C44" s="39">
        <v>40025</v>
      </c>
      <c r="D44" s="44" t="s">
        <v>130</v>
      </c>
      <c r="E44" s="44" t="s">
        <v>63</v>
      </c>
      <c r="F44" s="41">
        <v>66</v>
      </c>
      <c r="G44" s="41">
        <v>3</v>
      </c>
      <c r="H44" s="41">
        <v>10</v>
      </c>
      <c r="I44" s="348">
        <v>2211</v>
      </c>
      <c r="J44" s="349">
        <v>601</v>
      </c>
      <c r="K44" s="138">
        <f>J44/G44</f>
        <v>200.33333333333334</v>
      </c>
      <c r="L44" s="139">
        <f aca="true" t="shared" si="4" ref="L44:L50">I44/J44</f>
        <v>3.6788685524126454</v>
      </c>
      <c r="M44" s="301">
        <v>1053912</v>
      </c>
      <c r="N44" s="138">
        <v>113776</v>
      </c>
      <c r="O44" s="103">
        <f>+M44/N44</f>
        <v>9.26304317254957</v>
      </c>
      <c r="P44" s="247"/>
    </row>
    <row r="45" spans="1:16" s="7" customFormat="1" ht="15">
      <c r="A45" s="63">
        <v>41</v>
      </c>
      <c r="B45" s="49" t="s">
        <v>369</v>
      </c>
      <c r="C45" s="39">
        <v>39955</v>
      </c>
      <c r="D45" s="44" t="s">
        <v>134</v>
      </c>
      <c r="E45" s="44" t="s">
        <v>133</v>
      </c>
      <c r="F45" s="41">
        <v>88</v>
      </c>
      <c r="G45" s="41">
        <v>2</v>
      </c>
      <c r="H45" s="41">
        <v>20</v>
      </c>
      <c r="I45" s="348">
        <v>2137</v>
      </c>
      <c r="J45" s="349">
        <v>181</v>
      </c>
      <c r="K45" s="138">
        <f>(J45/G45)</f>
        <v>90.5</v>
      </c>
      <c r="L45" s="139">
        <f t="shared" si="4"/>
        <v>11.806629834254144</v>
      </c>
      <c r="M45" s="301">
        <f>253985.25+197941+176827+129137.25+73306.5+36496.5+20735+12653+3137+3974+3108+6704.75+3312+1885+643+108556.75+31027+8660.5+1196.5+2137</f>
        <v>1075423</v>
      </c>
      <c r="N45" s="138">
        <f>26929+21325+23241+17550+10624+6388+4049+2644+577+882+663+1354+764+460+116+14641+4967+986+117+181</f>
        <v>138458</v>
      </c>
      <c r="O45" s="103">
        <f>M45/N45</f>
        <v>7.767142382527553</v>
      </c>
      <c r="P45" s="345"/>
    </row>
    <row r="46" spans="1:16" s="7" customFormat="1" ht="15">
      <c r="A46" s="63">
        <v>42</v>
      </c>
      <c r="B46" s="49" t="s">
        <v>467</v>
      </c>
      <c r="C46" s="39">
        <v>40025</v>
      </c>
      <c r="D46" s="44" t="s">
        <v>134</v>
      </c>
      <c r="E46" s="44" t="s">
        <v>475</v>
      </c>
      <c r="F46" s="41">
        <v>10</v>
      </c>
      <c r="G46" s="41">
        <v>8</v>
      </c>
      <c r="H46" s="41">
        <v>10</v>
      </c>
      <c r="I46" s="348">
        <v>1974.5</v>
      </c>
      <c r="J46" s="349">
        <v>332</v>
      </c>
      <c r="K46" s="138">
        <f>(J46/G46)</f>
        <v>41.5</v>
      </c>
      <c r="L46" s="139">
        <f t="shared" si="4"/>
        <v>5.947289156626506</v>
      </c>
      <c r="M46" s="301">
        <f>23895.25+11405+12713+6215.5+4805.5+6620.5+4577+3503+2191.5+1974.5</f>
        <v>77900.75</v>
      </c>
      <c r="N46" s="138">
        <f>2018+1197+1759+913+733+992+787+551+380+332</f>
        <v>9662</v>
      </c>
      <c r="O46" s="103">
        <f>M46/N46</f>
        <v>8.062590560960464</v>
      </c>
      <c r="P46" s="345"/>
    </row>
    <row r="47" spans="1:16" s="7" customFormat="1" ht="15">
      <c r="A47" s="63">
        <v>43</v>
      </c>
      <c r="B47" s="49" t="s">
        <v>443</v>
      </c>
      <c r="C47" s="39">
        <v>40004</v>
      </c>
      <c r="D47" s="44" t="s">
        <v>134</v>
      </c>
      <c r="E47" s="44" t="s">
        <v>1</v>
      </c>
      <c r="F47" s="41">
        <v>5</v>
      </c>
      <c r="G47" s="41">
        <v>5</v>
      </c>
      <c r="H47" s="41">
        <v>13</v>
      </c>
      <c r="I47" s="348">
        <v>1733</v>
      </c>
      <c r="J47" s="349">
        <v>380</v>
      </c>
      <c r="K47" s="138">
        <f>(J47/G47)</f>
        <v>76</v>
      </c>
      <c r="L47" s="139">
        <f t="shared" si="4"/>
        <v>4.560526315789474</v>
      </c>
      <c r="M47" s="301">
        <f>12262+4348+2671+2933+6131+3623+5390.5+3328+5489+4335.5+2834+692+1733</f>
        <v>55770</v>
      </c>
      <c r="N47" s="138">
        <f>987+621+328+425+668+454+641+568+755+596+524+127+380</f>
        <v>7074</v>
      </c>
      <c r="O47" s="103">
        <f>M47/N47</f>
        <v>7.883799830364715</v>
      </c>
      <c r="P47" s="345"/>
    </row>
    <row r="48" spans="1:16" s="7" customFormat="1" ht="15">
      <c r="A48" s="63">
        <v>44</v>
      </c>
      <c r="B48" s="49" t="s">
        <v>406</v>
      </c>
      <c r="C48" s="39">
        <v>39926</v>
      </c>
      <c r="D48" s="44" t="s">
        <v>134</v>
      </c>
      <c r="E48" s="44" t="s">
        <v>316</v>
      </c>
      <c r="F48" s="41">
        <v>40</v>
      </c>
      <c r="G48" s="41">
        <v>2</v>
      </c>
      <c r="H48" s="41">
        <v>21</v>
      </c>
      <c r="I48" s="348">
        <v>1477</v>
      </c>
      <c r="J48" s="349">
        <v>365</v>
      </c>
      <c r="K48" s="138">
        <f>(J48/G48)</f>
        <v>182.5</v>
      </c>
      <c r="L48" s="139">
        <f t="shared" si="4"/>
        <v>4.046575342465753</v>
      </c>
      <c r="M48" s="301">
        <f>35864.5+53058.5+35303.5+15734.5+12778.5+9687.5+8045+13953.5+10307+6140.75+1296+667+231+755+1970+2246+752.5+591.5+130+445+2051+750+1477</f>
        <v>214235.25</v>
      </c>
      <c r="N48" s="138">
        <f>3971+5771+3969+2398+2257+2131+1634+2509+1783+912+230+126+48+181+472+311+114+91+20+78+493+183+365</f>
        <v>30047</v>
      </c>
      <c r="O48" s="103">
        <f>M48/N48</f>
        <v>7.130004659366992</v>
      </c>
      <c r="P48" s="345"/>
    </row>
    <row r="49" spans="1:16" s="7" customFormat="1" ht="15">
      <c r="A49" s="63">
        <v>45</v>
      </c>
      <c r="B49" s="49" t="s">
        <v>547</v>
      </c>
      <c r="C49" s="39">
        <v>40009</v>
      </c>
      <c r="D49" s="44" t="s">
        <v>130</v>
      </c>
      <c r="E49" s="44" t="s">
        <v>122</v>
      </c>
      <c r="F49" s="41">
        <v>190</v>
      </c>
      <c r="G49" s="41">
        <v>9</v>
      </c>
      <c r="H49" s="41">
        <v>12</v>
      </c>
      <c r="I49" s="348">
        <v>1391</v>
      </c>
      <c r="J49" s="349">
        <v>177</v>
      </c>
      <c r="K49" s="138">
        <f>J49/G49</f>
        <v>19.666666666666668</v>
      </c>
      <c r="L49" s="139">
        <f t="shared" si="4"/>
        <v>7.858757062146893</v>
      </c>
      <c r="M49" s="301">
        <v>5048108</v>
      </c>
      <c r="N49" s="138">
        <v>638609</v>
      </c>
      <c r="O49" s="103">
        <f>+M49/N49</f>
        <v>7.904849446218265</v>
      </c>
      <c r="P49" s="247"/>
    </row>
    <row r="50" spans="1:16" s="7" customFormat="1" ht="15">
      <c r="A50" s="63">
        <v>46</v>
      </c>
      <c r="B50" s="49" t="s">
        <v>469</v>
      </c>
      <c r="C50" s="39">
        <v>40025</v>
      </c>
      <c r="D50" s="44" t="s">
        <v>134</v>
      </c>
      <c r="E50" s="44" t="s">
        <v>1</v>
      </c>
      <c r="F50" s="41">
        <v>2</v>
      </c>
      <c r="G50" s="41">
        <v>2</v>
      </c>
      <c r="H50" s="41">
        <v>10</v>
      </c>
      <c r="I50" s="348">
        <v>1270</v>
      </c>
      <c r="J50" s="349">
        <v>177</v>
      </c>
      <c r="K50" s="138">
        <f>(J50/G50)</f>
        <v>88.5</v>
      </c>
      <c r="L50" s="139">
        <f t="shared" si="4"/>
        <v>7.175141242937853</v>
      </c>
      <c r="M50" s="301">
        <f>12554+10448.5+5260+2841.5+2497+4599+3231+1086+898+1270</f>
        <v>44685</v>
      </c>
      <c r="N50" s="138">
        <f>931+774+385+248+290+466+488+181+106+177</f>
        <v>4046</v>
      </c>
      <c r="O50" s="103">
        <f>M50/N50</f>
        <v>11.044241225902125</v>
      </c>
      <c r="P50" s="345"/>
    </row>
    <row r="51" spans="1:16" s="7" customFormat="1" ht="15">
      <c r="A51" s="63">
        <v>47</v>
      </c>
      <c r="B51" s="49" t="s">
        <v>404</v>
      </c>
      <c r="C51" s="39">
        <v>39913</v>
      </c>
      <c r="D51" s="44" t="s">
        <v>131</v>
      </c>
      <c r="E51" s="44" t="s">
        <v>127</v>
      </c>
      <c r="F51" s="41">
        <v>21</v>
      </c>
      <c r="G51" s="41">
        <v>1</v>
      </c>
      <c r="H51" s="41">
        <v>17</v>
      </c>
      <c r="I51" s="348">
        <v>1155</v>
      </c>
      <c r="J51" s="349">
        <v>350</v>
      </c>
      <c r="K51" s="138">
        <v>15</v>
      </c>
      <c r="L51" s="139">
        <f>+I51/J51</f>
        <v>3.3</v>
      </c>
      <c r="M51" s="301">
        <v>217880</v>
      </c>
      <c r="N51" s="138">
        <v>25001</v>
      </c>
      <c r="O51" s="103">
        <f>+M51/N51</f>
        <v>8.714851405943762</v>
      </c>
      <c r="P51" s="345"/>
    </row>
    <row r="52" spans="1:16" s="7" customFormat="1" ht="15">
      <c r="A52" s="63">
        <v>48</v>
      </c>
      <c r="B52" s="49" t="s">
        <v>398</v>
      </c>
      <c r="C52" s="39">
        <v>39976</v>
      </c>
      <c r="D52" s="44" t="s">
        <v>4</v>
      </c>
      <c r="E52" s="44" t="s">
        <v>399</v>
      </c>
      <c r="F52" s="41">
        <v>4</v>
      </c>
      <c r="G52" s="41">
        <v>2</v>
      </c>
      <c r="H52" s="41">
        <v>17</v>
      </c>
      <c r="I52" s="348">
        <v>1123</v>
      </c>
      <c r="J52" s="349">
        <v>174</v>
      </c>
      <c r="K52" s="138">
        <f>+J52/G52</f>
        <v>87</v>
      </c>
      <c r="L52" s="139">
        <f>+I52/J52</f>
        <v>6.454022988505747</v>
      </c>
      <c r="M52" s="301">
        <v>130162</v>
      </c>
      <c r="N52" s="138">
        <v>13892</v>
      </c>
      <c r="O52" s="103">
        <f>+M52/N52</f>
        <v>9.369565217391305</v>
      </c>
      <c r="P52" s="345"/>
    </row>
    <row r="53" spans="1:16" s="7" customFormat="1" ht="15">
      <c r="A53" s="63">
        <v>49</v>
      </c>
      <c r="B53" s="49" t="s">
        <v>458</v>
      </c>
      <c r="C53" s="39">
        <v>40018</v>
      </c>
      <c r="D53" s="44" t="s">
        <v>134</v>
      </c>
      <c r="E53" s="44" t="s">
        <v>433</v>
      </c>
      <c r="F53" s="41">
        <v>7</v>
      </c>
      <c r="G53" s="41">
        <v>4</v>
      </c>
      <c r="H53" s="41">
        <v>10</v>
      </c>
      <c r="I53" s="348">
        <v>1114</v>
      </c>
      <c r="J53" s="349">
        <v>218</v>
      </c>
      <c r="K53" s="138">
        <f>(J53/G53)</f>
        <v>54.5</v>
      </c>
      <c r="L53" s="139">
        <f>I53/J53</f>
        <v>5.110091743119266</v>
      </c>
      <c r="M53" s="301">
        <f>11970.5+2994.5+1529+2320+3623.5+3626.5+2619+1740+1319+1114</f>
        <v>32856</v>
      </c>
      <c r="N53" s="138">
        <f>976+387+235+413+517+566+442+287+399+218</f>
        <v>4440</v>
      </c>
      <c r="O53" s="103">
        <f>M53/N53</f>
        <v>7.4</v>
      </c>
      <c r="P53" s="345"/>
    </row>
    <row r="54" spans="1:16" s="7" customFormat="1" ht="15">
      <c r="A54" s="63">
        <v>50</v>
      </c>
      <c r="B54" s="49" t="s">
        <v>447</v>
      </c>
      <c r="C54" s="39">
        <v>39988</v>
      </c>
      <c r="D54" s="44" t="s">
        <v>131</v>
      </c>
      <c r="E54" s="44" t="s">
        <v>127</v>
      </c>
      <c r="F54" s="41">
        <v>137</v>
      </c>
      <c r="G54" s="41">
        <v>3</v>
      </c>
      <c r="H54" s="41">
        <v>16</v>
      </c>
      <c r="I54" s="348">
        <v>1077</v>
      </c>
      <c r="J54" s="349">
        <v>431</v>
      </c>
      <c r="K54" s="138">
        <f>J54/G54</f>
        <v>143.66666666666666</v>
      </c>
      <c r="L54" s="139">
        <f>+I54/J54</f>
        <v>2.4988399071925755</v>
      </c>
      <c r="M54" s="301">
        <v>2845360</v>
      </c>
      <c r="N54" s="138">
        <v>347045</v>
      </c>
      <c r="O54" s="103">
        <f>+M54/N54</f>
        <v>8.198821478482618</v>
      </c>
      <c r="P54" s="345"/>
    </row>
    <row r="55" spans="1:16" s="7" customFormat="1" ht="15">
      <c r="A55" s="63">
        <v>51</v>
      </c>
      <c r="B55" s="49" t="s">
        <v>330</v>
      </c>
      <c r="C55" s="39">
        <v>39934</v>
      </c>
      <c r="D55" s="44" t="s">
        <v>134</v>
      </c>
      <c r="E55" s="44" t="s">
        <v>331</v>
      </c>
      <c r="F55" s="41">
        <v>10</v>
      </c>
      <c r="G55" s="41">
        <v>5</v>
      </c>
      <c r="H55" s="41">
        <v>24</v>
      </c>
      <c r="I55" s="348">
        <v>973</v>
      </c>
      <c r="J55" s="349">
        <v>178</v>
      </c>
      <c r="K55" s="138">
        <f>(J55/G55)</f>
        <v>35.6</v>
      </c>
      <c r="L55" s="139">
        <f>I55/J55</f>
        <v>5.466292134831461</v>
      </c>
      <c r="M55" s="301">
        <f>33364+9411.25+6223+5254.25+7040.75+9205+8456.5+5846+7384.5+11524.5+6072+6007.5+4296+10473.5+8837+17888.5+8391.5+8505+5475+4349+2200+1124+973</f>
        <v>188301.75</v>
      </c>
      <c r="N55" s="138">
        <f>3034+1189+1068+919+1228+1672+993+1006+1340+1668+942+1195+830+1577+1486+2513+1292+1365+901+725+353+213+178</f>
        <v>27687</v>
      </c>
      <c r="O55" s="103">
        <f>M55/N55</f>
        <v>6.801088958717087</v>
      </c>
      <c r="P55" s="345"/>
    </row>
    <row r="56" spans="1:16" s="7" customFormat="1" ht="15">
      <c r="A56" s="63">
        <v>52</v>
      </c>
      <c r="B56" s="49" t="s">
        <v>12</v>
      </c>
      <c r="C56" s="39">
        <v>39829</v>
      </c>
      <c r="D56" s="44" t="s">
        <v>132</v>
      </c>
      <c r="E56" s="44" t="s">
        <v>13</v>
      </c>
      <c r="F56" s="41">
        <v>27</v>
      </c>
      <c r="G56" s="41">
        <v>2</v>
      </c>
      <c r="H56" s="41">
        <v>24</v>
      </c>
      <c r="I56" s="348">
        <v>968</v>
      </c>
      <c r="J56" s="349">
        <v>160</v>
      </c>
      <c r="K56" s="138">
        <f>+J56/G56</f>
        <v>80</v>
      </c>
      <c r="L56" s="139">
        <f>+I56/J56</f>
        <v>6.05</v>
      </c>
      <c r="M56" s="301">
        <f>354992.5+968</f>
        <v>355960.5</v>
      </c>
      <c r="N56" s="138">
        <f>34663+92+49+815+174+99+126+262+271+160</f>
        <v>36711</v>
      </c>
      <c r="O56" s="103">
        <f>+M56/N56</f>
        <v>9.696289940344856</v>
      </c>
      <c r="P56" s="345"/>
    </row>
    <row r="57" spans="1:16" s="7" customFormat="1" ht="15">
      <c r="A57" s="63">
        <v>53</v>
      </c>
      <c r="B57" s="49" t="s">
        <v>485</v>
      </c>
      <c r="C57" s="39">
        <v>39983</v>
      </c>
      <c r="D57" s="44" t="s">
        <v>131</v>
      </c>
      <c r="E57" s="44" t="s">
        <v>43</v>
      </c>
      <c r="F57" s="41">
        <v>60</v>
      </c>
      <c r="G57" s="41">
        <v>2</v>
      </c>
      <c r="H57" s="41">
        <v>16</v>
      </c>
      <c r="I57" s="348">
        <v>945</v>
      </c>
      <c r="J57" s="349">
        <v>156</v>
      </c>
      <c r="K57" s="138">
        <f>J57/G57</f>
        <v>78</v>
      </c>
      <c r="L57" s="139">
        <f>+I57/J57</f>
        <v>6.0576923076923075</v>
      </c>
      <c r="M57" s="301">
        <v>575868</v>
      </c>
      <c r="N57" s="138">
        <v>74964</v>
      </c>
      <c r="O57" s="103">
        <f>+M57/N57</f>
        <v>7.681927325116056</v>
      </c>
      <c r="P57" s="345"/>
    </row>
    <row r="58" spans="1:16" s="7" customFormat="1" ht="15">
      <c r="A58" s="63">
        <v>54</v>
      </c>
      <c r="B58" s="49" t="s">
        <v>510</v>
      </c>
      <c r="C58" s="39">
        <v>40060</v>
      </c>
      <c r="D58" s="44" t="s">
        <v>134</v>
      </c>
      <c r="E58" s="44" t="s">
        <v>511</v>
      </c>
      <c r="F58" s="41">
        <v>3</v>
      </c>
      <c r="G58" s="41">
        <v>2</v>
      </c>
      <c r="H58" s="41">
        <v>5</v>
      </c>
      <c r="I58" s="348">
        <v>729</v>
      </c>
      <c r="J58" s="349">
        <v>144</v>
      </c>
      <c r="K58" s="138">
        <f>(J58/G58)</f>
        <v>72</v>
      </c>
      <c r="L58" s="139">
        <f>I58/J58</f>
        <v>5.0625</v>
      </c>
      <c r="M58" s="301">
        <f>7317+3809.25+1860+639+729</f>
        <v>14354.25</v>
      </c>
      <c r="N58" s="138">
        <f>792+424+238+115+144</f>
        <v>1713</v>
      </c>
      <c r="O58" s="103">
        <f>M58/N58</f>
        <v>8.379597197898423</v>
      </c>
      <c r="P58" s="345">
        <v>1</v>
      </c>
    </row>
    <row r="59" spans="1:16" s="7" customFormat="1" ht="15">
      <c r="A59" s="63">
        <v>55</v>
      </c>
      <c r="B59" s="49" t="s">
        <v>448</v>
      </c>
      <c r="C59" s="39">
        <v>40011</v>
      </c>
      <c r="D59" s="44" t="s">
        <v>136</v>
      </c>
      <c r="E59" s="44" t="s">
        <v>376</v>
      </c>
      <c r="F59" s="41">
        <v>20</v>
      </c>
      <c r="G59" s="41">
        <v>2</v>
      </c>
      <c r="H59" s="41">
        <v>12</v>
      </c>
      <c r="I59" s="348">
        <v>714</v>
      </c>
      <c r="J59" s="349">
        <v>145</v>
      </c>
      <c r="K59" s="138">
        <f>+J59/G59</f>
        <v>72.5</v>
      </c>
      <c r="L59" s="139">
        <f>+I59/J59</f>
        <v>4.924137931034482</v>
      </c>
      <c r="M59" s="301">
        <v>388411.75</v>
      </c>
      <c r="N59" s="138">
        <v>42598</v>
      </c>
      <c r="O59" s="103">
        <f>+M59/N59</f>
        <v>9.118074792243767</v>
      </c>
      <c r="P59" s="345"/>
    </row>
    <row r="60" spans="1:16" s="7" customFormat="1" ht="15">
      <c r="A60" s="63">
        <v>56</v>
      </c>
      <c r="B60" s="49" t="s">
        <v>468</v>
      </c>
      <c r="C60" s="39">
        <v>39983</v>
      </c>
      <c r="D60" s="44" t="s">
        <v>131</v>
      </c>
      <c r="E60" s="44" t="s">
        <v>111</v>
      </c>
      <c r="F60" s="41">
        <v>47</v>
      </c>
      <c r="G60" s="41">
        <v>3</v>
      </c>
      <c r="H60" s="41">
        <v>16</v>
      </c>
      <c r="I60" s="348">
        <v>689</v>
      </c>
      <c r="J60" s="349">
        <v>93</v>
      </c>
      <c r="K60" s="138">
        <f>J60/G60</f>
        <v>31</v>
      </c>
      <c r="L60" s="139">
        <f>+I60/J60</f>
        <v>7.408602150537634</v>
      </c>
      <c r="M60" s="301">
        <v>1116986</v>
      </c>
      <c r="N60" s="138">
        <v>120769</v>
      </c>
      <c r="O60" s="103">
        <f>+M60/N60</f>
        <v>9.248946335566247</v>
      </c>
      <c r="P60" s="345"/>
    </row>
    <row r="61" spans="1:16" s="7" customFormat="1" ht="15">
      <c r="A61" s="63">
        <v>57</v>
      </c>
      <c r="B61" s="49" t="s">
        <v>479</v>
      </c>
      <c r="C61" s="39">
        <v>39913</v>
      </c>
      <c r="D61" s="44" t="s">
        <v>131</v>
      </c>
      <c r="E61" s="44" t="s">
        <v>127</v>
      </c>
      <c r="F61" s="41">
        <v>95</v>
      </c>
      <c r="G61" s="41">
        <v>1</v>
      </c>
      <c r="H61" s="41">
        <v>26</v>
      </c>
      <c r="I61" s="348">
        <v>609</v>
      </c>
      <c r="J61" s="349">
        <v>280</v>
      </c>
      <c r="K61" s="138">
        <f>J61/G61</f>
        <v>280</v>
      </c>
      <c r="L61" s="139">
        <f>+I61/J61</f>
        <v>2.175</v>
      </c>
      <c r="M61" s="301">
        <v>1701090</v>
      </c>
      <c r="N61" s="138">
        <v>158671</v>
      </c>
      <c r="O61" s="103">
        <f>+M61/N61</f>
        <v>10.720862665515437</v>
      </c>
      <c r="P61" s="345"/>
    </row>
    <row r="62" spans="1:16" s="7" customFormat="1" ht="15">
      <c r="A62" s="63">
        <v>58</v>
      </c>
      <c r="B62" s="49" t="s">
        <v>536</v>
      </c>
      <c r="C62" s="39">
        <v>40074</v>
      </c>
      <c r="D62" s="44" t="s">
        <v>132</v>
      </c>
      <c r="E62" s="44" t="s">
        <v>13</v>
      </c>
      <c r="F62" s="41">
        <v>20</v>
      </c>
      <c r="G62" s="41">
        <v>4</v>
      </c>
      <c r="H62" s="41">
        <v>3</v>
      </c>
      <c r="I62" s="348">
        <v>592.5</v>
      </c>
      <c r="J62" s="349">
        <v>73</v>
      </c>
      <c r="K62" s="138">
        <f>+J62/G62</f>
        <v>18.25</v>
      </c>
      <c r="L62" s="139">
        <f>+I62/J62</f>
        <v>8.116438356164384</v>
      </c>
      <c r="M62" s="301">
        <f>18568+3513+592.5</f>
        <v>22673.5</v>
      </c>
      <c r="N62" s="138">
        <f>1709+352+73</f>
        <v>2134</v>
      </c>
      <c r="O62" s="103">
        <f>+M62/N62</f>
        <v>10.624882849109653</v>
      </c>
      <c r="P62" s="345"/>
    </row>
    <row r="63" spans="1:16" s="7" customFormat="1" ht="15">
      <c r="A63" s="63">
        <v>59</v>
      </c>
      <c r="B63" s="49" t="s">
        <v>394</v>
      </c>
      <c r="C63" s="39">
        <v>39976</v>
      </c>
      <c r="D63" s="44" t="s">
        <v>130</v>
      </c>
      <c r="E63" s="44" t="s">
        <v>35</v>
      </c>
      <c r="F63" s="41">
        <v>95</v>
      </c>
      <c r="G63" s="41">
        <v>1</v>
      </c>
      <c r="H63" s="41">
        <v>17</v>
      </c>
      <c r="I63" s="348">
        <v>592</v>
      </c>
      <c r="J63" s="349">
        <v>83</v>
      </c>
      <c r="K63" s="138">
        <f>J63/G63</f>
        <v>83</v>
      </c>
      <c r="L63" s="139">
        <f>I63/J63</f>
        <v>7.132530120481928</v>
      </c>
      <c r="M63" s="301">
        <v>835102</v>
      </c>
      <c r="N63" s="138">
        <v>112280</v>
      </c>
      <c r="O63" s="103">
        <f>+M63/N63</f>
        <v>7.437673672960456</v>
      </c>
      <c r="P63" s="247"/>
    </row>
    <row r="64" spans="1:16" s="7" customFormat="1" ht="15">
      <c r="A64" s="63">
        <v>60</v>
      </c>
      <c r="B64" s="49" t="s">
        <v>387</v>
      </c>
      <c r="C64" s="39">
        <v>39969</v>
      </c>
      <c r="D64" s="44" t="s">
        <v>134</v>
      </c>
      <c r="E64" s="44" t="s">
        <v>106</v>
      </c>
      <c r="F64" s="41">
        <v>15</v>
      </c>
      <c r="G64" s="41">
        <v>1</v>
      </c>
      <c r="H64" s="41">
        <v>16</v>
      </c>
      <c r="I64" s="348">
        <v>523</v>
      </c>
      <c r="J64" s="349">
        <v>69</v>
      </c>
      <c r="K64" s="138">
        <f>(J64/G64)</f>
        <v>69</v>
      </c>
      <c r="L64" s="139">
        <f>I64/J64</f>
        <v>7.579710144927536</v>
      </c>
      <c r="M64" s="301">
        <f>27361.5+18405.5+7012.5+8036+10603+16152+7756.5+7135+10765.5+6678+5822+5417.5+7809+7540.5+3431.5+523</f>
        <v>150449</v>
      </c>
      <c r="N64" s="138">
        <f>2528+1825+961+1326+1574+2229+1260+1363+1702+1118+909+720+1275+909+371+69</f>
        <v>20139</v>
      </c>
      <c r="O64" s="103">
        <f>M64/N64</f>
        <v>7.470529817766523</v>
      </c>
      <c r="P64" s="345"/>
    </row>
    <row r="65" spans="1:16" s="7" customFormat="1" ht="15">
      <c r="A65" s="63">
        <v>61</v>
      </c>
      <c r="B65" s="49" t="s">
        <v>442</v>
      </c>
      <c r="C65" s="39">
        <v>40004</v>
      </c>
      <c r="D65" s="44" t="s">
        <v>134</v>
      </c>
      <c r="E65" s="44" t="s">
        <v>112</v>
      </c>
      <c r="F65" s="41">
        <v>20</v>
      </c>
      <c r="G65" s="41">
        <v>2</v>
      </c>
      <c r="H65" s="41">
        <v>13</v>
      </c>
      <c r="I65" s="348">
        <v>520</v>
      </c>
      <c r="J65" s="349">
        <v>74</v>
      </c>
      <c r="K65" s="138">
        <f>(J65/G65)</f>
        <v>37</v>
      </c>
      <c r="L65" s="139">
        <f>I65/J65</f>
        <v>7.027027027027027</v>
      </c>
      <c r="M65" s="301">
        <f>27239+16683+9866+18646.5+11021.5+18905.5+11305+6948.5+5971.5+3862.5+1777+1145+520</f>
        <v>133891</v>
      </c>
      <c r="N65" s="138">
        <f>2632+2092+1344+2829+1912+3115+1963+1173+1001+690+304+193+74</f>
        <v>19322</v>
      </c>
      <c r="O65" s="103">
        <f>M65/N65</f>
        <v>6.929458648173067</v>
      </c>
      <c r="P65" s="345"/>
    </row>
    <row r="66" spans="1:16" s="7" customFormat="1" ht="15">
      <c r="A66" s="63">
        <v>62</v>
      </c>
      <c r="B66" s="49" t="s">
        <v>64</v>
      </c>
      <c r="C66" s="39">
        <v>39759</v>
      </c>
      <c r="D66" s="44" t="s">
        <v>65</v>
      </c>
      <c r="E66" s="44" t="s">
        <v>66</v>
      </c>
      <c r="F66" s="41">
        <v>156</v>
      </c>
      <c r="G66" s="41">
        <v>2</v>
      </c>
      <c r="H66" s="41">
        <v>42</v>
      </c>
      <c r="I66" s="348">
        <v>478</v>
      </c>
      <c r="J66" s="349">
        <v>88</v>
      </c>
      <c r="K66" s="138">
        <f>+J66/G66</f>
        <v>44</v>
      </c>
      <c r="L66" s="139">
        <f>+I66/J66</f>
        <v>5.431818181818182</v>
      </c>
      <c r="M66" s="301">
        <v>23415765</v>
      </c>
      <c r="N66" s="138">
        <v>2787469</v>
      </c>
      <c r="O66" s="103">
        <f aca="true" t="shared" si="5" ref="O66:O71">+M66/N66</f>
        <v>8.400367860593247</v>
      </c>
      <c r="P66" s="345">
        <v>1</v>
      </c>
    </row>
    <row r="67" spans="1:16" s="7" customFormat="1" ht="15">
      <c r="A67" s="63">
        <v>63</v>
      </c>
      <c r="B67" s="49" t="s">
        <v>345</v>
      </c>
      <c r="C67" s="39">
        <v>39941</v>
      </c>
      <c r="D67" s="44" t="s">
        <v>65</v>
      </c>
      <c r="E67" s="44" t="s">
        <v>548</v>
      </c>
      <c r="F67" s="41">
        <v>104</v>
      </c>
      <c r="G67" s="41">
        <v>2</v>
      </c>
      <c r="H67" s="41">
        <v>22</v>
      </c>
      <c r="I67" s="348">
        <v>452.5</v>
      </c>
      <c r="J67" s="349">
        <v>85</v>
      </c>
      <c r="K67" s="138">
        <f>+J67/G67</f>
        <v>42.5</v>
      </c>
      <c r="L67" s="139">
        <f>+I67/J67</f>
        <v>5.323529411764706</v>
      </c>
      <c r="M67" s="301">
        <v>589306.8</v>
      </c>
      <c r="N67" s="138">
        <v>80330</v>
      </c>
      <c r="O67" s="103">
        <f t="shared" si="5"/>
        <v>7.336073696003984</v>
      </c>
      <c r="P67" s="345">
        <v>1</v>
      </c>
    </row>
    <row r="68" spans="1:16" s="7" customFormat="1" ht="15">
      <c r="A68" s="63">
        <v>64</v>
      </c>
      <c r="B68" s="49" t="s">
        <v>388</v>
      </c>
      <c r="C68" s="39">
        <v>39969</v>
      </c>
      <c r="D68" s="44" t="s">
        <v>136</v>
      </c>
      <c r="E68" s="44" t="s">
        <v>389</v>
      </c>
      <c r="F68" s="41">
        <v>2</v>
      </c>
      <c r="G68" s="41">
        <v>2</v>
      </c>
      <c r="H68" s="41">
        <v>18</v>
      </c>
      <c r="I68" s="348">
        <v>445</v>
      </c>
      <c r="J68" s="349">
        <v>87</v>
      </c>
      <c r="K68" s="138">
        <f>+J68/G68</f>
        <v>43.5</v>
      </c>
      <c r="L68" s="139">
        <f>+I68/J68</f>
        <v>5.114942528735632</v>
      </c>
      <c r="M68" s="301">
        <v>25144.25</v>
      </c>
      <c r="N68" s="138">
        <v>3733</v>
      </c>
      <c r="O68" s="103">
        <f t="shared" si="5"/>
        <v>6.7356683632467185</v>
      </c>
      <c r="P68" s="345"/>
    </row>
    <row r="69" spans="1:16" s="7" customFormat="1" ht="15">
      <c r="A69" s="63">
        <v>65</v>
      </c>
      <c r="B69" s="49" t="s">
        <v>434</v>
      </c>
      <c r="C69" s="39">
        <v>39997</v>
      </c>
      <c r="D69" s="44" t="s">
        <v>4</v>
      </c>
      <c r="E69" s="44" t="s">
        <v>77</v>
      </c>
      <c r="F69" s="41">
        <v>5</v>
      </c>
      <c r="G69" s="41">
        <v>2</v>
      </c>
      <c r="H69" s="41">
        <v>14</v>
      </c>
      <c r="I69" s="348">
        <v>403</v>
      </c>
      <c r="J69" s="349">
        <v>66</v>
      </c>
      <c r="K69" s="138">
        <f>+J69/G69</f>
        <v>33</v>
      </c>
      <c r="L69" s="139">
        <f>+I69/J69</f>
        <v>6.106060606060606</v>
      </c>
      <c r="M69" s="301">
        <v>33183</v>
      </c>
      <c r="N69" s="138">
        <v>4247</v>
      </c>
      <c r="O69" s="103">
        <f t="shared" si="5"/>
        <v>7.813279962326348</v>
      </c>
      <c r="P69" s="345"/>
    </row>
    <row r="70" spans="1:16" s="7" customFormat="1" ht="15">
      <c r="A70" s="63">
        <v>66</v>
      </c>
      <c r="B70" s="49" t="s">
        <v>456</v>
      </c>
      <c r="C70" s="39">
        <v>40018</v>
      </c>
      <c r="D70" s="44" t="s">
        <v>130</v>
      </c>
      <c r="E70" s="44" t="s">
        <v>35</v>
      </c>
      <c r="F70" s="41">
        <v>70</v>
      </c>
      <c r="G70" s="41">
        <v>2</v>
      </c>
      <c r="H70" s="41">
        <v>11</v>
      </c>
      <c r="I70" s="348">
        <v>402</v>
      </c>
      <c r="J70" s="349">
        <v>57</v>
      </c>
      <c r="K70" s="138">
        <f>J70/G70</f>
        <v>28.5</v>
      </c>
      <c r="L70" s="139">
        <f>I70/J70</f>
        <v>7.052631578947368</v>
      </c>
      <c r="M70" s="301">
        <v>1064676</v>
      </c>
      <c r="N70" s="138">
        <v>120852</v>
      </c>
      <c r="O70" s="103">
        <f t="shared" si="5"/>
        <v>8.809750769536292</v>
      </c>
      <c r="P70" s="247"/>
    </row>
    <row r="71" spans="1:16" s="7" customFormat="1" ht="15">
      <c r="A71" s="63">
        <v>67</v>
      </c>
      <c r="B71" s="49" t="s">
        <v>355</v>
      </c>
      <c r="C71" s="39">
        <v>39948</v>
      </c>
      <c r="D71" s="44" t="s">
        <v>130</v>
      </c>
      <c r="E71" s="44" t="s">
        <v>63</v>
      </c>
      <c r="F71" s="41">
        <v>187</v>
      </c>
      <c r="G71" s="41">
        <v>1</v>
      </c>
      <c r="H71" s="41">
        <v>21</v>
      </c>
      <c r="I71" s="348">
        <v>360</v>
      </c>
      <c r="J71" s="349">
        <v>51</v>
      </c>
      <c r="K71" s="138">
        <f>J71/G71</f>
        <v>51</v>
      </c>
      <c r="L71" s="139">
        <f>I71/J71</f>
        <v>7.0588235294117645</v>
      </c>
      <c r="M71" s="301">
        <v>5976194</v>
      </c>
      <c r="N71" s="138">
        <v>705709</v>
      </c>
      <c r="O71" s="103">
        <f t="shared" si="5"/>
        <v>8.468354520064219</v>
      </c>
      <c r="P71" s="247"/>
    </row>
    <row r="72" spans="1:16" s="7" customFormat="1" ht="15">
      <c r="A72" s="63">
        <v>68</v>
      </c>
      <c r="B72" s="49" t="s">
        <v>385</v>
      </c>
      <c r="C72" s="39">
        <v>39969</v>
      </c>
      <c r="D72" s="44" t="s">
        <v>134</v>
      </c>
      <c r="E72" s="44" t="s">
        <v>386</v>
      </c>
      <c r="F72" s="41">
        <v>20</v>
      </c>
      <c r="G72" s="41">
        <v>1</v>
      </c>
      <c r="H72" s="41">
        <v>16</v>
      </c>
      <c r="I72" s="348">
        <v>301</v>
      </c>
      <c r="J72" s="349">
        <v>64</v>
      </c>
      <c r="K72" s="138">
        <f>(J72/G72)</f>
        <v>64</v>
      </c>
      <c r="L72" s="139">
        <f>I72/J72</f>
        <v>4.703125</v>
      </c>
      <c r="M72" s="301">
        <f>63821.75+29583.75+16102.25+8771.25+5888+8492.5+1761+3162+5226+2267+1186.5+1122.5+1305+832+660+301</f>
        <v>150482.5</v>
      </c>
      <c r="N72" s="138">
        <f>6069+3045+2422+1546+1020+1313+402+594+954+378+185+151+256+78+122+64</f>
        <v>18599</v>
      </c>
      <c r="O72" s="103">
        <f>M72/N72</f>
        <v>8.09089198343997</v>
      </c>
      <c r="P72" s="345"/>
    </row>
    <row r="73" spans="1:16" s="7" customFormat="1" ht="15">
      <c r="A73" s="63">
        <v>69</v>
      </c>
      <c r="B73" s="49" t="s">
        <v>441</v>
      </c>
      <c r="C73" s="39">
        <v>40004</v>
      </c>
      <c r="D73" s="44" t="s">
        <v>130</v>
      </c>
      <c r="E73" s="44" t="s">
        <v>122</v>
      </c>
      <c r="F73" s="41">
        <v>60</v>
      </c>
      <c r="G73" s="41">
        <v>1</v>
      </c>
      <c r="H73" s="41">
        <v>13</v>
      </c>
      <c r="I73" s="348">
        <v>280</v>
      </c>
      <c r="J73" s="349">
        <v>28</v>
      </c>
      <c r="K73" s="138">
        <f>J73/G73</f>
        <v>28</v>
      </c>
      <c r="L73" s="139">
        <f>I73/J73</f>
        <v>10</v>
      </c>
      <c r="M73" s="301">
        <v>853559</v>
      </c>
      <c r="N73" s="138">
        <v>93112</v>
      </c>
      <c r="O73" s="103">
        <f>+M73/N73</f>
        <v>9.16701391872154</v>
      </c>
      <c r="P73" s="247"/>
    </row>
    <row r="74" spans="1:16" s="7" customFormat="1" ht="15">
      <c r="A74" s="63">
        <v>70</v>
      </c>
      <c r="B74" s="49" t="s">
        <v>356</v>
      </c>
      <c r="C74" s="39">
        <v>39948</v>
      </c>
      <c r="D74" s="44" t="s">
        <v>136</v>
      </c>
      <c r="E74" s="44" t="s">
        <v>564</v>
      </c>
      <c r="F74" s="41">
        <v>151</v>
      </c>
      <c r="G74" s="41">
        <v>1</v>
      </c>
      <c r="H74" s="41">
        <v>18</v>
      </c>
      <c r="I74" s="348">
        <v>260</v>
      </c>
      <c r="J74" s="349">
        <v>38</v>
      </c>
      <c r="K74" s="138">
        <f>+J74/G74</f>
        <v>38</v>
      </c>
      <c r="L74" s="139">
        <f>+I74/J74</f>
        <v>6.842105263157895</v>
      </c>
      <c r="M74" s="301">
        <v>760517</v>
      </c>
      <c r="N74" s="138">
        <v>116888</v>
      </c>
      <c r="O74" s="103">
        <f>+M74/N74</f>
        <v>6.5063736226131</v>
      </c>
      <c r="P74" s="345">
        <v>1</v>
      </c>
    </row>
    <row r="75" spans="1:16" s="7" customFormat="1" ht="15">
      <c r="A75" s="63">
        <v>71</v>
      </c>
      <c r="B75" s="49" t="s">
        <v>508</v>
      </c>
      <c r="C75" s="39">
        <v>40060</v>
      </c>
      <c r="D75" s="44" t="s">
        <v>4</v>
      </c>
      <c r="E75" s="44" t="s">
        <v>509</v>
      </c>
      <c r="F75" s="41">
        <v>60</v>
      </c>
      <c r="G75" s="41">
        <v>3</v>
      </c>
      <c r="H75" s="41">
        <v>5</v>
      </c>
      <c r="I75" s="348">
        <v>233</v>
      </c>
      <c r="J75" s="349">
        <v>49</v>
      </c>
      <c r="K75" s="138">
        <f>+J75/G75</f>
        <v>16.333333333333332</v>
      </c>
      <c r="L75" s="139">
        <f>+I75/J75</f>
        <v>4.755102040816326</v>
      </c>
      <c r="M75" s="301">
        <v>29944</v>
      </c>
      <c r="N75" s="138">
        <v>4181</v>
      </c>
      <c r="O75" s="103">
        <f>+M75/N75</f>
        <v>7.161922984931834</v>
      </c>
      <c r="P75" s="345">
        <v>1</v>
      </c>
    </row>
    <row r="76" spans="1:16" s="7" customFormat="1" ht="15">
      <c r="A76" s="63">
        <v>72</v>
      </c>
      <c r="B76" s="49" t="s">
        <v>236</v>
      </c>
      <c r="C76" s="39">
        <v>39884</v>
      </c>
      <c r="D76" s="44" t="s">
        <v>4</v>
      </c>
      <c r="E76" s="44" t="s">
        <v>237</v>
      </c>
      <c r="F76" s="41">
        <v>355</v>
      </c>
      <c r="G76" s="41">
        <v>3</v>
      </c>
      <c r="H76" s="41">
        <v>30</v>
      </c>
      <c r="I76" s="348">
        <v>233</v>
      </c>
      <c r="J76" s="349">
        <v>36</v>
      </c>
      <c r="K76" s="138">
        <f>+J76/G76</f>
        <v>12</v>
      </c>
      <c r="L76" s="139">
        <f>+I76/J76</f>
        <v>6.472222222222222</v>
      </c>
      <c r="M76" s="301">
        <v>19043725</v>
      </c>
      <c r="N76" s="138">
        <v>2491454</v>
      </c>
      <c r="O76" s="103">
        <f>+M76/N76</f>
        <v>7.643618947008454</v>
      </c>
      <c r="P76" s="345">
        <v>1</v>
      </c>
    </row>
    <row r="77" spans="1:16" s="7" customFormat="1" ht="15">
      <c r="A77" s="63">
        <v>73</v>
      </c>
      <c r="B77" s="49" t="s">
        <v>294</v>
      </c>
      <c r="C77" s="39">
        <v>39913</v>
      </c>
      <c r="D77" s="44" t="s">
        <v>134</v>
      </c>
      <c r="E77" s="44" t="s">
        <v>295</v>
      </c>
      <c r="F77" s="41">
        <v>8</v>
      </c>
      <c r="G77" s="41">
        <v>2</v>
      </c>
      <c r="H77" s="41">
        <v>21</v>
      </c>
      <c r="I77" s="348">
        <v>226</v>
      </c>
      <c r="J77" s="349">
        <v>52</v>
      </c>
      <c r="K77" s="138">
        <f>(J77/G77)</f>
        <v>26</v>
      </c>
      <c r="L77" s="139">
        <f>I77/J77</f>
        <v>4.346153846153846</v>
      </c>
      <c r="M77" s="301">
        <f>21351.5+14278.5+6751+4525+2536+673+390+177+1270+1412+2231+60+385+350+665+1890+1758+1595+1832.5+392+226</f>
        <v>64748.5</v>
      </c>
      <c r="N77" s="138">
        <f>2210+1534+811+919+457+117+61+33+223+254+502+12+83+103+165+287+292+270+307+76+52</f>
        <v>8768</v>
      </c>
      <c r="O77" s="103">
        <f>M77/N77</f>
        <v>7.384637317518248</v>
      </c>
      <c r="P77" s="345">
        <v>1</v>
      </c>
    </row>
    <row r="78" spans="1:16" s="7" customFormat="1" ht="15">
      <c r="A78" s="63">
        <v>74</v>
      </c>
      <c r="B78" s="49" t="s">
        <v>470</v>
      </c>
      <c r="C78" s="39">
        <v>40025</v>
      </c>
      <c r="D78" s="44" t="s">
        <v>134</v>
      </c>
      <c r="E78" s="44" t="s">
        <v>1</v>
      </c>
      <c r="F78" s="41">
        <v>1</v>
      </c>
      <c r="G78" s="41">
        <v>1</v>
      </c>
      <c r="H78" s="41">
        <v>8</v>
      </c>
      <c r="I78" s="348">
        <v>159</v>
      </c>
      <c r="J78" s="349">
        <v>36</v>
      </c>
      <c r="K78" s="138">
        <f>(J78/G78)</f>
        <v>36</v>
      </c>
      <c r="L78" s="139">
        <f>I78/J78</f>
        <v>4.416666666666667</v>
      </c>
      <c r="M78" s="301">
        <f>6157+1979.5+2138+815+825+343+114+159</f>
        <v>12530.5</v>
      </c>
      <c r="N78" s="138">
        <f>452+147+247+163+165+40+19+36</f>
        <v>1269</v>
      </c>
      <c r="O78" s="103">
        <f>M78/N78</f>
        <v>9.87431048069346</v>
      </c>
      <c r="P78" s="345"/>
    </row>
    <row r="79" spans="1:16" s="7" customFormat="1" ht="15">
      <c r="A79" s="63">
        <v>75</v>
      </c>
      <c r="B79" s="49" t="s">
        <v>440</v>
      </c>
      <c r="C79" s="39">
        <v>40004</v>
      </c>
      <c r="D79" s="44" t="s">
        <v>131</v>
      </c>
      <c r="E79" s="44" t="s">
        <v>43</v>
      </c>
      <c r="F79" s="41">
        <v>68</v>
      </c>
      <c r="G79" s="41">
        <v>1</v>
      </c>
      <c r="H79" s="41">
        <v>13</v>
      </c>
      <c r="I79" s="348">
        <v>157</v>
      </c>
      <c r="J79" s="349">
        <v>26</v>
      </c>
      <c r="K79" s="138">
        <f>J79/G79</f>
        <v>26</v>
      </c>
      <c r="L79" s="139">
        <f>+I79/J79</f>
        <v>6.038461538461538</v>
      </c>
      <c r="M79" s="301">
        <v>1214100</v>
      </c>
      <c r="N79" s="138">
        <v>130786</v>
      </c>
      <c r="O79" s="103">
        <f>+M79/N79</f>
        <v>9.283103696114264</v>
      </c>
      <c r="P79" s="345"/>
    </row>
    <row r="80" spans="1:16" s="7" customFormat="1" ht="15">
      <c r="A80" s="63">
        <v>76</v>
      </c>
      <c r="B80" s="49" t="s">
        <v>313</v>
      </c>
      <c r="C80" s="39">
        <v>39927</v>
      </c>
      <c r="D80" s="44" t="s">
        <v>136</v>
      </c>
      <c r="E80" s="44" t="s">
        <v>81</v>
      </c>
      <c r="F80" s="41">
        <v>62</v>
      </c>
      <c r="G80" s="41">
        <v>1</v>
      </c>
      <c r="H80" s="41">
        <v>24</v>
      </c>
      <c r="I80" s="348">
        <v>124</v>
      </c>
      <c r="J80" s="349">
        <v>27</v>
      </c>
      <c r="K80" s="138">
        <f>+J80/G80</f>
        <v>27</v>
      </c>
      <c r="L80" s="139">
        <f>+I80/J80</f>
        <v>4.592592592592593</v>
      </c>
      <c r="M80" s="301">
        <v>319987.75</v>
      </c>
      <c r="N80" s="138">
        <v>44050</v>
      </c>
      <c r="O80" s="103">
        <f>+M80/N80</f>
        <v>7.264194097616345</v>
      </c>
      <c r="P80" s="345">
        <v>1</v>
      </c>
    </row>
    <row r="81" spans="1:16" s="7" customFormat="1" ht="15">
      <c r="A81" s="63">
        <v>77</v>
      </c>
      <c r="B81" s="49" t="s">
        <v>494</v>
      </c>
      <c r="C81" s="39">
        <v>40046</v>
      </c>
      <c r="D81" s="44" t="s">
        <v>134</v>
      </c>
      <c r="E81" s="44" t="s">
        <v>1</v>
      </c>
      <c r="F81" s="41">
        <v>1</v>
      </c>
      <c r="G81" s="41">
        <v>1</v>
      </c>
      <c r="H81" s="41">
        <v>4</v>
      </c>
      <c r="I81" s="348">
        <v>122</v>
      </c>
      <c r="J81" s="349">
        <v>27</v>
      </c>
      <c r="K81" s="138">
        <f>(J81/G81)</f>
        <v>27</v>
      </c>
      <c r="L81" s="139">
        <f>I81/J81</f>
        <v>4.518518518518518</v>
      </c>
      <c r="M81" s="301">
        <f>580+460+70+122</f>
        <v>1232</v>
      </c>
      <c r="N81" s="138">
        <f>116+91+10+27</f>
        <v>244</v>
      </c>
      <c r="O81" s="103">
        <f>M81/N81</f>
        <v>5.049180327868853</v>
      </c>
      <c r="P81" s="345"/>
    </row>
    <row r="82" spans="1:16" s="7" customFormat="1" ht="15">
      <c r="A82" s="63">
        <v>78</v>
      </c>
      <c r="B82" s="49" t="s">
        <v>424</v>
      </c>
      <c r="C82" s="39">
        <v>39990</v>
      </c>
      <c r="D82" s="44" t="s">
        <v>4</v>
      </c>
      <c r="E82" s="44" t="s">
        <v>77</v>
      </c>
      <c r="F82" s="41">
        <v>20</v>
      </c>
      <c r="G82" s="41">
        <v>2</v>
      </c>
      <c r="H82" s="41">
        <v>15</v>
      </c>
      <c r="I82" s="348">
        <v>90</v>
      </c>
      <c r="J82" s="349">
        <v>16</v>
      </c>
      <c r="K82" s="138">
        <f>+J82/G82</f>
        <v>8</v>
      </c>
      <c r="L82" s="139">
        <f>+I82/J82</f>
        <v>5.625</v>
      </c>
      <c r="M82" s="301">
        <v>155765</v>
      </c>
      <c r="N82" s="138">
        <v>17730</v>
      </c>
      <c r="O82" s="103">
        <f>+M82/N82</f>
        <v>8.785391990975747</v>
      </c>
      <c r="P82" s="345"/>
    </row>
    <row r="83" spans="1:16" s="7" customFormat="1" ht="15">
      <c r="A83" s="63">
        <v>79</v>
      </c>
      <c r="B83" s="49" t="s">
        <v>483</v>
      </c>
      <c r="C83" s="39">
        <v>40039</v>
      </c>
      <c r="D83" s="44" t="s">
        <v>134</v>
      </c>
      <c r="E83" s="44" t="s">
        <v>484</v>
      </c>
      <c r="F83" s="41">
        <v>8</v>
      </c>
      <c r="G83" s="41">
        <v>1</v>
      </c>
      <c r="H83" s="41">
        <v>8</v>
      </c>
      <c r="I83" s="348">
        <v>84</v>
      </c>
      <c r="J83" s="349">
        <v>24</v>
      </c>
      <c r="K83" s="138">
        <f>(J83/G83)</f>
        <v>24</v>
      </c>
      <c r="L83" s="139">
        <f>I83/J83</f>
        <v>3.5</v>
      </c>
      <c r="M83" s="301">
        <f>29121.25+9335.5+10783.5+6805.5+6780.5+3746+1541.5+84</f>
        <v>68197.75</v>
      </c>
      <c r="N83" s="138">
        <f>2428+976+1509+1029+1087+466+273+24</f>
        <v>7792</v>
      </c>
      <c r="O83" s="103">
        <f>M83/N83</f>
        <v>8.752277977412732</v>
      </c>
      <c r="P83" s="345"/>
    </row>
    <row r="84" spans="1:16" s="7" customFormat="1" ht="15">
      <c r="A84" s="63">
        <v>80</v>
      </c>
      <c r="B84" s="49" t="s">
        <v>251</v>
      </c>
      <c r="C84" s="39">
        <v>39892</v>
      </c>
      <c r="D84" s="44" t="s">
        <v>134</v>
      </c>
      <c r="E84" s="44" t="s">
        <v>148</v>
      </c>
      <c r="F84" s="41">
        <v>5</v>
      </c>
      <c r="G84" s="41">
        <v>1</v>
      </c>
      <c r="H84" s="41">
        <v>18</v>
      </c>
      <c r="I84" s="348">
        <v>65</v>
      </c>
      <c r="J84" s="349">
        <v>15</v>
      </c>
      <c r="K84" s="138">
        <f>(J84/G84)</f>
        <v>15</v>
      </c>
      <c r="L84" s="139">
        <f>I84/J84</f>
        <v>4.333333333333333</v>
      </c>
      <c r="M84" s="301">
        <f>18881.5+13473+6553+4173.5+2378+3269+2172+792+240+60+1236+552+1321+1757+465+884+565+65</f>
        <v>58837</v>
      </c>
      <c r="N84" s="138">
        <f>2268+1745+795+568+579+610+541+209+80+20+215+68+169+337+93+144+93+15</f>
        <v>8549</v>
      </c>
      <c r="O84" s="103">
        <f>M84/N84</f>
        <v>6.882325418177564</v>
      </c>
      <c r="P84" s="345"/>
    </row>
    <row r="85" spans="1:16" s="7" customFormat="1" ht="15">
      <c r="A85" s="63">
        <v>81</v>
      </c>
      <c r="B85" s="49" t="s">
        <v>206</v>
      </c>
      <c r="C85" s="39">
        <v>39864</v>
      </c>
      <c r="D85" s="44" t="s">
        <v>134</v>
      </c>
      <c r="E85" s="44" t="s">
        <v>207</v>
      </c>
      <c r="F85" s="41">
        <v>55</v>
      </c>
      <c r="G85" s="41">
        <v>1</v>
      </c>
      <c r="H85" s="41">
        <v>23</v>
      </c>
      <c r="I85" s="348">
        <v>63</v>
      </c>
      <c r="J85" s="349">
        <v>19</v>
      </c>
      <c r="K85" s="138">
        <f>(J85/G85)</f>
        <v>19</v>
      </c>
      <c r="L85" s="139">
        <f>I85/J85</f>
        <v>3.3157894736842106</v>
      </c>
      <c r="M85" s="301">
        <f>190777.5+154065+60826.5+20820+23589+29712+19396.5+16102+12940+11034+3005+981+1140+40+98.25+284+1000+300+220+1211.5+155+156+63</f>
        <v>547916.25</v>
      </c>
      <c r="N85" s="138">
        <f>20518+17650+7809+3283+4115+5826+3911+3770+2981+2505+653+199+194+8+18+60+100+75+44+292+22+22+19</f>
        <v>74074</v>
      </c>
      <c r="O85" s="103">
        <f>M85/N85</f>
        <v>7.396876771876772</v>
      </c>
      <c r="P85" s="345"/>
    </row>
    <row r="86" spans="1:16" s="7" customFormat="1" ht="15">
      <c r="A86" s="63">
        <v>82</v>
      </c>
      <c r="B86" s="49" t="s">
        <v>312</v>
      </c>
      <c r="C86" s="39">
        <v>39920</v>
      </c>
      <c r="D86" s="44" t="s">
        <v>134</v>
      </c>
      <c r="E86" s="44" t="s">
        <v>35</v>
      </c>
      <c r="F86" s="41">
        <v>133</v>
      </c>
      <c r="G86" s="41">
        <v>1</v>
      </c>
      <c r="H86" s="41">
        <v>17</v>
      </c>
      <c r="I86" s="348">
        <v>51</v>
      </c>
      <c r="J86" s="349">
        <v>23</v>
      </c>
      <c r="K86" s="138">
        <f>(J86/G86)</f>
        <v>23</v>
      </c>
      <c r="L86" s="139">
        <f>I86/J86</f>
        <v>2.217391304347826</v>
      </c>
      <c r="M86" s="301">
        <f>814797.5+158602+44526+7105.5+1443+731+330+3273+1356+388+2317+2290.5+138+112.5+37+1136+51</f>
        <v>1038634</v>
      </c>
      <c r="N86" s="138">
        <f>100614+19257+6285+1176+234+205+67+783+301+48+521+500+23+18+9+170+23</f>
        <v>130234</v>
      </c>
      <c r="O86" s="103">
        <f>M86/N86</f>
        <v>7.975137060982539</v>
      </c>
      <c r="P86" s="345"/>
    </row>
    <row r="87" spans="1:16" s="7" customFormat="1" ht="15">
      <c r="A87" s="63">
        <v>83</v>
      </c>
      <c r="B87" s="49" t="s">
        <v>373</v>
      </c>
      <c r="C87" s="39">
        <v>39962</v>
      </c>
      <c r="D87" s="44" t="s">
        <v>4</v>
      </c>
      <c r="E87" s="44" t="s">
        <v>374</v>
      </c>
      <c r="F87" s="41">
        <v>72</v>
      </c>
      <c r="G87" s="41">
        <v>1</v>
      </c>
      <c r="H87" s="41">
        <v>19</v>
      </c>
      <c r="I87" s="348">
        <v>48</v>
      </c>
      <c r="J87" s="349">
        <v>9</v>
      </c>
      <c r="K87" s="138">
        <f>+J87/G87</f>
        <v>9</v>
      </c>
      <c r="L87" s="139">
        <f>+I87/J87</f>
        <v>5.333333333333333</v>
      </c>
      <c r="M87" s="301">
        <v>275047</v>
      </c>
      <c r="N87" s="138">
        <v>37218</v>
      </c>
      <c r="O87" s="103">
        <f>+M87/N87</f>
        <v>7.390160674942233</v>
      </c>
      <c r="P87" s="345"/>
    </row>
    <row r="88" spans="1:16" s="7" customFormat="1" ht="15">
      <c r="A88" s="63">
        <v>84</v>
      </c>
      <c r="B88" s="49" t="s">
        <v>175</v>
      </c>
      <c r="C88" s="39">
        <v>39843</v>
      </c>
      <c r="D88" s="44" t="s">
        <v>132</v>
      </c>
      <c r="E88" s="44" t="s">
        <v>13</v>
      </c>
      <c r="F88" s="41">
        <v>50</v>
      </c>
      <c r="G88" s="41">
        <v>1</v>
      </c>
      <c r="H88" s="41">
        <v>22</v>
      </c>
      <c r="I88" s="348">
        <v>45</v>
      </c>
      <c r="J88" s="349">
        <v>7</v>
      </c>
      <c r="K88" s="138">
        <f>+J88/G88</f>
        <v>7</v>
      </c>
      <c r="L88" s="139">
        <f>+I88/J88</f>
        <v>6.428571428571429</v>
      </c>
      <c r="M88" s="301">
        <f>168651.5+46529+10620.5+4304+0.5+12367.5+5085+0.5+811+443+1089+406.5+312+389+3597+510+948+224.5+704+336+20+216+70+45</f>
        <v>257679.5</v>
      </c>
      <c r="N88" s="138">
        <f>20118+5529+1513+681+2223+920+189+100+201+77+55+67+600+195+369+85+176+67+2+42+14+7</f>
        <v>33230</v>
      </c>
      <c r="O88" s="103">
        <f>+M88/N88</f>
        <v>7.754423713511887</v>
      </c>
      <c r="P88" s="345"/>
    </row>
    <row r="89" spans="1:16" s="7" customFormat="1" ht="15">
      <c r="A89" s="63">
        <v>85</v>
      </c>
      <c r="B89" s="49" t="s">
        <v>395</v>
      </c>
      <c r="C89" s="39">
        <v>39976</v>
      </c>
      <c r="D89" s="44" t="s">
        <v>136</v>
      </c>
      <c r="E89" s="44" t="s">
        <v>376</v>
      </c>
      <c r="F89" s="41">
        <v>20</v>
      </c>
      <c r="G89" s="41">
        <v>1</v>
      </c>
      <c r="H89" s="41">
        <v>17</v>
      </c>
      <c r="I89" s="348">
        <v>43.5</v>
      </c>
      <c r="J89" s="349">
        <v>6</v>
      </c>
      <c r="K89" s="138">
        <f>+J89/G89</f>
        <v>6</v>
      </c>
      <c r="L89" s="139">
        <f>IF(I89&lt;&gt;0,I89/J89,"")</f>
        <v>7.25</v>
      </c>
      <c r="M89" s="301">
        <v>112879.75</v>
      </c>
      <c r="N89" s="138">
        <v>14607</v>
      </c>
      <c r="O89" s="103">
        <f>+M89/N89</f>
        <v>7.727784623810502</v>
      </c>
      <c r="P89" s="345"/>
    </row>
    <row r="90" spans="1:16" s="7" customFormat="1" ht="15">
      <c r="A90" s="63">
        <v>86</v>
      </c>
      <c r="B90" s="49" t="s">
        <v>10</v>
      </c>
      <c r="C90" s="39">
        <v>39829</v>
      </c>
      <c r="D90" s="44" t="s">
        <v>134</v>
      </c>
      <c r="E90" s="44" t="s">
        <v>11</v>
      </c>
      <c r="F90" s="41">
        <v>65</v>
      </c>
      <c r="G90" s="41">
        <v>1</v>
      </c>
      <c r="H90" s="41">
        <v>32</v>
      </c>
      <c r="I90" s="348">
        <v>40</v>
      </c>
      <c r="J90" s="349">
        <v>12</v>
      </c>
      <c r="K90" s="138">
        <f>(J90/G90)</f>
        <v>12</v>
      </c>
      <c r="L90" s="139">
        <f>I90/J90</f>
        <v>3.3333333333333335</v>
      </c>
      <c r="M90" s="301">
        <f>237023+244842+160469+47021+21536+18820+18020.5+26440+10695+9162.5+9870+6322+1787+2032+757+348+420.5+158+4053+339.5+3161.5+1729.5+752+1417+1780+64+1208+952+552+139.5+544+40</f>
        <v>832455.5</v>
      </c>
      <c r="N90" s="138">
        <f>25678+28966+21290+6590+4890+3520+3479+4786+1907+1716+2388+1533+368+541+126+70+67+48+991+81+743+414+155+169+445+16+302+238+117+23+48+12</f>
        <v>111717</v>
      </c>
      <c r="O90" s="103">
        <f>M90/N90</f>
        <v>7.451466652344764</v>
      </c>
      <c r="P90" s="345"/>
    </row>
    <row r="91" spans="1:16" s="7" customFormat="1" ht="15.75" thickBot="1">
      <c r="A91" s="63">
        <v>87</v>
      </c>
      <c r="B91" s="287" t="s">
        <v>472</v>
      </c>
      <c r="C91" s="259">
        <v>40025</v>
      </c>
      <c r="D91" s="260" t="s">
        <v>4</v>
      </c>
      <c r="E91" s="260" t="s">
        <v>77</v>
      </c>
      <c r="F91" s="261">
        <v>1</v>
      </c>
      <c r="G91" s="261">
        <v>1</v>
      </c>
      <c r="H91" s="261">
        <v>10</v>
      </c>
      <c r="I91" s="350">
        <v>30</v>
      </c>
      <c r="J91" s="351">
        <v>5</v>
      </c>
      <c r="K91" s="272">
        <f>+J91/G91</f>
        <v>5</v>
      </c>
      <c r="L91" s="285">
        <f>+I91/J91</f>
        <v>6</v>
      </c>
      <c r="M91" s="302">
        <v>6697</v>
      </c>
      <c r="N91" s="272">
        <v>718</v>
      </c>
      <c r="O91" s="286">
        <f>+M91/N91</f>
        <v>9.327298050139277</v>
      </c>
      <c r="P91" s="345"/>
    </row>
    <row r="92" spans="1:16" s="38" customFormat="1" ht="15">
      <c r="A92" s="370" t="s">
        <v>137</v>
      </c>
      <c r="B92" s="371"/>
      <c r="C92" s="34"/>
      <c r="D92" s="109"/>
      <c r="E92" s="109"/>
      <c r="F92" s="35"/>
      <c r="G92" s="36"/>
      <c r="H92" s="35"/>
      <c r="I92" s="68">
        <f>SUM(I5:I91)</f>
        <v>2893360</v>
      </c>
      <c r="J92" s="113">
        <f>SUM(J5:J91)</f>
        <v>312927</v>
      </c>
      <c r="K92" s="113"/>
      <c r="L92" s="61"/>
      <c r="M92" s="73"/>
      <c r="N92" s="78"/>
      <c r="O92" s="37"/>
      <c r="P92" s="245"/>
    </row>
    <row r="93" spans="1:16" s="7" customFormat="1" ht="13.5">
      <c r="A93" s="26"/>
      <c r="C93" s="11"/>
      <c r="D93" s="14"/>
      <c r="E93" s="14"/>
      <c r="F93" s="8"/>
      <c r="G93" s="8"/>
      <c r="H93" s="8"/>
      <c r="I93" s="69"/>
      <c r="J93" s="114"/>
      <c r="K93" s="114"/>
      <c r="L93" s="21"/>
      <c r="M93" s="75"/>
      <c r="N93" s="80"/>
      <c r="O93" s="21"/>
      <c r="P93" s="245"/>
    </row>
    <row r="94" spans="1:16" s="7" customFormat="1" ht="13.5">
      <c r="A94" s="26"/>
      <c r="B94"/>
      <c r="C94" s="83"/>
      <c r="D94" s="110"/>
      <c r="E94" s="110"/>
      <c r="F94" s="62"/>
      <c r="G94" s="16"/>
      <c r="H94" s="8"/>
      <c r="I94" s="69"/>
      <c r="J94" s="114"/>
      <c r="K94" s="372" t="s">
        <v>135</v>
      </c>
      <c r="L94" s="368"/>
      <c r="M94" s="368"/>
      <c r="N94" s="368"/>
      <c r="O94" s="368"/>
      <c r="P94" s="245"/>
    </row>
    <row r="95" spans="1:16" s="7" customFormat="1" ht="13.5">
      <c r="A95" s="26"/>
      <c r="B95"/>
      <c r="C95" s="83"/>
      <c r="D95" s="110"/>
      <c r="E95" s="110"/>
      <c r="F95" s="62"/>
      <c r="G95" s="8"/>
      <c r="H95" s="17"/>
      <c r="I95" s="69"/>
      <c r="J95" s="114"/>
      <c r="K95" s="368"/>
      <c r="L95" s="368"/>
      <c r="M95" s="368"/>
      <c r="N95" s="368"/>
      <c r="O95" s="368"/>
      <c r="P95" s="245"/>
    </row>
    <row r="96" spans="1:16" s="7" customFormat="1" ht="13.5">
      <c r="A96" s="26"/>
      <c r="B96"/>
      <c r="C96" s="83"/>
      <c r="D96" s="110"/>
      <c r="E96" s="110"/>
      <c r="F96" s="62"/>
      <c r="G96" s="8"/>
      <c r="H96" s="17"/>
      <c r="I96" s="69"/>
      <c r="J96" s="114"/>
      <c r="K96" s="368"/>
      <c r="L96" s="368"/>
      <c r="M96" s="368"/>
      <c r="N96" s="368"/>
      <c r="O96" s="368"/>
      <c r="P96" s="245"/>
    </row>
    <row r="97" spans="1:16" s="7" customFormat="1" ht="13.5">
      <c r="A97" s="26"/>
      <c r="B97"/>
      <c r="C97" s="83"/>
      <c r="D97" s="110"/>
      <c r="E97" s="110"/>
      <c r="F97" s="62"/>
      <c r="G97" s="8"/>
      <c r="H97" s="17"/>
      <c r="I97" s="69"/>
      <c r="J97" s="114"/>
      <c r="K97" s="373"/>
      <c r="L97" s="373"/>
      <c r="M97" s="373"/>
      <c r="N97" s="373"/>
      <c r="O97" s="373"/>
      <c r="P97" s="245"/>
    </row>
    <row r="98" spans="1:16" s="7" customFormat="1" ht="13.5">
      <c r="A98" s="26"/>
      <c r="B98"/>
      <c r="C98" s="83"/>
      <c r="D98" s="110"/>
      <c r="E98" s="110"/>
      <c r="F98" s="62"/>
      <c r="G98" s="8"/>
      <c r="H98" s="367" t="s">
        <v>100</v>
      </c>
      <c r="I98" s="368"/>
      <c r="J98" s="368"/>
      <c r="K98" s="368"/>
      <c r="L98" s="368"/>
      <c r="M98" s="368"/>
      <c r="N98" s="368"/>
      <c r="O98" s="368"/>
      <c r="P98" s="245"/>
    </row>
    <row r="99" spans="1:16" s="19" customFormat="1" ht="15">
      <c r="A99" s="26"/>
      <c r="B99"/>
      <c r="C99" s="83"/>
      <c r="D99" s="110"/>
      <c r="E99" s="110"/>
      <c r="F99" s="62"/>
      <c r="G99" s="23"/>
      <c r="H99" s="368"/>
      <c r="I99" s="368"/>
      <c r="J99" s="368"/>
      <c r="K99" s="368"/>
      <c r="L99" s="368"/>
      <c r="M99" s="368"/>
      <c r="N99" s="368"/>
      <c r="O99" s="368"/>
      <c r="P99" s="245"/>
    </row>
    <row r="100" spans="1:16" s="19" customFormat="1" ht="15">
      <c r="A100" s="26"/>
      <c r="B100"/>
      <c r="C100" s="83"/>
      <c r="D100" s="110"/>
      <c r="E100" s="110"/>
      <c r="F100" s="62"/>
      <c r="G100" s="18"/>
      <c r="H100" s="368"/>
      <c r="I100" s="368"/>
      <c r="J100" s="368"/>
      <c r="K100" s="368"/>
      <c r="L100" s="368"/>
      <c r="M100" s="368"/>
      <c r="N100" s="368"/>
      <c r="O100" s="368"/>
      <c r="P100" s="245"/>
    </row>
    <row r="101" spans="1:16" s="19" customFormat="1" ht="15">
      <c r="A101" s="26"/>
      <c r="B101"/>
      <c r="C101" s="83"/>
      <c r="D101" s="110"/>
      <c r="E101" s="110"/>
      <c r="F101" s="62"/>
      <c r="G101" s="18"/>
      <c r="H101" s="368"/>
      <c r="I101" s="368"/>
      <c r="J101" s="368"/>
      <c r="K101" s="368"/>
      <c r="L101" s="368"/>
      <c r="M101" s="368"/>
      <c r="N101" s="368"/>
      <c r="O101" s="368"/>
      <c r="P101" s="245"/>
    </row>
    <row r="102" spans="1:16" s="19" customFormat="1" ht="15">
      <c r="A102" s="26"/>
      <c r="B102"/>
      <c r="C102" s="83"/>
      <c r="D102" s="110"/>
      <c r="E102" s="110"/>
      <c r="F102" s="62"/>
      <c r="G102" s="18"/>
      <c r="H102" s="368"/>
      <c r="I102" s="368"/>
      <c r="J102" s="368"/>
      <c r="K102" s="368"/>
      <c r="L102" s="368"/>
      <c r="M102" s="368"/>
      <c r="N102" s="368"/>
      <c r="O102" s="368"/>
      <c r="P102" s="245"/>
    </row>
    <row r="103" spans="1:16" s="19" customFormat="1" ht="15">
      <c r="A103" s="26"/>
      <c r="B103"/>
      <c r="C103" s="83"/>
      <c r="D103" s="110"/>
      <c r="E103" s="110"/>
      <c r="F103" s="62"/>
      <c r="G103" s="18"/>
      <c r="H103" s="368"/>
      <c r="I103" s="368"/>
      <c r="J103" s="368"/>
      <c r="K103" s="368"/>
      <c r="L103" s="368"/>
      <c r="M103" s="368"/>
      <c r="N103" s="368"/>
      <c r="O103" s="368"/>
      <c r="P103" s="245"/>
    </row>
    <row r="104" spans="1:16" s="19" customFormat="1" ht="15">
      <c r="A104" s="26"/>
      <c r="B104"/>
      <c r="C104" s="83"/>
      <c r="D104" s="110"/>
      <c r="E104" s="110"/>
      <c r="F104" s="62"/>
      <c r="G104" s="18"/>
      <c r="H104" s="369" t="s">
        <v>0</v>
      </c>
      <c r="I104" s="368"/>
      <c r="J104" s="368"/>
      <c r="K104" s="368"/>
      <c r="L104" s="368"/>
      <c r="M104" s="368"/>
      <c r="N104" s="368"/>
      <c r="O104" s="368"/>
      <c r="P104" s="245"/>
    </row>
    <row r="105" spans="1:16" s="19" customFormat="1" ht="15">
      <c r="A105" s="26"/>
      <c r="B105"/>
      <c r="C105" s="83"/>
      <c r="D105" s="110"/>
      <c r="E105" s="110"/>
      <c r="F105" s="62"/>
      <c r="G105" s="18"/>
      <c r="H105" s="368"/>
      <c r="I105" s="368"/>
      <c r="J105" s="368"/>
      <c r="K105" s="368"/>
      <c r="L105" s="368"/>
      <c r="M105" s="368"/>
      <c r="N105" s="368"/>
      <c r="O105" s="368"/>
      <c r="P105" s="245"/>
    </row>
    <row r="106" spans="1:16" s="19" customFormat="1" ht="15">
      <c r="A106" s="26"/>
      <c r="B106"/>
      <c r="C106" s="83"/>
      <c r="D106" s="110"/>
      <c r="E106" s="110"/>
      <c r="F106" s="62"/>
      <c r="G106" s="18"/>
      <c r="H106" s="368"/>
      <c r="I106" s="368"/>
      <c r="J106" s="368"/>
      <c r="K106" s="368"/>
      <c r="L106" s="368"/>
      <c r="M106" s="368"/>
      <c r="N106" s="368"/>
      <c r="O106" s="368"/>
      <c r="P106" s="245"/>
    </row>
    <row r="107" spans="1:16" s="19" customFormat="1" ht="15">
      <c r="A107" s="26"/>
      <c r="B107"/>
      <c r="C107" s="83"/>
      <c r="D107" s="110"/>
      <c r="E107" s="110"/>
      <c r="F107" s="62"/>
      <c r="G107" s="18"/>
      <c r="H107" s="368"/>
      <c r="I107" s="368"/>
      <c r="J107" s="368"/>
      <c r="K107" s="368"/>
      <c r="L107" s="368"/>
      <c r="M107" s="368"/>
      <c r="N107" s="368"/>
      <c r="O107" s="368"/>
      <c r="P107" s="245"/>
    </row>
    <row r="108" spans="1:16" s="19" customFormat="1" ht="15">
      <c r="A108" s="26"/>
      <c r="B108"/>
      <c r="C108" s="83"/>
      <c r="D108" s="110"/>
      <c r="E108" s="110"/>
      <c r="F108" s="62"/>
      <c r="G108" s="18"/>
      <c r="H108" s="368"/>
      <c r="I108" s="368"/>
      <c r="J108" s="368"/>
      <c r="K108" s="368"/>
      <c r="L108" s="368"/>
      <c r="M108" s="368"/>
      <c r="N108" s="368"/>
      <c r="O108" s="368"/>
      <c r="P108" s="245"/>
    </row>
    <row r="109" spans="1:16" s="19" customFormat="1" ht="15">
      <c r="A109" s="26"/>
      <c r="B109" s="27"/>
      <c r="C109" s="46"/>
      <c r="D109" s="111"/>
      <c r="E109" s="111"/>
      <c r="F109" s="59"/>
      <c r="G109" s="18"/>
      <c r="H109" s="368"/>
      <c r="I109" s="368"/>
      <c r="J109" s="368"/>
      <c r="K109" s="368"/>
      <c r="L109" s="368"/>
      <c r="M109" s="368"/>
      <c r="N109" s="368"/>
      <c r="O109" s="368"/>
      <c r="P109" s="245"/>
    </row>
    <row r="110" spans="1:16" s="19" customFormat="1" ht="15">
      <c r="A110" s="26"/>
      <c r="B110" s="27"/>
      <c r="C110" s="46"/>
      <c r="D110" s="111"/>
      <c r="E110" s="111"/>
      <c r="F110" s="59"/>
      <c r="G110" s="18"/>
      <c r="H110" s="368"/>
      <c r="I110" s="368"/>
      <c r="J110" s="368"/>
      <c r="K110" s="368"/>
      <c r="L110" s="368"/>
      <c r="M110" s="368"/>
      <c r="N110" s="368"/>
      <c r="O110" s="368"/>
      <c r="P110" s="245"/>
    </row>
    <row r="111" spans="1:16" s="19" customFormat="1" ht="15">
      <c r="A111" s="26"/>
      <c r="B111" s="27"/>
      <c r="C111" s="46"/>
      <c r="D111" s="111"/>
      <c r="E111" s="111"/>
      <c r="F111" s="59"/>
      <c r="G111" s="18"/>
      <c r="H111" s="59"/>
      <c r="I111" s="71"/>
      <c r="J111" s="115"/>
      <c r="K111" s="115"/>
      <c r="L111" s="60"/>
      <c r="M111" s="117"/>
      <c r="N111" s="81"/>
      <c r="O111" s="60"/>
      <c r="P111" s="245"/>
    </row>
    <row r="112" spans="1:16" s="19" customFormat="1" ht="15">
      <c r="A112" s="26"/>
      <c r="B112" s="27"/>
      <c r="C112" s="46"/>
      <c r="D112" s="111"/>
      <c r="E112" s="111"/>
      <c r="F112" s="59"/>
      <c r="G112" s="18"/>
      <c r="H112" s="59"/>
      <c r="I112" s="71"/>
      <c r="J112" s="115"/>
      <c r="K112" s="115"/>
      <c r="L112" s="60"/>
      <c r="M112" s="117"/>
      <c r="N112" s="81"/>
      <c r="O112" s="60"/>
      <c r="P112" s="245"/>
    </row>
    <row r="113" spans="2:6" ht="18">
      <c r="B113" s="27"/>
      <c r="C113" s="46"/>
      <c r="D113" s="111"/>
      <c r="E113" s="111"/>
      <c r="F113" s="59"/>
    </row>
    <row r="114" spans="2:6" ht="18">
      <c r="B114" s="27"/>
      <c r="C114" s="46"/>
      <c r="D114" s="111"/>
      <c r="E114" s="111"/>
      <c r="F114" s="59"/>
    </row>
    <row r="115" spans="2:15" ht="18">
      <c r="B115" s="27"/>
      <c r="C115" s="46"/>
      <c r="D115" s="111"/>
      <c r="E115" s="111"/>
      <c r="F115" s="59"/>
      <c r="G115" s="59"/>
      <c r="H115" s="59"/>
      <c r="I115" s="71"/>
      <c r="J115" s="115"/>
      <c r="K115" s="115"/>
      <c r="L115" s="60"/>
      <c r="M115" s="76"/>
      <c r="N115" s="82"/>
      <c r="O115" s="60"/>
    </row>
    <row r="116" spans="2:15" ht="18">
      <c r="B116" s="27"/>
      <c r="C116" s="46"/>
      <c r="D116" s="111"/>
      <c r="E116" s="111"/>
      <c r="F116" s="59"/>
      <c r="G116" s="59"/>
      <c r="H116" s="59"/>
      <c r="I116" s="71"/>
      <c r="J116" s="115"/>
      <c r="K116" s="115"/>
      <c r="L116" s="60"/>
      <c r="M116" s="76"/>
      <c r="N116" s="82"/>
      <c r="O116" s="60"/>
    </row>
    <row r="117" spans="2:15" ht="18">
      <c r="B117" s="27"/>
      <c r="C117" s="46"/>
      <c r="D117" s="111"/>
      <c r="E117" s="111"/>
      <c r="F117" s="59"/>
      <c r="G117" s="59"/>
      <c r="H117" s="59"/>
      <c r="I117" s="71"/>
      <c r="J117" s="115"/>
      <c r="K117" s="115"/>
      <c r="L117" s="60"/>
      <c r="M117" s="76"/>
      <c r="N117" s="82"/>
      <c r="O117" s="60"/>
    </row>
    <row r="118" spans="2:15" ht="18">
      <c r="B118" s="27"/>
      <c r="C118" s="46"/>
      <c r="D118" s="111"/>
      <c r="E118" s="111"/>
      <c r="F118" s="59"/>
      <c r="G118" s="59"/>
      <c r="H118" s="59"/>
      <c r="I118" s="71"/>
      <c r="J118" s="115"/>
      <c r="K118" s="115"/>
      <c r="L118" s="60"/>
      <c r="M118" s="76"/>
      <c r="N118" s="82"/>
      <c r="O118" s="60"/>
    </row>
    <row r="119" spans="2:15" ht="18">
      <c r="B119" s="27"/>
      <c r="C119" s="46"/>
      <c r="D119" s="111"/>
      <c r="E119" s="111"/>
      <c r="F119" s="59"/>
      <c r="G119" s="59"/>
      <c r="H119" s="59"/>
      <c r="I119" s="71"/>
      <c r="J119" s="115"/>
      <c r="K119" s="115"/>
      <c r="L119" s="60"/>
      <c r="M119" s="76"/>
      <c r="N119" s="82"/>
      <c r="O119" s="60"/>
    </row>
    <row r="120" spans="2:15" ht="18">
      <c r="B120" s="27"/>
      <c r="C120" s="46"/>
      <c r="D120" s="111"/>
      <c r="E120" s="111"/>
      <c r="F120" s="59"/>
      <c r="G120" s="59"/>
      <c r="H120" s="59"/>
      <c r="I120" s="71"/>
      <c r="J120" s="115"/>
      <c r="K120" s="115"/>
      <c r="L120" s="60"/>
      <c r="M120" s="76"/>
      <c r="N120" s="82"/>
      <c r="O120" s="60"/>
    </row>
    <row r="121" spans="2:15" ht="18">
      <c r="B121" s="27"/>
      <c r="C121" s="46"/>
      <c r="D121" s="111"/>
      <c r="E121" s="111"/>
      <c r="F121" s="59"/>
      <c r="G121" s="59"/>
      <c r="H121" s="59"/>
      <c r="I121" s="71"/>
      <c r="J121" s="115"/>
      <c r="K121" s="115"/>
      <c r="L121" s="60"/>
      <c r="M121" s="76"/>
      <c r="N121" s="82"/>
      <c r="O121" s="60"/>
    </row>
    <row r="122" spans="2:15" ht="18">
      <c r="B122" s="27"/>
      <c r="C122" s="46"/>
      <c r="D122" s="111"/>
      <c r="E122" s="111"/>
      <c r="F122" s="59"/>
      <c r="G122" s="59"/>
      <c r="H122" s="59"/>
      <c r="I122" s="71"/>
      <c r="J122" s="115"/>
      <c r="K122" s="115"/>
      <c r="L122" s="60"/>
      <c r="M122" s="76"/>
      <c r="N122" s="82"/>
      <c r="O122" s="60"/>
    </row>
    <row r="123" spans="7:15" ht="18">
      <c r="G123" s="59"/>
      <c r="H123" s="59"/>
      <c r="I123" s="71"/>
      <c r="J123" s="115"/>
      <c r="K123" s="115"/>
      <c r="L123" s="60"/>
      <c r="M123" s="76"/>
      <c r="N123" s="82"/>
      <c r="O123" s="60"/>
    </row>
    <row r="124" spans="7:15" ht="18">
      <c r="G124" s="59"/>
      <c r="H124" s="59"/>
      <c r="I124" s="71"/>
      <c r="J124" s="115"/>
      <c r="K124" s="115"/>
      <c r="L124" s="60"/>
      <c r="M124" s="76"/>
      <c r="N124" s="82"/>
      <c r="O124" s="60"/>
    </row>
    <row r="125" spans="7:15" ht="18">
      <c r="G125" s="59"/>
      <c r="H125" s="59"/>
      <c r="I125" s="71"/>
      <c r="J125" s="115"/>
      <c r="K125" s="115"/>
      <c r="L125" s="60"/>
      <c r="M125" s="76"/>
      <c r="N125" s="82"/>
      <c r="O125" s="60"/>
    </row>
    <row r="126" spans="7:15" ht="18">
      <c r="G126" s="59"/>
      <c r="H126" s="59"/>
      <c r="I126" s="71"/>
      <c r="J126" s="115"/>
      <c r="K126" s="115"/>
      <c r="L126" s="60"/>
      <c r="M126" s="76"/>
      <c r="N126" s="82"/>
      <c r="O126" s="60"/>
    </row>
    <row r="127" spans="7:15" ht="18">
      <c r="G127" s="59"/>
      <c r="H127" s="59"/>
      <c r="I127" s="71"/>
      <c r="J127" s="115"/>
      <c r="K127" s="115"/>
      <c r="L127" s="60"/>
      <c r="M127" s="76"/>
      <c r="N127" s="82"/>
      <c r="O127" s="60"/>
    </row>
    <row r="128" spans="7:15" ht="18">
      <c r="G128" s="59"/>
      <c r="H128" s="59"/>
      <c r="I128" s="71"/>
      <c r="J128" s="115"/>
      <c r="K128" s="115"/>
      <c r="L128" s="60"/>
      <c r="M128" s="76"/>
      <c r="N128" s="82"/>
      <c r="O128" s="60"/>
    </row>
  </sheetData>
  <sheetProtection insertRows="0" deleteRows="0" sort="0"/>
  <mergeCells count="15">
    <mergeCell ref="H98:O103"/>
    <mergeCell ref="H104:O110"/>
    <mergeCell ref="A92:B92"/>
    <mergeCell ref="K94:O96"/>
    <mergeCell ref="K97:O9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92:O103 Q11 Q9:Q10 K16:N16 Q12 Q13:Q15 Q7 Q38 Q8 K8:N15 K17:N19 K36:N36 K21:N22 K37:N37 K20:N20 K32:N33 K29:N30 K34:N35 K23:N24 K31:N31 K25:N27 K28:N28 Q31 Q28 Q20 Q34:Q35 Q25:Q27 Q23:Q24 Q29:Q30 Q37 Q32:Q33 Q21:Q22 Q36 Q17:Q19 Q16 O16:P37 L7 K81:O91" formula="1"/>
    <ignoredError sqref="Q43:Q47 Q52:Q56 F24:J33 Q42 Q48:Q51 F43:H47" numberStoredAsText="1"/>
  </ignoredErrors>
  <drawing r:id="rId1"/>
</worksheet>
</file>

<file path=xl/worksheets/sheet2.xml><?xml version="1.0" encoding="utf-8"?>
<worksheet xmlns="http://schemas.openxmlformats.org/spreadsheetml/2006/main" xmlns:r="http://schemas.openxmlformats.org/officeDocument/2006/relationships">
  <dimension ref="A1:N198"/>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4" bestFit="1" customWidth="1"/>
    <col min="9" max="9" width="11.7109375" style="125" bestFit="1" customWidth="1"/>
    <col min="10" max="10" width="7.57421875" style="31" customWidth="1"/>
    <col min="11" max="11" width="2.421875" style="268"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5" customFormat="1" ht="36.75" customHeight="1" thickBot="1">
      <c r="A1" s="374" t="s">
        <v>549</v>
      </c>
      <c r="B1" s="374"/>
      <c r="C1" s="374"/>
      <c r="D1" s="374"/>
      <c r="E1" s="374"/>
      <c r="F1" s="374"/>
      <c r="G1" s="374"/>
      <c r="H1" s="374"/>
      <c r="I1" s="374"/>
      <c r="J1" s="374"/>
      <c r="K1" s="267"/>
      <c r="L1" s="133"/>
      <c r="M1" s="134"/>
      <c r="N1" s="133"/>
    </row>
    <row r="2" ht="13.5" thickBot="1"/>
    <row r="3" spans="1:14" s="29" customFormat="1" ht="14.25">
      <c r="A3" s="33"/>
      <c r="B3" s="375" t="s">
        <v>3</v>
      </c>
      <c r="C3" s="377" t="s">
        <v>102</v>
      </c>
      <c r="D3" s="377" t="s">
        <v>110</v>
      </c>
      <c r="E3" s="377" t="s">
        <v>109</v>
      </c>
      <c r="F3" s="359" t="s">
        <v>114</v>
      </c>
      <c r="G3" s="359" t="s">
        <v>103</v>
      </c>
      <c r="H3" s="380" t="s">
        <v>116</v>
      </c>
      <c r="I3" s="381"/>
      <c r="J3" s="382" t="s">
        <v>104</v>
      </c>
      <c r="K3" s="269"/>
      <c r="L3" s="55"/>
      <c r="M3" s="57"/>
      <c r="N3" s="55"/>
    </row>
    <row r="4" spans="1:14" s="29" customFormat="1" ht="33" customHeight="1" thickBot="1">
      <c r="A4" s="47"/>
      <c r="B4" s="376"/>
      <c r="C4" s="378"/>
      <c r="D4" s="378"/>
      <c r="E4" s="378"/>
      <c r="F4" s="379"/>
      <c r="G4" s="379"/>
      <c r="H4" s="295" t="s">
        <v>76</v>
      </c>
      <c r="I4" s="296" t="s">
        <v>2</v>
      </c>
      <c r="J4" s="383"/>
      <c r="K4" s="269"/>
      <c r="L4" s="55"/>
      <c r="M4" s="57"/>
      <c r="N4" s="55"/>
    </row>
    <row r="5" spans="1:14" s="29" customFormat="1" ht="15">
      <c r="A5" s="106">
        <v>1</v>
      </c>
      <c r="B5" s="281" t="s">
        <v>194</v>
      </c>
      <c r="C5" s="144">
        <v>39857</v>
      </c>
      <c r="D5" s="257" t="s">
        <v>132</v>
      </c>
      <c r="E5" s="257" t="s">
        <v>504</v>
      </c>
      <c r="F5" s="258">
        <v>372</v>
      </c>
      <c r="G5" s="258">
        <v>22</v>
      </c>
      <c r="H5" s="344">
        <f>17329163.5+9384321+4035301-111+1596787.5-52+594784+289448.5+142806.5+57257.5+10859.5+1656+13165+452+3902+124+16239+3704+0.5+78+78+442+474+277+19</f>
        <v>33481176.5</v>
      </c>
      <c r="I5" s="277">
        <f>2236432+1203711+519916+206906+76573+36964+29367+10451+1641+205+2816+174+976+16+3753+578+12+13+73+79+55+3</f>
        <v>4330714</v>
      </c>
      <c r="J5" s="283">
        <f>+H5/I5</f>
        <v>7.731098497845852</v>
      </c>
      <c r="K5" s="255"/>
      <c r="L5" s="107"/>
      <c r="M5" s="108"/>
      <c r="N5" s="107"/>
    </row>
    <row r="6" spans="1:14" s="29" customFormat="1" ht="15">
      <c r="A6" s="106">
        <v>2</v>
      </c>
      <c r="B6" s="49" t="s">
        <v>236</v>
      </c>
      <c r="C6" s="39">
        <v>39884</v>
      </c>
      <c r="D6" s="44" t="s">
        <v>4</v>
      </c>
      <c r="E6" s="44" t="s">
        <v>237</v>
      </c>
      <c r="F6" s="41">
        <v>355</v>
      </c>
      <c r="G6" s="41">
        <v>30</v>
      </c>
      <c r="H6" s="301">
        <v>19043725</v>
      </c>
      <c r="I6" s="138">
        <v>2491454</v>
      </c>
      <c r="J6" s="103">
        <f>+H6/I6</f>
        <v>7.643618947008454</v>
      </c>
      <c r="K6" s="247">
        <v>1</v>
      </c>
      <c r="L6" s="107"/>
      <c r="M6" s="108"/>
      <c r="N6" s="107"/>
    </row>
    <row r="7" spans="1:14" s="29" customFormat="1" ht="15.75" thickBot="1">
      <c r="A7" s="271">
        <v>3</v>
      </c>
      <c r="B7" s="287" t="s">
        <v>423</v>
      </c>
      <c r="C7" s="259">
        <v>39995</v>
      </c>
      <c r="D7" s="260" t="s">
        <v>134</v>
      </c>
      <c r="E7" s="260" t="s">
        <v>133</v>
      </c>
      <c r="F7" s="261">
        <v>209</v>
      </c>
      <c r="G7" s="261">
        <v>14</v>
      </c>
      <c r="H7" s="302">
        <f>872160.5+3062686.25+2016658.5+1330226.25+943221.5+742732+516667.5+450351.5+331944.75+238834+191406+133484.5+252388.75+88483.5+54821.5</f>
        <v>11226067</v>
      </c>
      <c r="I7" s="272">
        <f>115039+364710+241056+162109+115810+90639+66180+59650+44695+33272+25508+18324+32600+11489+6695</f>
        <v>1387776</v>
      </c>
      <c r="J7" s="286">
        <f>H7/I7</f>
        <v>8.08924999423538</v>
      </c>
      <c r="K7" s="247"/>
      <c r="L7" s="107"/>
      <c r="M7" s="108"/>
      <c r="N7" s="107"/>
    </row>
    <row r="8" spans="1:14" s="29" customFormat="1" ht="15">
      <c r="A8" s="106">
        <v>4</v>
      </c>
      <c r="B8" s="213" t="s">
        <v>355</v>
      </c>
      <c r="C8" s="262">
        <v>39948</v>
      </c>
      <c r="D8" s="263" t="s">
        <v>130</v>
      </c>
      <c r="E8" s="263" t="s">
        <v>63</v>
      </c>
      <c r="F8" s="214">
        <v>187</v>
      </c>
      <c r="G8" s="214">
        <v>21</v>
      </c>
      <c r="H8" s="303">
        <v>5976194</v>
      </c>
      <c r="I8" s="221">
        <v>705709</v>
      </c>
      <c r="J8" s="225">
        <f>+H8/I8</f>
        <v>8.468354520064219</v>
      </c>
      <c r="K8" s="247"/>
      <c r="L8" s="107"/>
      <c r="M8" s="108"/>
      <c r="N8" s="107"/>
    </row>
    <row r="9" spans="1:14" s="29" customFormat="1" ht="15">
      <c r="A9" s="106">
        <v>5</v>
      </c>
      <c r="B9" s="49" t="s">
        <v>547</v>
      </c>
      <c r="C9" s="39">
        <v>40009</v>
      </c>
      <c r="D9" s="44" t="s">
        <v>130</v>
      </c>
      <c r="E9" s="44" t="s">
        <v>122</v>
      </c>
      <c r="F9" s="41">
        <v>190</v>
      </c>
      <c r="G9" s="41">
        <v>12</v>
      </c>
      <c r="H9" s="301">
        <v>5048108</v>
      </c>
      <c r="I9" s="138">
        <v>638609</v>
      </c>
      <c r="J9" s="103">
        <f>+H9/I9</f>
        <v>7.904849446218265</v>
      </c>
      <c r="K9" s="247"/>
      <c r="L9" s="107"/>
      <c r="M9" s="108"/>
      <c r="N9" s="107"/>
    </row>
    <row r="10" spans="1:14" s="29" customFormat="1" ht="15">
      <c r="A10" s="106">
        <v>6</v>
      </c>
      <c r="B10" s="49" t="s">
        <v>151</v>
      </c>
      <c r="C10" s="39">
        <v>39836</v>
      </c>
      <c r="D10" s="44" t="s">
        <v>132</v>
      </c>
      <c r="E10" s="44" t="s">
        <v>455</v>
      </c>
      <c r="F10" s="41">
        <v>180</v>
      </c>
      <c r="G10" s="41">
        <v>21</v>
      </c>
      <c r="H10" s="301">
        <f>1758644.5+1323710+941534+309534.5+197920+55019+28515+10481.5+9376+0.5+7127+5202+0.5+4667+2669+85+805+2472+228+108+1372+272+347</f>
        <v>4660089.5</v>
      </c>
      <c r="I10" s="138">
        <f>205635+158652+117576+43365+28181+9066+4843+2243+2345+1225+998+716+401+17+161+412+38+18+343+46+58</f>
        <v>576339</v>
      </c>
      <c r="J10" s="103">
        <f>+H10/I10</f>
        <v>8.085674403432701</v>
      </c>
      <c r="K10" s="255"/>
      <c r="L10" s="107"/>
      <c r="M10" s="108"/>
      <c r="N10" s="107"/>
    </row>
    <row r="11" spans="1:14" s="29" customFormat="1" ht="15">
      <c r="A11" s="106">
        <v>7</v>
      </c>
      <c r="B11" s="49" t="s">
        <v>176</v>
      </c>
      <c r="C11" s="39">
        <v>39850</v>
      </c>
      <c r="D11" s="44" t="s">
        <v>130</v>
      </c>
      <c r="E11" s="44" t="s">
        <v>122</v>
      </c>
      <c r="F11" s="41">
        <v>71</v>
      </c>
      <c r="G11" s="41">
        <v>21</v>
      </c>
      <c r="H11" s="301">
        <v>4212868</v>
      </c>
      <c r="I11" s="138">
        <v>465319</v>
      </c>
      <c r="J11" s="103">
        <f>+H11/I11</f>
        <v>9.05372013607869</v>
      </c>
      <c r="K11" s="255"/>
      <c r="L11" s="107"/>
      <c r="M11" s="108"/>
      <c r="N11" s="107"/>
    </row>
    <row r="12" spans="1:14" s="29" customFormat="1" ht="15">
      <c r="A12" s="106">
        <v>8</v>
      </c>
      <c r="B12" s="49" t="s">
        <v>5</v>
      </c>
      <c r="C12" s="39">
        <v>39829</v>
      </c>
      <c r="D12" s="44" t="s">
        <v>136</v>
      </c>
      <c r="E12" s="44" t="s">
        <v>463</v>
      </c>
      <c r="F12" s="41">
        <v>169</v>
      </c>
      <c r="G12" s="41">
        <v>23</v>
      </c>
      <c r="H12" s="301">
        <v>3760707.25</v>
      </c>
      <c r="I12" s="138">
        <v>516018</v>
      </c>
      <c r="J12" s="103">
        <f>+H12/I12</f>
        <v>7.2879381145618956</v>
      </c>
      <c r="K12" s="255"/>
      <c r="L12" s="107"/>
      <c r="M12" s="108"/>
      <c r="N12" s="107"/>
    </row>
    <row r="13" spans="1:14" s="29" customFormat="1" ht="15">
      <c r="A13" s="106">
        <v>9</v>
      </c>
      <c r="B13" s="49" t="s">
        <v>86</v>
      </c>
      <c r="C13" s="39">
        <v>39822</v>
      </c>
      <c r="D13" s="44" t="s">
        <v>136</v>
      </c>
      <c r="E13" s="44" t="s">
        <v>87</v>
      </c>
      <c r="F13" s="41">
        <v>175</v>
      </c>
      <c r="G13" s="41">
        <v>22</v>
      </c>
      <c r="H13" s="301">
        <v>3513711</v>
      </c>
      <c r="I13" s="138">
        <v>479658</v>
      </c>
      <c r="J13" s="103">
        <f>IF(H13&lt;&gt;0,H13/I13,"")</f>
        <v>7.325450633576423</v>
      </c>
      <c r="K13" s="255"/>
      <c r="L13" s="107"/>
      <c r="M13" s="108"/>
      <c r="N13" s="107"/>
    </row>
    <row r="14" spans="1:14" s="29" customFormat="1" ht="15">
      <c r="A14" s="106">
        <v>10</v>
      </c>
      <c r="B14" s="49" t="s">
        <v>405</v>
      </c>
      <c r="C14" s="39">
        <v>39906</v>
      </c>
      <c r="D14" s="44" t="s">
        <v>131</v>
      </c>
      <c r="E14" s="44" t="s">
        <v>43</v>
      </c>
      <c r="F14" s="41">
        <v>96</v>
      </c>
      <c r="G14" s="41">
        <v>25</v>
      </c>
      <c r="H14" s="301">
        <v>3172155</v>
      </c>
      <c r="I14" s="138">
        <v>379827</v>
      </c>
      <c r="J14" s="103">
        <f aca="true" t="shared" si="0" ref="J14:J20">+H14/I14</f>
        <v>8.351578481782497</v>
      </c>
      <c r="K14" s="255"/>
      <c r="L14" s="107"/>
      <c r="M14" s="108"/>
      <c r="N14" s="107"/>
    </row>
    <row r="15" spans="1:14" s="29" customFormat="1" ht="15">
      <c r="A15" s="106">
        <v>11</v>
      </c>
      <c r="B15" s="49" t="s">
        <v>238</v>
      </c>
      <c r="C15" s="39">
        <v>39871</v>
      </c>
      <c r="D15" s="44" t="s">
        <v>239</v>
      </c>
      <c r="E15" s="44" t="s">
        <v>112</v>
      </c>
      <c r="F15" s="41">
        <v>57</v>
      </c>
      <c r="G15" s="41">
        <v>17</v>
      </c>
      <c r="H15" s="301">
        <v>3097866</v>
      </c>
      <c r="I15" s="138">
        <v>338209</v>
      </c>
      <c r="J15" s="103">
        <f t="shared" si="0"/>
        <v>9.159620234825212</v>
      </c>
      <c r="K15" s="255"/>
      <c r="L15" s="107"/>
      <c r="M15" s="108"/>
      <c r="N15" s="107"/>
    </row>
    <row r="16" spans="1:14" s="29" customFormat="1" ht="15">
      <c r="A16" s="106">
        <v>12</v>
      </c>
      <c r="B16" s="49" t="s">
        <v>6</v>
      </c>
      <c r="C16" s="39">
        <v>39829</v>
      </c>
      <c r="D16" s="44" t="s">
        <v>130</v>
      </c>
      <c r="E16" s="44" t="s">
        <v>122</v>
      </c>
      <c r="F16" s="41">
        <v>91</v>
      </c>
      <c r="G16" s="41">
        <v>11</v>
      </c>
      <c r="H16" s="301">
        <f>1185400+899041+1833+634887+222568+15075+17069-23+10895+8360+1979+2149+1799</f>
        <v>3001032</v>
      </c>
      <c r="I16" s="138">
        <f>128777+93782-9+68090+25354+2533+3131-2+2509+1525+960+396+302</f>
        <v>327348</v>
      </c>
      <c r="J16" s="103">
        <f t="shared" si="0"/>
        <v>9.167711426371934</v>
      </c>
      <c r="K16" s="255"/>
      <c r="L16" s="107"/>
      <c r="M16" s="108"/>
      <c r="N16" s="107"/>
    </row>
    <row r="17" spans="1:14" s="29" customFormat="1" ht="15">
      <c r="A17" s="106">
        <v>13</v>
      </c>
      <c r="B17" s="49" t="s">
        <v>501</v>
      </c>
      <c r="C17" s="39">
        <v>40009</v>
      </c>
      <c r="D17" s="44" t="s">
        <v>130</v>
      </c>
      <c r="E17" s="44" t="s">
        <v>122</v>
      </c>
      <c r="F17" s="41">
        <v>19</v>
      </c>
      <c r="G17" s="41">
        <v>6</v>
      </c>
      <c r="H17" s="301">
        <v>2891030</v>
      </c>
      <c r="I17" s="138">
        <v>251599</v>
      </c>
      <c r="J17" s="103">
        <f t="shared" si="0"/>
        <v>11.490625956382974</v>
      </c>
      <c r="K17" s="247"/>
      <c r="L17" s="107"/>
      <c r="M17" s="108"/>
      <c r="N17" s="107"/>
    </row>
    <row r="18" spans="1:14" s="29" customFormat="1" ht="15">
      <c r="A18" s="106">
        <v>14</v>
      </c>
      <c r="B18" s="49" t="s">
        <v>447</v>
      </c>
      <c r="C18" s="39">
        <v>39988</v>
      </c>
      <c r="D18" s="44" t="s">
        <v>131</v>
      </c>
      <c r="E18" s="44" t="s">
        <v>127</v>
      </c>
      <c r="F18" s="41">
        <v>137</v>
      </c>
      <c r="G18" s="41">
        <v>16</v>
      </c>
      <c r="H18" s="301">
        <v>2845360</v>
      </c>
      <c r="I18" s="138">
        <v>347045</v>
      </c>
      <c r="J18" s="103">
        <f t="shared" si="0"/>
        <v>8.198821478482618</v>
      </c>
      <c r="K18" s="247"/>
      <c r="L18" s="107"/>
      <c r="M18" s="108"/>
      <c r="N18" s="107"/>
    </row>
    <row r="19" spans="1:14" s="29" customFormat="1" ht="15">
      <c r="A19" s="106">
        <v>15</v>
      </c>
      <c r="B19" s="49" t="s">
        <v>491</v>
      </c>
      <c r="C19" s="39">
        <v>40046</v>
      </c>
      <c r="D19" s="44" t="s">
        <v>131</v>
      </c>
      <c r="E19" s="44" t="s">
        <v>43</v>
      </c>
      <c r="F19" s="41">
        <v>55</v>
      </c>
      <c r="G19" s="41">
        <v>7</v>
      </c>
      <c r="H19" s="301">
        <v>2833337</v>
      </c>
      <c r="I19" s="138">
        <v>278558</v>
      </c>
      <c r="J19" s="103">
        <f t="shared" si="0"/>
        <v>10.17144364907847</v>
      </c>
      <c r="K19" s="247"/>
      <c r="L19" s="107"/>
      <c r="M19" s="108"/>
      <c r="N19" s="107"/>
    </row>
    <row r="20" spans="1:14" s="29" customFormat="1" ht="15">
      <c r="A20" s="106">
        <v>16</v>
      </c>
      <c r="B20" s="49" t="s">
        <v>290</v>
      </c>
      <c r="C20" s="39">
        <v>39913</v>
      </c>
      <c r="D20" s="44" t="s">
        <v>130</v>
      </c>
      <c r="E20" s="44" t="s">
        <v>35</v>
      </c>
      <c r="F20" s="41">
        <v>102</v>
      </c>
      <c r="G20" s="41">
        <v>17</v>
      </c>
      <c r="H20" s="301">
        <v>2800861</v>
      </c>
      <c r="I20" s="138">
        <v>327899</v>
      </c>
      <c r="J20" s="103">
        <f t="shared" si="0"/>
        <v>8.541840627754278</v>
      </c>
      <c r="K20" s="255"/>
      <c r="L20" s="107"/>
      <c r="M20" s="108"/>
      <c r="N20" s="107"/>
    </row>
    <row r="21" spans="1:14" s="29" customFormat="1" ht="15">
      <c r="A21" s="106">
        <v>17</v>
      </c>
      <c r="B21" s="49" t="s">
        <v>7</v>
      </c>
      <c r="C21" s="39">
        <v>39829</v>
      </c>
      <c r="D21" s="44" t="s">
        <v>134</v>
      </c>
      <c r="E21" s="44" t="s">
        <v>35</v>
      </c>
      <c r="F21" s="41">
        <v>80</v>
      </c>
      <c r="G21" s="41">
        <v>37</v>
      </c>
      <c r="H21" s="301">
        <f>783409.5+672566+392418+168504+54411+64946+58601+64120+20152+13919+28038+18395+13488+12795+8277+3206+3326.5+2899+422+2494+2511+191208.5+52491.25+20983+9705.5+4052+4553+3287+2148+4646.5+4535.5+5023+5448+1873+1975.25+1426+176</f>
        <v>2702429.5</v>
      </c>
      <c r="I21" s="138">
        <f>86363+71043+43171+22546+8141+10573+9585+10952+3417+2596+4707+3339+2364+2380+1458+540+671+701+80+511+492+23153+7937+3484+2007+768+830+670+362+791+720+747+935+313+335+201+22</f>
        <v>328905</v>
      </c>
      <c r="J21" s="103">
        <f>H21/I21</f>
        <v>8.216443957981788</v>
      </c>
      <c r="K21" s="255"/>
      <c r="L21" s="107"/>
      <c r="M21" s="108"/>
      <c r="N21" s="107"/>
    </row>
    <row r="22" spans="1:14" s="29" customFormat="1" ht="15">
      <c r="A22" s="106">
        <v>18</v>
      </c>
      <c r="B22" s="49" t="s">
        <v>384</v>
      </c>
      <c r="C22" s="39">
        <v>39969</v>
      </c>
      <c r="D22" s="44" t="s">
        <v>130</v>
      </c>
      <c r="E22" s="44" t="s">
        <v>63</v>
      </c>
      <c r="F22" s="41">
        <v>152</v>
      </c>
      <c r="G22" s="41">
        <v>14</v>
      </c>
      <c r="H22" s="301">
        <v>2357778</v>
      </c>
      <c r="I22" s="138">
        <v>275936</v>
      </c>
      <c r="J22" s="103">
        <f>+H22/I22</f>
        <v>8.544655282384321</v>
      </c>
      <c r="K22" s="255"/>
      <c r="L22" s="107"/>
      <c r="M22" s="108"/>
      <c r="N22" s="107"/>
    </row>
    <row r="23" spans="1:14" s="29" customFormat="1" ht="15">
      <c r="A23" s="106">
        <v>19</v>
      </c>
      <c r="B23" s="49" t="s">
        <v>152</v>
      </c>
      <c r="C23" s="39">
        <v>39836</v>
      </c>
      <c r="D23" s="44" t="s">
        <v>131</v>
      </c>
      <c r="E23" s="44" t="s">
        <v>43</v>
      </c>
      <c r="F23" s="41">
        <v>108</v>
      </c>
      <c r="G23" s="41">
        <v>22</v>
      </c>
      <c r="H23" s="301">
        <v>2302589</v>
      </c>
      <c r="I23" s="138">
        <v>277091</v>
      </c>
      <c r="J23" s="103">
        <f>+H23/I23</f>
        <v>8.309865711986316</v>
      </c>
      <c r="K23" s="255"/>
      <c r="L23" s="107"/>
      <c r="M23" s="108"/>
      <c r="N23" s="107"/>
    </row>
    <row r="24" spans="1:14" s="29" customFormat="1" ht="15">
      <c r="A24" s="106">
        <v>20</v>
      </c>
      <c r="B24" s="275" t="s">
        <v>8</v>
      </c>
      <c r="C24" s="39">
        <v>39829</v>
      </c>
      <c r="D24" s="44" t="s">
        <v>131</v>
      </c>
      <c r="E24" s="44" t="s">
        <v>320</v>
      </c>
      <c r="F24" s="41">
        <v>177</v>
      </c>
      <c r="G24" s="41">
        <v>15</v>
      </c>
      <c r="H24" s="332">
        <v>1818482</v>
      </c>
      <c r="I24" s="138">
        <v>248596</v>
      </c>
      <c r="J24" s="274">
        <f>+H24/I24</f>
        <v>7.315009091055367</v>
      </c>
      <c r="K24" s="255"/>
      <c r="L24" s="107"/>
      <c r="M24" s="108"/>
      <c r="N24" s="107"/>
    </row>
    <row r="25" spans="1:14" s="29" customFormat="1" ht="15">
      <c r="A25" s="106">
        <v>21</v>
      </c>
      <c r="B25" s="49" t="s">
        <v>479</v>
      </c>
      <c r="C25" s="39">
        <v>39913</v>
      </c>
      <c r="D25" s="44" t="s">
        <v>131</v>
      </c>
      <c r="E25" s="44" t="s">
        <v>127</v>
      </c>
      <c r="F25" s="41">
        <v>95</v>
      </c>
      <c r="G25" s="41">
        <v>26</v>
      </c>
      <c r="H25" s="301">
        <v>1701090</v>
      </c>
      <c r="I25" s="138">
        <v>158671</v>
      </c>
      <c r="J25" s="103">
        <f>+H25/I25</f>
        <v>10.720862665515437</v>
      </c>
      <c r="K25" s="247"/>
      <c r="L25" s="107"/>
      <c r="M25" s="108"/>
      <c r="N25" s="107"/>
    </row>
    <row r="26" spans="1:14" s="29" customFormat="1" ht="15">
      <c r="A26" s="106">
        <v>22</v>
      </c>
      <c r="B26" s="49" t="s">
        <v>217</v>
      </c>
      <c r="C26" s="39">
        <v>39871</v>
      </c>
      <c r="D26" s="44" t="s">
        <v>132</v>
      </c>
      <c r="E26" s="44" t="s">
        <v>537</v>
      </c>
      <c r="F26" s="41">
        <v>192</v>
      </c>
      <c r="G26" s="41">
        <v>20</v>
      </c>
      <c r="H26" s="301">
        <f>568084.5+439199.5+199559+109980+164256.5-20+26773.5+13463+1383+6404+0.5+715+335+85+378+1008+757+6618+713+0.75+243+1525+380+105</f>
        <v>1541946.25</v>
      </c>
      <c r="I26" s="138">
        <f>79686+62524+31158+18444+26844-3+5195+2619+207+1137+130+77+14+84+252+149+1160+124+32+241+76+21</f>
        <v>230171</v>
      </c>
      <c r="J26" s="103">
        <f>+H26/I26</f>
        <v>6.699133470332926</v>
      </c>
      <c r="K26" s="255">
        <v>1</v>
      </c>
      <c r="L26" s="107"/>
      <c r="M26" s="108"/>
      <c r="N26" s="107"/>
    </row>
    <row r="27" spans="1:14" s="29" customFormat="1" ht="15">
      <c r="A27" s="106">
        <v>23</v>
      </c>
      <c r="B27" s="49" t="s">
        <v>88</v>
      </c>
      <c r="C27" s="39">
        <v>39822</v>
      </c>
      <c r="D27" s="44" t="s">
        <v>134</v>
      </c>
      <c r="E27" s="44" t="s">
        <v>1</v>
      </c>
      <c r="F27" s="41">
        <v>37</v>
      </c>
      <c r="G27" s="41">
        <v>27</v>
      </c>
      <c r="H27" s="301">
        <f>659650+421734+197166+56066+26078+17427+25433+18144+27821+1811+493.5+7565+4181.5+3162+140+1484+1484+728+280+504+1793+1407+646+512+440+510+1664</f>
        <v>1478324</v>
      </c>
      <c r="I27" s="138">
        <f>60096+38612+18194+5957+3377+2817+3965+3389+4264+427+74+1077+688+516+28+371+371+204+56+126+279+169+61+112+44+72+416</f>
        <v>145762</v>
      </c>
      <c r="J27" s="103">
        <f>H27/I27</f>
        <v>10.142039763450008</v>
      </c>
      <c r="K27" s="255"/>
      <c r="L27" s="107"/>
      <c r="M27" s="108"/>
      <c r="N27" s="107"/>
    </row>
    <row r="28" spans="1:14" s="29" customFormat="1" ht="15">
      <c r="A28" s="106">
        <v>24</v>
      </c>
      <c r="B28" s="49" t="s">
        <v>305</v>
      </c>
      <c r="C28" s="39">
        <v>39927</v>
      </c>
      <c r="D28" s="44" t="s">
        <v>130</v>
      </c>
      <c r="E28" s="44" t="s">
        <v>35</v>
      </c>
      <c r="F28" s="41">
        <v>65</v>
      </c>
      <c r="G28" s="41">
        <v>18</v>
      </c>
      <c r="H28" s="301">
        <v>1472366</v>
      </c>
      <c r="I28" s="138">
        <v>155137</v>
      </c>
      <c r="J28" s="103">
        <f>+H28/I28</f>
        <v>9.49074688823427</v>
      </c>
      <c r="K28" s="255"/>
      <c r="L28" s="107"/>
      <c r="M28" s="108"/>
      <c r="N28" s="107"/>
    </row>
    <row r="29" spans="1:14" s="29" customFormat="1" ht="15">
      <c r="A29" s="106">
        <v>25</v>
      </c>
      <c r="B29" s="49" t="s">
        <v>531</v>
      </c>
      <c r="C29" s="39">
        <v>40032</v>
      </c>
      <c r="D29" s="44" t="s">
        <v>131</v>
      </c>
      <c r="E29" s="44" t="s">
        <v>127</v>
      </c>
      <c r="F29" s="41">
        <v>96</v>
      </c>
      <c r="G29" s="41">
        <v>9</v>
      </c>
      <c r="H29" s="301">
        <v>1440555</v>
      </c>
      <c r="I29" s="138">
        <v>173227</v>
      </c>
      <c r="J29" s="103">
        <f>+H29/I29</f>
        <v>8.31599577433079</v>
      </c>
      <c r="K29" s="247"/>
      <c r="L29" s="107"/>
      <c r="M29" s="108"/>
      <c r="N29" s="107"/>
    </row>
    <row r="30" spans="1:14" s="29" customFormat="1" ht="16.5" customHeight="1">
      <c r="A30" s="106">
        <v>26</v>
      </c>
      <c r="B30" s="49" t="s">
        <v>325</v>
      </c>
      <c r="C30" s="39">
        <v>39934</v>
      </c>
      <c r="D30" s="44" t="s">
        <v>134</v>
      </c>
      <c r="E30" s="44" t="s">
        <v>133</v>
      </c>
      <c r="F30" s="41">
        <v>110</v>
      </c>
      <c r="G30" s="41">
        <v>19</v>
      </c>
      <c r="H30" s="301">
        <f>827831.75+302940.25+148808.75+55079+41974+18468.5+20758+2655+3963+983+1539+209+895+461+2514+30+215+1138.5+28</f>
        <v>1430490.75</v>
      </c>
      <c r="I30" s="138">
        <f>84699+31917+18690+9450+7367+3640+4667+407+823+153+305+74+193+75+537+2+19+175+2</f>
        <v>163195</v>
      </c>
      <c r="J30" s="103">
        <f>H30/I30</f>
        <v>8.7655305003217</v>
      </c>
      <c r="K30" s="255"/>
      <c r="L30" s="107"/>
      <c r="M30" s="108"/>
      <c r="N30" s="107"/>
    </row>
    <row r="31" spans="1:14" s="29" customFormat="1" ht="16.5" customHeight="1">
      <c r="A31" s="106">
        <v>27</v>
      </c>
      <c r="B31" s="49" t="s">
        <v>153</v>
      </c>
      <c r="C31" s="39">
        <v>39836</v>
      </c>
      <c r="D31" s="44" t="s">
        <v>136</v>
      </c>
      <c r="E31" s="44" t="s">
        <v>154</v>
      </c>
      <c r="F31" s="41">
        <v>2</v>
      </c>
      <c r="G31" s="41">
        <v>17</v>
      </c>
      <c r="H31" s="301">
        <v>1428690.5</v>
      </c>
      <c r="I31" s="138">
        <v>163214</v>
      </c>
      <c r="J31" s="103">
        <v>8.75348009361942</v>
      </c>
      <c r="K31" s="255"/>
      <c r="L31" s="107"/>
      <c r="M31" s="108"/>
      <c r="N31" s="107"/>
    </row>
    <row r="32" spans="1:14" s="29" customFormat="1" ht="16.5" customHeight="1">
      <c r="A32" s="106">
        <v>28</v>
      </c>
      <c r="B32" s="49" t="s">
        <v>204</v>
      </c>
      <c r="C32" s="39">
        <v>39857</v>
      </c>
      <c r="D32" s="44" t="s">
        <v>130</v>
      </c>
      <c r="E32" s="44" t="s">
        <v>35</v>
      </c>
      <c r="F32" s="41">
        <v>25</v>
      </c>
      <c r="G32" s="41">
        <v>8</v>
      </c>
      <c r="H32" s="301">
        <f>431037+376139+288602-245+148454+40928+50436+44428+33934</f>
        <v>1413713</v>
      </c>
      <c r="I32" s="138">
        <f>37016+33054+25810+12999+4602+6239+5423+4113</f>
        <v>129256</v>
      </c>
      <c r="J32" s="103">
        <f>+H32/I32</f>
        <v>10.93731045367333</v>
      </c>
      <c r="K32" s="255"/>
      <c r="L32" s="107"/>
      <c r="M32" s="108"/>
      <c r="N32" s="107"/>
    </row>
    <row r="33" spans="1:14" s="29" customFormat="1" ht="16.5" customHeight="1">
      <c r="A33" s="106">
        <v>29</v>
      </c>
      <c r="B33" s="49" t="s">
        <v>170</v>
      </c>
      <c r="C33" s="39">
        <v>39843</v>
      </c>
      <c r="D33" s="44" t="s">
        <v>134</v>
      </c>
      <c r="E33" s="44" t="s">
        <v>133</v>
      </c>
      <c r="F33" s="41">
        <v>80</v>
      </c>
      <c r="G33" s="41">
        <v>18</v>
      </c>
      <c r="H33" s="301">
        <f>667928.5+422494.5+139288+71324.5+23049.5+32432+3540.5+7287+4043+3439+1920+354+1623+2298+1780+163+2200+1276.5</f>
        <v>1386441</v>
      </c>
      <c r="I33" s="138">
        <f>67031+44640+16046+10311+3717+6651+677+1565+893+611+318+68+399+572+445+33+509+98</f>
        <v>154584</v>
      </c>
      <c r="J33" s="103">
        <f>H33/I33</f>
        <v>8.96885188635305</v>
      </c>
      <c r="K33" s="255"/>
      <c r="L33" s="107"/>
      <c r="M33" s="108"/>
      <c r="N33" s="107"/>
    </row>
    <row r="34" spans="1:14" s="29" customFormat="1" ht="16.5" customHeight="1">
      <c r="A34" s="106">
        <v>30</v>
      </c>
      <c r="B34" s="49" t="s">
        <v>541</v>
      </c>
      <c r="C34" s="39">
        <v>40081</v>
      </c>
      <c r="D34" s="44" t="s">
        <v>131</v>
      </c>
      <c r="E34" s="44" t="s">
        <v>111</v>
      </c>
      <c r="F34" s="41">
        <v>61</v>
      </c>
      <c r="G34" s="41">
        <v>2</v>
      </c>
      <c r="H34" s="301">
        <v>1294966</v>
      </c>
      <c r="I34" s="138">
        <v>124476</v>
      </c>
      <c r="J34" s="103">
        <f>+H34/I34</f>
        <v>10.403338796233813</v>
      </c>
      <c r="K34" s="247"/>
      <c r="L34" s="107"/>
      <c r="M34" s="108"/>
      <c r="N34" s="107"/>
    </row>
    <row r="35" spans="1:14" s="29" customFormat="1" ht="16.5" customHeight="1">
      <c r="A35" s="106">
        <v>31</v>
      </c>
      <c r="B35" s="49" t="s">
        <v>319</v>
      </c>
      <c r="C35" s="39">
        <v>39822</v>
      </c>
      <c r="D35" s="44" t="s">
        <v>131</v>
      </c>
      <c r="E35" s="44" t="s">
        <v>43</v>
      </c>
      <c r="F35" s="41">
        <v>56</v>
      </c>
      <c r="G35" s="41">
        <v>35</v>
      </c>
      <c r="H35" s="301">
        <v>1260782</v>
      </c>
      <c r="I35" s="138">
        <v>143588</v>
      </c>
      <c r="J35" s="103">
        <f>+H35/I35</f>
        <v>8.780552692425552</v>
      </c>
      <c r="K35" s="255"/>
      <c r="L35" s="107"/>
      <c r="M35" s="108"/>
      <c r="N35" s="107"/>
    </row>
    <row r="36" spans="1:14" s="29" customFormat="1" ht="16.5" customHeight="1">
      <c r="A36" s="106">
        <v>32</v>
      </c>
      <c r="B36" s="49" t="s">
        <v>440</v>
      </c>
      <c r="C36" s="39">
        <v>40004</v>
      </c>
      <c r="D36" s="44" t="s">
        <v>131</v>
      </c>
      <c r="E36" s="44" t="s">
        <v>43</v>
      </c>
      <c r="F36" s="41">
        <v>68</v>
      </c>
      <c r="G36" s="41">
        <v>13</v>
      </c>
      <c r="H36" s="301">
        <v>1214100</v>
      </c>
      <c r="I36" s="138">
        <v>130786</v>
      </c>
      <c r="J36" s="103">
        <f>+H36/I36</f>
        <v>9.283103696114264</v>
      </c>
      <c r="K36" s="247"/>
      <c r="L36" s="107"/>
      <c r="M36" s="108"/>
      <c r="N36" s="107"/>
    </row>
    <row r="37" spans="1:14" s="29" customFormat="1" ht="16.5" customHeight="1">
      <c r="A37" s="106">
        <v>33</v>
      </c>
      <c r="B37" s="49" t="s">
        <v>468</v>
      </c>
      <c r="C37" s="39">
        <v>39983</v>
      </c>
      <c r="D37" s="44" t="s">
        <v>131</v>
      </c>
      <c r="E37" s="44" t="s">
        <v>111</v>
      </c>
      <c r="F37" s="41">
        <v>47</v>
      </c>
      <c r="G37" s="41">
        <v>16</v>
      </c>
      <c r="H37" s="301">
        <v>1116986</v>
      </c>
      <c r="I37" s="138">
        <v>120769</v>
      </c>
      <c r="J37" s="103">
        <f>+H37/I37</f>
        <v>9.248946335566247</v>
      </c>
      <c r="K37" s="247"/>
      <c r="L37" s="107"/>
      <c r="M37" s="108"/>
      <c r="N37" s="107"/>
    </row>
    <row r="38" spans="1:14" s="29" customFormat="1" ht="16.5" customHeight="1">
      <c r="A38" s="106">
        <v>34</v>
      </c>
      <c r="B38" s="49" t="s">
        <v>369</v>
      </c>
      <c r="C38" s="39">
        <v>39955</v>
      </c>
      <c r="D38" s="44" t="s">
        <v>134</v>
      </c>
      <c r="E38" s="44" t="s">
        <v>133</v>
      </c>
      <c r="F38" s="41">
        <v>88</v>
      </c>
      <c r="G38" s="41">
        <v>20</v>
      </c>
      <c r="H38" s="301">
        <f>253985.25+197941+176827+129137.25+73306.5+36496.5+20735+12653+3137+3974+3108+6704.75+3312+1885+643+108556.75+31027+8660.5+1196.5+2137</f>
        <v>1075423</v>
      </c>
      <c r="I38" s="138">
        <f>26929+21325+23241+17550+10624+6388+4049+2644+577+882+663+1354+764+460+116+14641+4967+986+117+181</f>
        <v>138458</v>
      </c>
      <c r="J38" s="103">
        <f>H38/I38</f>
        <v>7.767142382527553</v>
      </c>
      <c r="K38" s="247"/>
      <c r="L38" s="107"/>
      <c r="M38" s="108"/>
      <c r="N38" s="107"/>
    </row>
    <row r="39" spans="1:14" s="29" customFormat="1" ht="16.5" customHeight="1">
      <c r="A39" s="106">
        <v>35</v>
      </c>
      <c r="B39" s="49" t="s">
        <v>456</v>
      </c>
      <c r="C39" s="39">
        <v>40018</v>
      </c>
      <c r="D39" s="44" t="s">
        <v>130</v>
      </c>
      <c r="E39" s="44" t="s">
        <v>35</v>
      </c>
      <c r="F39" s="41">
        <v>70</v>
      </c>
      <c r="G39" s="41">
        <v>11</v>
      </c>
      <c r="H39" s="301">
        <v>1064676</v>
      </c>
      <c r="I39" s="138">
        <v>120852</v>
      </c>
      <c r="J39" s="103">
        <f>+H39/I39</f>
        <v>8.809750769536292</v>
      </c>
      <c r="K39" s="247"/>
      <c r="L39" s="107"/>
      <c r="M39" s="108"/>
      <c r="N39" s="107"/>
    </row>
    <row r="40" spans="1:14" s="29" customFormat="1" ht="16.5" customHeight="1">
      <c r="A40" s="106">
        <v>36</v>
      </c>
      <c r="B40" s="49" t="s">
        <v>459</v>
      </c>
      <c r="C40" s="39">
        <v>40025</v>
      </c>
      <c r="D40" s="44" t="s">
        <v>130</v>
      </c>
      <c r="E40" s="44" t="s">
        <v>63</v>
      </c>
      <c r="F40" s="41">
        <v>66</v>
      </c>
      <c r="G40" s="41">
        <v>10</v>
      </c>
      <c r="H40" s="301">
        <v>1053912</v>
      </c>
      <c r="I40" s="138">
        <v>113776</v>
      </c>
      <c r="J40" s="103">
        <f>+H40/I40</f>
        <v>9.26304317254957</v>
      </c>
      <c r="K40" s="247"/>
      <c r="L40" s="107"/>
      <c r="M40" s="108"/>
      <c r="N40" s="107"/>
    </row>
    <row r="41" spans="1:14" s="29" customFormat="1" ht="16.5" customHeight="1">
      <c r="A41" s="106">
        <v>37</v>
      </c>
      <c r="B41" s="49" t="s">
        <v>312</v>
      </c>
      <c r="C41" s="39">
        <v>39920</v>
      </c>
      <c r="D41" s="44" t="s">
        <v>134</v>
      </c>
      <c r="E41" s="44" t="s">
        <v>35</v>
      </c>
      <c r="F41" s="41">
        <v>133</v>
      </c>
      <c r="G41" s="41">
        <v>17</v>
      </c>
      <c r="H41" s="301">
        <f>814797.5+158602+44526+7105.5+1443+731+330+3273+1356+388+2317+2290.5+138+112.5+37+1136+51</f>
        <v>1038634</v>
      </c>
      <c r="I41" s="138">
        <f>100614+19257+6285+1176+234+205+67+783+301+48+521+500+23+18+9+170+23</f>
        <v>130234</v>
      </c>
      <c r="J41" s="103">
        <f>H41/I41</f>
        <v>7.975137060982539</v>
      </c>
      <c r="K41" s="247"/>
      <c r="L41" s="107"/>
      <c r="M41" s="108"/>
      <c r="N41" s="107"/>
    </row>
    <row r="42" spans="1:14" s="29" customFormat="1" ht="16.5" customHeight="1">
      <c r="A42" s="106">
        <v>38</v>
      </c>
      <c r="B42" s="49" t="s">
        <v>521</v>
      </c>
      <c r="C42" s="39">
        <v>40081</v>
      </c>
      <c r="D42" s="44" t="s">
        <v>130</v>
      </c>
      <c r="E42" s="44" t="s">
        <v>63</v>
      </c>
      <c r="F42" s="41">
        <v>70</v>
      </c>
      <c r="G42" s="41">
        <v>2</v>
      </c>
      <c r="H42" s="301">
        <v>1011704</v>
      </c>
      <c r="I42" s="138">
        <v>96292</v>
      </c>
      <c r="J42" s="103">
        <f aca="true" t="shared" si="1" ref="J42:J49">+H42/I42</f>
        <v>10.506625680222657</v>
      </c>
      <c r="K42" s="247"/>
      <c r="L42" s="107"/>
      <c r="M42" s="108"/>
      <c r="N42" s="107"/>
    </row>
    <row r="43" spans="1:14" s="29" customFormat="1" ht="16.5" customHeight="1">
      <c r="A43" s="106">
        <v>39</v>
      </c>
      <c r="B43" s="49" t="s">
        <v>247</v>
      </c>
      <c r="C43" s="39">
        <v>39892</v>
      </c>
      <c r="D43" s="44" t="s">
        <v>131</v>
      </c>
      <c r="E43" s="44" t="s">
        <v>43</v>
      </c>
      <c r="F43" s="41">
        <v>60</v>
      </c>
      <c r="G43" s="41">
        <v>25</v>
      </c>
      <c r="H43" s="301">
        <v>956007</v>
      </c>
      <c r="I43" s="138">
        <v>100527</v>
      </c>
      <c r="J43" s="103">
        <f t="shared" si="1"/>
        <v>9.509952550061177</v>
      </c>
      <c r="K43" s="255"/>
      <c r="L43" s="107"/>
      <c r="M43" s="108"/>
      <c r="N43" s="107"/>
    </row>
    <row r="44" spans="1:14" s="29" customFormat="1" ht="16.5" customHeight="1">
      <c r="A44" s="106">
        <v>40</v>
      </c>
      <c r="B44" s="49" t="s">
        <v>224</v>
      </c>
      <c r="C44" s="39">
        <v>39878</v>
      </c>
      <c r="D44" s="44" t="s">
        <v>131</v>
      </c>
      <c r="E44" s="44" t="s">
        <v>127</v>
      </c>
      <c r="F44" s="41">
        <v>90</v>
      </c>
      <c r="G44" s="41">
        <v>27</v>
      </c>
      <c r="H44" s="301">
        <v>924265</v>
      </c>
      <c r="I44" s="138">
        <v>102496</v>
      </c>
      <c r="J44" s="103">
        <f t="shared" si="1"/>
        <v>9.017571417421168</v>
      </c>
      <c r="K44" s="255"/>
      <c r="L44" s="107"/>
      <c r="M44" s="108"/>
      <c r="N44" s="107"/>
    </row>
    <row r="45" spans="1:14" s="29" customFormat="1" ht="16.5" customHeight="1">
      <c r="A45" s="106">
        <v>41</v>
      </c>
      <c r="B45" s="49" t="s">
        <v>302</v>
      </c>
      <c r="C45" s="39">
        <v>39920</v>
      </c>
      <c r="D45" s="44" t="s">
        <v>4</v>
      </c>
      <c r="E45" s="44" t="s">
        <v>303</v>
      </c>
      <c r="F45" s="41">
        <v>132</v>
      </c>
      <c r="G45" s="41">
        <v>22</v>
      </c>
      <c r="H45" s="301">
        <v>912055</v>
      </c>
      <c r="I45" s="138">
        <v>116551</v>
      </c>
      <c r="J45" s="103">
        <f t="shared" si="1"/>
        <v>7.825372583675816</v>
      </c>
      <c r="K45" s="255"/>
      <c r="L45" s="107"/>
      <c r="M45" s="108"/>
      <c r="N45" s="107"/>
    </row>
    <row r="46" spans="1:14" s="29" customFormat="1" ht="16.5" customHeight="1">
      <c r="A46" s="106">
        <v>42</v>
      </c>
      <c r="B46" s="49" t="s">
        <v>181</v>
      </c>
      <c r="C46" s="39">
        <v>39850</v>
      </c>
      <c r="D46" s="44" t="s">
        <v>131</v>
      </c>
      <c r="E46" s="44" t="s">
        <v>111</v>
      </c>
      <c r="F46" s="41">
        <v>78</v>
      </c>
      <c r="G46" s="41">
        <v>25</v>
      </c>
      <c r="H46" s="301">
        <v>904187</v>
      </c>
      <c r="I46" s="138">
        <v>98519</v>
      </c>
      <c r="J46" s="103">
        <f t="shared" si="1"/>
        <v>9.177793116048681</v>
      </c>
      <c r="K46" s="255"/>
      <c r="L46" s="107"/>
      <c r="M46" s="108"/>
      <c r="N46" s="107"/>
    </row>
    <row r="47" spans="1:14" s="29" customFormat="1" ht="16.5" customHeight="1">
      <c r="A47" s="106">
        <v>43</v>
      </c>
      <c r="B47" s="49" t="s">
        <v>524</v>
      </c>
      <c r="C47" s="39">
        <v>40074</v>
      </c>
      <c r="D47" s="44" t="s">
        <v>131</v>
      </c>
      <c r="E47" s="44" t="s">
        <v>111</v>
      </c>
      <c r="F47" s="41">
        <v>61</v>
      </c>
      <c r="G47" s="41">
        <v>3</v>
      </c>
      <c r="H47" s="301">
        <v>864177</v>
      </c>
      <c r="I47" s="138">
        <v>82783</v>
      </c>
      <c r="J47" s="103">
        <f t="shared" si="1"/>
        <v>10.439063575854947</v>
      </c>
      <c r="K47" s="247"/>
      <c r="L47" s="107"/>
      <c r="M47" s="108"/>
      <c r="N47" s="107"/>
    </row>
    <row r="48" spans="1:14" s="29" customFormat="1" ht="16.5" customHeight="1">
      <c r="A48" s="106">
        <v>44</v>
      </c>
      <c r="B48" s="49" t="s">
        <v>441</v>
      </c>
      <c r="C48" s="39">
        <v>40004</v>
      </c>
      <c r="D48" s="44" t="s">
        <v>130</v>
      </c>
      <c r="E48" s="44" t="s">
        <v>122</v>
      </c>
      <c r="F48" s="41">
        <v>60</v>
      </c>
      <c r="G48" s="41">
        <v>13</v>
      </c>
      <c r="H48" s="301">
        <v>853559</v>
      </c>
      <c r="I48" s="138">
        <v>93112</v>
      </c>
      <c r="J48" s="103">
        <f t="shared" si="1"/>
        <v>9.16701391872154</v>
      </c>
      <c r="K48" s="247"/>
      <c r="L48" s="107"/>
      <c r="M48" s="108"/>
      <c r="N48" s="107"/>
    </row>
    <row r="49" spans="1:14" s="29" customFormat="1" ht="16.5" customHeight="1">
      <c r="A49" s="106">
        <v>45</v>
      </c>
      <c r="B49" s="49" t="s">
        <v>394</v>
      </c>
      <c r="C49" s="39">
        <v>39976</v>
      </c>
      <c r="D49" s="44" t="s">
        <v>130</v>
      </c>
      <c r="E49" s="44" t="s">
        <v>35</v>
      </c>
      <c r="F49" s="41">
        <v>95</v>
      </c>
      <c r="G49" s="41">
        <v>17</v>
      </c>
      <c r="H49" s="301">
        <v>835102</v>
      </c>
      <c r="I49" s="138">
        <v>112280</v>
      </c>
      <c r="J49" s="103">
        <f t="shared" si="1"/>
        <v>7.437673672960456</v>
      </c>
      <c r="K49" s="247"/>
      <c r="L49" s="107"/>
      <c r="M49" s="108"/>
      <c r="N49" s="107"/>
    </row>
    <row r="50" spans="1:14" s="29" customFormat="1" ht="16.5" customHeight="1">
      <c r="A50" s="106">
        <v>46</v>
      </c>
      <c r="B50" s="49" t="s">
        <v>10</v>
      </c>
      <c r="C50" s="39">
        <v>39829</v>
      </c>
      <c r="D50" s="44" t="s">
        <v>134</v>
      </c>
      <c r="E50" s="44" t="s">
        <v>11</v>
      </c>
      <c r="F50" s="41">
        <v>65</v>
      </c>
      <c r="G50" s="41">
        <v>32</v>
      </c>
      <c r="H50" s="301">
        <f>237023+244842+160469+47021+21536+18820+18020.5+26440+10695+9162.5+9870+6322+1787+2032+757+348+420.5+158+4053+339.5+3161.5+1729.5+752+1417+1780+64+1208+952+552+139.5+544+40</f>
        <v>832455.5</v>
      </c>
      <c r="I50" s="138">
        <f>25678+28966+21290+6590+4890+3520+3479+4786+1907+1716+2388+1533+368+541+126+70+67+48+991+81+743+414+155+169+445+16+302+238+117+23+48+12</f>
        <v>111717</v>
      </c>
      <c r="J50" s="103">
        <f>H50/I50</f>
        <v>7.451466652344764</v>
      </c>
      <c r="K50" s="247"/>
      <c r="L50" s="107"/>
      <c r="M50" s="108"/>
      <c r="N50" s="107"/>
    </row>
    <row r="51" spans="1:14" s="29" customFormat="1" ht="16.5" customHeight="1">
      <c r="A51" s="106">
        <v>47</v>
      </c>
      <c r="B51" s="275" t="s">
        <v>240</v>
      </c>
      <c r="C51" s="39">
        <v>39885</v>
      </c>
      <c r="D51" s="44" t="s">
        <v>130</v>
      </c>
      <c r="E51" s="44" t="s">
        <v>63</v>
      </c>
      <c r="F51" s="41">
        <v>58</v>
      </c>
      <c r="G51" s="41">
        <v>8</v>
      </c>
      <c r="H51" s="332">
        <f>356870+122+266596+123347+43097+20154+3952+3861+6872</f>
        <v>824871</v>
      </c>
      <c r="I51" s="138">
        <f>36991-2+28153+13916+6862+3245+1115+822+1918</f>
        <v>93020</v>
      </c>
      <c r="J51" s="274">
        <f aca="true" t="shared" si="2" ref="J51:J62">+H51/I51</f>
        <v>8.86767361857665</v>
      </c>
      <c r="K51" s="255"/>
      <c r="L51" s="107"/>
      <c r="M51" s="108"/>
      <c r="N51" s="107"/>
    </row>
    <row r="52" spans="1:14" s="29" customFormat="1" ht="16.5" customHeight="1">
      <c r="A52" s="106">
        <v>48</v>
      </c>
      <c r="B52" s="49" t="s">
        <v>171</v>
      </c>
      <c r="C52" s="39">
        <v>39843</v>
      </c>
      <c r="D52" s="44" t="s">
        <v>131</v>
      </c>
      <c r="E52" s="44" t="s">
        <v>43</v>
      </c>
      <c r="F52" s="41">
        <v>53</v>
      </c>
      <c r="G52" s="41">
        <v>26</v>
      </c>
      <c r="H52" s="301">
        <v>810374</v>
      </c>
      <c r="I52" s="138">
        <v>82051</v>
      </c>
      <c r="J52" s="103">
        <f t="shared" si="2"/>
        <v>9.876467075355572</v>
      </c>
      <c r="K52" s="255"/>
      <c r="L52" s="107"/>
      <c r="M52" s="108"/>
      <c r="N52" s="107"/>
    </row>
    <row r="53" spans="1:14" s="29" customFormat="1" ht="16.5" customHeight="1">
      <c r="A53" s="106">
        <v>49</v>
      </c>
      <c r="B53" s="49" t="s">
        <v>343</v>
      </c>
      <c r="C53" s="39">
        <v>39941</v>
      </c>
      <c r="D53" s="44" t="s">
        <v>131</v>
      </c>
      <c r="E53" s="44" t="s">
        <v>127</v>
      </c>
      <c r="F53" s="41">
        <v>80</v>
      </c>
      <c r="G53" s="41">
        <v>9</v>
      </c>
      <c r="H53" s="301">
        <v>804608</v>
      </c>
      <c r="I53" s="138">
        <v>83961</v>
      </c>
      <c r="J53" s="103">
        <f t="shared" si="2"/>
        <v>9.583115970510118</v>
      </c>
      <c r="K53" s="255"/>
      <c r="L53" s="107"/>
      <c r="M53" s="108"/>
      <c r="N53" s="107"/>
    </row>
    <row r="54" spans="1:14" s="29" customFormat="1" ht="16.5" customHeight="1">
      <c r="A54" s="106">
        <v>50</v>
      </c>
      <c r="B54" s="275" t="s">
        <v>308</v>
      </c>
      <c r="C54" s="39">
        <v>39871</v>
      </c>
      <c r="D54" s="44" t="s">
        <v>131</v>
      </c>
      <c r="E54" s="44" t="s">
        <v>127</v>
      </c>
      <c r="F54" s="41">
        <v>40</v>
      </c>
      <c r="G54" s="41">
        <v>10</v>
      </c>
      <c r="H54" s="332">
        <v>781870</v>
      </c>
      <c r="I54" s="138">
        <v>83452</v>
      </c>
      <c r="J54" s="274">
        <f t="shared" si="2"/>
        <v>9.369098403872885</v>
      </c>
      <c r="K54" s="255"/>
      <c r="L54" s="107"/>
      <c r="M54" s="108"/>
      <c r="N54" s="107"/>
    </row>
    <row r="55" spans="1:14" s="29" customFormat="1" ht="16.5" customHeight="1">
      <c r="A55" s="106">
        <v>51</v>
      </c>
      <c r="B55" s="49" t="s">
        <v>356</v>
      </c>
      <c r="C55" s="39">
        <v>39948</v>
      </c>
      <c r="D55" s="44" t="s">
        <v>136</v>
      </c>
      <c r="E55" s="44" t="s">
        <v>564</v>
      </c>
      <c r="F55" s="41">
        <v>151</v>
      </c>
      <c r="G55" s="41">
        <v>18</v>
      </c>
      <c r="H55" s="301">
        <v>760517</v>
      </c>
      <c r="I55" s="138">
        <v>116888</v>
      </c>
      <c r="J55" s="103">
        <f t="shared" si="2"/>
        <v>6.5063736226131</v>
      </c>
      <c r="K55" s="247">
        <v>1</v>
      </c>
      <c r="L55" s="107"/>
      <c r="M55" s="108"/>
      <c r="N55" s="107"/>
    </row>
    <row r="56" spans="1:14" s="29" customFormat="1" ht="16.5" customHeight="1">
      <c r="A56" s="106">
        <v>52</v>
      </c>
      <c r="B56" s="49" t="s">
        <v>525</v>
      </c>
      <c r="C56" s="39">
        <v>40074</v>
      </c>
      <c r="D56" s="44" t="s">
        <v>132</v>
      </c>
      <c r="E56" s="44" t="s">
        <v>13</v>
      </c>
      <c r="F56" s="41">
        <v>201</v>
      </c>
      <c r="G56" s="41">
        <v>3</v>
      </c>
      <c r="H56" s="301">
        <f>492395.5+172608.75+93279.75</f>
        <v>758284</v>
      </c>
      <c r="I56" s="138">
        <f>60122+23227+13952</f>
        <v>97301</v>
      </c>
      <c r="J56" s="103">
        <f t="shared" si="2"/>
        <v>7.79317787073103</v>
      </c>
      <c r="K56" s="247">
        <v>1</v>
      </c>
      <c r="L56" s="107"/>
      <c r="M56" s="108"/>
      <c r="N56" s="107"/>
    </row>
    <row r="57" spans="1:14" s="29" customFormat="1" ht="16.5" customHeight="1">
      <c r="A57" s="106">
        <v>53</v>
      </c>
      <c r="B57" s="49" t="s">
        <v>526</v>
      </c>
      <c r="C57" s="39">
        <v>40074</v>
      </c>
      <c r="D57" s="44" t="s">
        <v>136</v>
      </c>
      <c r="E57" s="44" t="s">
        <v>24</v>
      </c>
      <c r="F57" s="41">
        <v>142</v>
      </c>
      <c r="G57" s="41">
        <v>3</v>
      </c>
      <c r="H57" s="301">
        <v>744731.5</v>
      </c>
      <c r="I57" s="138">
        <v>91439</v>
      </c>
      <c r="J57" s="103">
        <f t="shared" si="2"/>
        <v>8.144571791030085</v>
      </c>
      <c r="K57" s="247">
        <v>1</v>
      </c>
      <c r="L57" s="107"/>
      <c r="M57" s="108"/>
      <c r="N57" s="107"/>
    </row>
    <row r="58" spans="1:14" s="29" customFormat="1" ht="16.5" customHeight="1">
      <c r="A58" s="106">
        <v>54</v>
      </c>
      <c r="B58" s="49" t="s">
        <v>477</v>
      </c>
      <c r="C58" s="39">
        <v>40039</v>
      </c>
      <c r="D58" s="44" t="s">
        <v>130</v>
      </c>
      <c r="E58" s="44" t="s">
        <v>122</v>
      </c>
      <c r="F58" s="41">
        <v>68</v>
      </c>
      <c r="G58" s="41">
        <v>8</v>
      </c>
      <c r="H58" s="301">
        <v>703696</v>
      </c>
      <c r="I58" s="138">
        <v>78814</v>
      </c>
      <c r="J58" s="103">
        <f t="shared" si="2"/>
        <v>8.928565990813814</v>
      </c>
      <c r="K58" s="247"/>
      <c r="L58" s="107"/>
      <c r="M58" s="108"/>
      <c r="N58" s="107"/>
    </row>
    <row r="59" spans="1:14" s="29" customFormat="1" ht="16.5" customHeight="1">
      <c r="A59" s="106">
        <v>55</v>
      </c>
      <c r="B59" s="49" t="s">
        <v>306</v>
      </c>
      <c r="C59" s="39">
        <v>39920</v>
      </c>
      <c r="D59" s="44" t="s">
        <v>131</v>
      </c>
      <c r="E59" s="44" t="s">
        <v>43</v>
      </c>
      <c r="F59" s="41">
        <v>65</v>
      </c>
      <c r="G59" s="41">
        <v>15</v>
      </c>
      <c r="H59" s="301">
        <v>698923</v>
      </c>
      <c r="I59" s="138">
        <v>70161</v>
      </c>
      <c r="J59" s="103">
        <f t="shared" si="2"/>
        <v>9.961702370262682</v>
      </c>
      <c r="K59" s="255"/>
      <c r="L59" s="107"/>
      <c r="M59" s="108"/>
      <c r="N59" s="107"/>
    </row>
    <row r="60" spans="1:14" s="29" customFormat="1" ht="16.5" customHeight="1">
      <c r="A60" s="106">
        <v>56</v>
      </c>
      <c r="B60" s="49" t="s">
        <v>311</v>
      </c>
      <c r="C60" s="39">
        <v>39927</v>
      </c>
      <c r="D60" s="44" t="s">
        <v>131</v>
      </c>
      <c r="E60" s="44" t="s">
        <v>127</v>
      </c>
      <c r="F60" s="41">
        <v>80</v>
      </c>
      <c r="G60" s="41">
        <v>21</v>
      </c>
      <c r="H60" s="301">
        <v>667401</v>
      </c>
      <c r="I60" s="138">
        <v>83540</v>
      </c>
      <c r="J60" s="103">
        <f t="shared" si="2"/>
        <v>7.988999281781183</v>
      </c>
      <c r="K60" s="255"/>
      <c r="L60" s="107"/>
      <c r="M60" s="108"/>
      <c r="N60" s="107"/>
    </row>
    <row r="61" spans="1:14" s="29" customFormat="1" ht="16.5" customHeight="1">
      <c r="A61" s="106">
        <v>57</v>
      </c>
      <c r="B61" s="49" t="s">
        <v>344</v>
      </c>
      <c r="C61" s="39">
        <v>39941</v>
      </c>
      <c r="D61" s="44" t="s">
        <v>130</v>
      </c>
      <c r="E61" s="44" t="s">
        <v>35</v>
      </c>
      <c r="F61" s="41">
        <v>79</v>
      </c>
      <c r="G61" s="41">
        <v>12</v>
      </c>
      <c r="H61" s="301">
        <f>660254+1290+551</f>
        <v>662095</v>
      </c>
      <c r="I61" s="138">
        <f>79927+253+99</f>
        <v>80279</v>
      </c>
      <c r="J61" s="103">
        <f t="shared" si="2"/>
        <v>8.24742460668419</v>
      </c>
      <c r="K61" s="255"/>
      <c r="L61" s="107"/>
      <c r="M61" s="108"/>
      <c r="N61" s="107"/>
    </row>
    <row r="62" spans="1:14" s="29" customFormat="1" ht="16.5" customHeight="1">
      <c r="A62" s="106">
        <v>58</v>
      </c>
      <c r="B62" s="49" t="s">
        <v>507</v>
      </c>
      <c r="C62" s="39">
        <v>40060</v>
      </c>
      <c r="D62" s="44" t="s">
        <v>130</v>
      </c>
      <c r="E62" s="44" t="s">
        <v>122</v>
      </c>
      <c r="F62" s="41">
        <v>82</v>
      </c>
      <c r="G62" s="41">
        <v>5</v>
      </c>
      <c r="H62" s="301">
        <v>654748</v>
      </c>
      <c r="I62" s="138">
        <v>75847</v>
      </c>
      <c r="J62" s="103">
        <f t="shared" si="2"/>
        <v>8.632483816103472</v>
      </c>
      <c r="K62" s="247"/>
      <c r="L62" s="107"/>
      <c r="M62" s="108"/>
      <c r="N62" s="107"/>
    </row>
    <row r="63" spans="1:14" s="29" customFormat="1" ht="16.5" customHeight="1">
      <c r="A63" s="106">
        <v>59</v>
      </c>
      <c r="B63" s="49" t="s">
        <v>172</v>
      </c>
      <c r="C63" s="39">
        <v>39843</v>
      </c>
      <c r="D63" s="44" t="s">
        <v>136</v>
      </c>
      <c r="E63" s="44" t="s">
        <v>173</v>
      </c>
      <c r="F63" s="41">
        <v>92</v>
      </c>
      <c r="G63" s="41">
        <v>20</v>
      </c>
      <c r="H63" s="301">
        <v>646611.5</v>
      </c>
      <c r="I63" s="138">
        <v>77337</v>
      </c>
      <c r="J63" s="103">
        <f>IF(H63&lt;&gt;0,H63/I63,"")</f>
        <v>8.360959178659632</v>
      </c>
      <c r="K63" s="255"/>
      <c r="L63" s="107"/>
      <c r="M63" s="108"/>
      <c r="N63" s="107"/>
    </row>
    <row r="64" spans="1:14" s="29" customFormat="1" ht="16.5" customHeight="1">
      <c r="A64" s="106">
        <v>60</v>
      </c>
      <c r="B64" s="49" t="s">
        <v>414</v>
      </c>
      <c r="C64" s="39">
        <v>39983</v>
      </c>
      <c r="D64" s="44" t="s">
        <v>130</v>
      </c>
      <c r="E64" s="44" t="s">
        <v>35</v>
      </c>
      <c r="F64" s="41">
        <v>69</v>
      </c>
      <c r="G64" s="41">
        <v>12</v>
      </c>
      <c r="H64" s="301">
        <v>607539</v>
      </c>
      <c r="I64" s="138">
        <v>73492</v>
      </c>
      <c r="J64" s="103">
        <f aca="true" t="shared" si="3" ref="J64:J71">+H64/I64</f>
        <v>8.266736515539106</v>
      </c>
      <c r="K64" s="255"/>
      <c r="L64" s="107"/>
      <c r="M64" s="108"/>
      <c r="N64" s="107"/>
    </row>
    <row r="65" spans="1:14" s="29" customFormat="1" ht="16.5" customHeight="1">
      <c r="A65" s="106">
        <v>61</v>
      </c>
      <c r="B65" s="49" t="s">
        <v>471</v>
      </c>
      <c r="C65" s="39">
        <v>39962</v>
      </c>
      <c r="D65" s="44" t="s">
        <v>131</v>
      </c>
      <c r="E65" s="44" t="s">
        <v>127</v>
      </c>
      <c r="F65" s="41">
        <v>60</v>
      </c>
      <c r="G65" s="41">
        <v>18</v>
      </c>
      <c r="H65" s="301">
        <v>606045</v>
      </c>
      <c r="I65" s="138">
        <v>76184</v>
      </c>
      <c r="J65" s="103">
        <f t="shared" si="3"/>
        <v>7.955016801428122</v>
      </c>
      <c r="K65" s="255"/>
      <c r="L65" s="107"/>
      <c r="M65" s="108"/>
      <c r="N65" s="107"/>
    </row>
    <row r="66" spans="1:14" s="29" customFormat="1" ht="16.5" customHeight="1">
      <c r="A66" s="106">
        <v>62</v>
      </c>
      <c r="B66" s="49" t="s">
        <v>34</v>
      </c>
      <c r="C66" s="39">
        <v>39815</v>
      </c>
      <c r="D66" s="44" t="s">
        <v>130</v>
      </c>
      <c r="E66" s="44" t="s">
        <v>35</v>
      </c>
      <c r="F66" s="41">
        <v>62</v>
      </c>
      <c r="G66" s="41">
        <v>16</v>
      </c>
      <c r="H66" s="301">
        <f>364878+189780+24392+5352+42+1552+1221+1432+5133+1444+196+795+345+2977+568+213+1190</f>
        <v>601510</v>
      </c>
      <c r="I66" s="138">
        <f>36690+19609+2909+1194-16+282+185+285+1591+285+28+129+56+579+94+37+119</f>
        <v>64056</v>
      </c>
      <c r="J66" s="103">
        <f t="shared" si="3"/>
        <v>9.39037716997627</v>
      </c>
      <c r="K66" s="255"/>
      <c r="L66" s="107"/>
      <c r="M66" s="108"/>
      <c r="N66" s="107"/>
    </row>
    <row r="67" spans="1:14" s="29" customFormat="1" ht="16.5" customHeight="1">
      <c r="A67" s="106">
        <v>63</v>
      </c>
      <c r="B67" s="275" t="s">
        <v>259</v>
      </c>
      <c r="C67" s="39">
        <v>39899</v>
      </c>
      <c r="D67" s="44" t="s">
        <v>130</v>
      </c>
      <c r="E67" s="44" t="s">
        <v>63</v>
      </c>
      <c r="F67" s="41">
        <v>62</v>
      </c>
      <c r="G67" s="41">
        <v>10</v>
      </c>
      <c r="H67" s="332">
        <f>306193+165310+41433+47659+24591+8913+2417+1247+207+192</f>
        <v>598162</v>
      </c>
      <c r="I67" s="138">
        <f>34359+18326+5534+7820+4081+1577+467+322+69+39</f>
        <v>72594</v>
      </c>
      <c r="J67" s="274">
        <f t="shared" si="3"/>
        <v>8.23982698294625</v>
      </c>
      <c r="K67" s="255"/>
      <c r="L67" s="107"/>
      <c r="M67" s="108"/>
      <c r="N67" s="107"/>
    </row>
    <row r="68" spans="1:14" s="29" customFormat="1" ht="16.5" customHeight="1">
      <c r="A68" s="106">
        <v>64</v>
      </c>
      <c r="B68" s="49" t="s">
        <v>345</v>
      </c>
      <c r="C68" s="39">
        <v>39941</v>
      </c>
      <c r="D68" s="44" t="s">
        <v>65</v>
      </c>
      <c r="E68" s="44" t="s">
        <v>548</v>
      </c>
      <c r="F68" s="41">
        <v>104</v>
      </c>
      <c r="G68" s="41">
        <v>22</v>
      </c>
      <c r="H68" s="301">
        <v>589306.8</v>
      </c>
      <c r="I68" s="138">
        <v>80330</v>
      </c>
      <c r="J68" s="103">
        <f t="shared" si="3"/>
        <v>7.336073696003984</v>
      </c>
      <c r="K68" s="247">
        <v>1</v>
      </c>
      <c r="L68" s="107"/>
      <c r="M68" s="108"/>
      <c r="N68" s="107"/>
    </row>
    <row r="69" spans="1:14" s="29" customFormat="1" ht="16.5" customHeight="1">
      <c r="A69" s="106">
        <v>65</v>
      </c>
      <c r="B69" s="49" t="s">
        <v>485</v>
      </c>
      <c r="C69" s="39">
        <v>39983</v>
      </c>
      <c r="D69" s="44" t="s">
        <v>131</v>
      </c>
      <c r="E69" s="44" t="s">
        <v>43</v>
      </c>
      <c r="F69" s="41">
        <v>60</v>
      </c>
      <c r="G69" s="41">
        <v>16</v>
      </c>
      <c r="H69" s="301">
        <v>575868</v>
      </c>
      <c r="I69" s="138">
        <v>74964</v>
      </c>
      <c r="J69" s="103">
        <f t="shared" si="3"/>
        <v>7.681927325116056</v>
      </c>
      <c r="K69" s="247"/>
      <c r="L69" s="107"/>
      <c r="M69" s="108"/>
      <c r="N69" s="107"/>
    </row>
    <row r="70" spans="1:14" s="29" customFormat="1" ht="16.5" customHeight="1">
      <c r="A70" s="106">
        <v>66</v>
      </c>
      <c r="B70" s="49" t="s">
        <v>518</v>
      </c>
      <c r="C70" s="39">
        <v>40067</v>
      </c>
      <c r="D70" s="44" t="s">
        <v>136</v>
      </c>
      <c r="E70" s="44" t="s">
        <v>376</v>
      </c>
      <c r="F70" s="41">
        <v>105</v>
      </c>
      <c r="G70" s="41">
        <v>4</v>
      </c>
      <c r="H70" s="301">
        <v>573494.75</v>
      </c>
      <c r="I70" s="138">
        <v>65118</v>
      </c>
      <c r="J70" s="103">
        <f t="shared" si="3"/>
        <v>8.807008046930187</v>
      </c>
      <c r="K70" s="247"/>
      <c r="L70" s="107"/>
      <c r="M70" s="108"/>
      <c r="N70" s="107"/>
    </row>
    <row r="71" spans="1:14" s="29" customFormat="1" ht="16.5" customHeight="1">
      <c r="A71" s="106">
        <v>67</v>
      </c>
      <c r="B71" s="49" t="s">
        <v>241</v>
      </c>
      <c r="C71" s="39">
        <v>39885</v>
      </c>
      <c r="D71" s="44" t="s">
        <v>131</v>
      </c>
      <c r="E71" s="44" t="s">
        <v>127</v>
      </c>
      <c r="F71" s="41">
        <v>1</v>
      </c>
      <c r="G71" s="41">
        <v>23</v>
      </c>
      <c r="H71" s="301">
        <v>550871</v>
      </c>
      <c r="I71" s="138">
        <v>64600</v>
      </c>
      <c r="J71" s="103">
        <f t="shared" si="3"/>
        <v>8.527414860681114</v>
      </c>
      <c r="K71" s="255"/>
      <c r="L71" s="107"/>
      <c r="M71" s="108"/>
      <c r="N71" s="107"/>
    </row>
    <row r="72" spans="1:14" s="29" customFormat="1" ht="16.5" customHeight="1">
      <c r="A72" s="106">
        <v>68</v>
      </c>
      <c r="B72" s="49" t="s">
        <v>206</v>
      </c>
      <c r="C72" s="39">
        <v>39864</v>
      </c>
      <c r="D72" s="44" t="s">
        <v>134</v>
      </c>
      <c r="E72" s="44" t="s">
        <v>207</v>
      </c>
      <c r="F72" s="41">
        <v>55</v>
      </c>
      <c r="G72" s="41">
        <v>23</v>
      </c>
      <c r="H72" s="301">
        <f>190777.5+154065+60826.5+20820+23589+29712+19396.5+16102+12940+11034+3005+981+1140+40+98.25+284+1000+300+220+1211.5+155+156+63</f>
        <v>547916.25</v>
      </c>
      <c r="I72" s="138">
        <f>20518+17650+7809+3283+4115+5826+3911+3770+2981+2505+653+199+194+8+18+60+100+75+44+292+22+22+19</f>
        <v>74074</v>
      </c>
      <c r="J72" s="103">
        <f>H72/I72</f>
        <v>7.396876771876772</v>
      </c>
      <c r="K72" s="247"/>
      <c r="L72" s="107"/>
      <c r="M72" s="108"/>
      <c r="N72" s="107"/>
    </row>
    <row r="73" spans="1:14" s="29" customFormat="1" ht="16.5" customHeight="1">
      <c r="A73" s="106">
        <v>69</v>
      </c>
      <c r="B73" s="49" t="s">
        <v>271</v>
      </c>
      <c r="C73" s="39">
        <v>39906</v>
      </c>
      <c r="D73" s="44" t="s">
        <v>134</v>
      </c>
      <c r="E73" s="44" t="s">
        <v>133</v>
      </c>
      <c r="F73" s="41">
        <v>73</v>
      </c>
      <c r="G73" s="41">
        <v>23</v>
      </c>
      <c r="H73" s="301">
        <f>257998+146390.25+55495.5+19689+10921.5+8901+904+592.5+1480+1790+6279.5+1704+3035+2139+1141+219+349+326+1998+2076+551+780+179</f>
        <v>524938.25</v>
      </c>
      <c r="I73" s="138">
        <f>25239+14756+6633+3240+1982+1982+145+108+201+287+827+315+486+404+115+81+104+76+482+500+77+56+19</f>
        <v>58115</v>
      </c>
      <c r="J73" s="103">
        <f>H73/I73</f>
        <v>9.032749720382002</v>
      </c>
      <c r="K73" s="255"/>
      <c r="L73" s="107"/>
      <c r="M73" s="108"/>
      <c r="N73" s="107"/>
    </row>
    <row r="74" spans="1:14" s="29" customFormat="1" ht="16.5" customHeight="1">
      <c r="A74" s="106">
        <v>70</v>
      </c>
      <c r="B74" s="49" t="s">
        <v>291</v>
      </c>
      <c r="C74" s="39">
        <v>39913</v>
      </c>
      <c r="D74" s="44" t="s">
        <v>134</v>
      </c>
      <c r="E74" s="44" t="s">
        <v>230</v>
      </c>
      <c r="F74" s="41">
        <v>32</v>
      </c>
      <c r="G74" s="41">
        <v>23</v>
      </c>
      <c r="H74" s="301">
        <f>216816.75+148269.25+47895.5+34792+20121+4590+2793+2962+1708.5+13855.5+7284+1114+146+54+520+866+4394.5+5139+4750.5+2505+1089+272+154</f>
        <v>522091.5</v>
      </c>
      <c r="I74" s="138">
        <f>19731+13368+5787+4814+2854+977+340+473+271+2160+1282+193+34+18+65+100+650+808+780+553+122+33+19</f>
        <v>55432</v>
      </c>
      <c r="J74" s="103">
        <f>H74/I74</f>
        <v>9.418593952951364</v>
      </c>
      <c r="K74" s="255"/>
      <c r="L74" s="107"/>
      <c r="M74" s="108"/>
      <c r="N74" s="107"/>
    </row>
    <row r="75" spans="1:14" s="29" customFormat="1" ht="16.5" customHeight="1">
      <c r="A75" s="106">
        <v>71</v>
      </c>
      <c r="B75" s="49" t="s">
        <v>527</v>
      </c>
      <c r="C75" s="39">
        <v>40074</v>
      </c>
      <c r="D75" s="44" t="s">
        <v>136</v>
      </c>
      <c r="E75" s="44" t="s">
        <v>376</v>
      </c>
      <c r="F75" s="41">
        <v>65</v>
      </c>
      <c r="G75" s="41">
        <v>3</v>
      </c>
      <c r="H75" s="301">
        <v>514997.5</v>
      </c>
      <c r="I75" s="138">
        <v>55514</v>
      </c>
      <c r="J75" s="103">
        <f>+H75/I75</f>
        <v>9.276894116799365</v>
      </c>
      <c r="K75" s="247"/>
      <c r="L75" s="107"/>
      <c r="M75" s="108"/>
      <c r="N75" s="107"/>
    </row>
    <row r="76" spans="1:14" s="29" customFormat="1" ht="16.5" customHeight="1">
      <c r="A76" s="106">
        <v>72</v>
      </c>
      <c r="B76" s="49" t="s">
        <v>205</v>
      </c>
      <c r="C76" s="39">
        <v>39864</v>
      </c>
      <c r="D76" s="44" t="s">
        <v>131</v>
      </c>
      <c r="E76" s="44" t="s">
        <v>111</v>
      </c>
      <c r="F76" s="41">
        <v>45</v>
      </c>
      <c r="G76" s="41">
        <v>22</v>
      </c>
      <c r="H76" s="301">
        <v>514842</v>
      </c>
      <c r="I76" s="138">
        <v>51000</v>
      </c>
      <c r="J76" s="103">
        <f>+H76/I76</f>
        <v>10.094941176470588</v>
      </c>
      <c r="K76" s="255"/>
      <c r="L76" s="107"/>
      <c r="M76" s="108"/>
      <c r="N76" s="107"/>
    </row>
    <row r="77" spans="1:14" s="29" customFormat="1" ht="16.5" customHeight="1">
      <c r="A77" s="106">
        <v>73</v>
      </c>
      <c r="B77" s="49" t="s">
        <v>195</v>
      </c>
      <c r="C77" s="39">
        <v>39857</v>
      </c>
      <c r="D77" s="44" t="s">
        <v>134</v>
      </c>
      <c r="E77" s="44" t="s">
        <v>133</v>
      </c>
      <c r="F77" s="41">
        <v>41</v>
      </c>
      <c r="G77" s="41">
        <v>25</v>
      </c>
      <c r="H77" s="301">
        <f>237955+174160.5+33697.5+17295.5+3111+908+14803+5802.5+3727+1295+1110+1441+1172+3872+566+382+2610+464+500+1166+2988+448+1533+1286+188</f>
        <v>512481</v>
      </c>
      <c r="I77" s="138">
        <f>21828+16711+3926+2842+612+184+2267+940+496+230+202+304+208+948+71+57+590+58+50+248+747+78+191+91+22</f>
        <v>53901</v>
      </c>
      <c r="J77" s="103">
        <f>H77/I77</f>
        <v>9.507819892024267</v>
      </c>
      <c r="K77" s="255"/>
      <c r="L77" s="107"/>
      <c r="M77" s="108"/>
      <c r="N77" s="107"/>
    </row>
    <row r="78" spans="1:14" s="29" customFormat="1" ht="16.5" customHeight="1">
      <c r="A78" s="106">
        <v>74</v>
      </c>
      <c r="B78" s="49" t="s">
        <v>502</v>
      </c>
      <c r="C78" s="39">
        <v>40053</v>
      </c>
      <c r="D78" s="44" t="s">
        <v>131</v>
      </c>
      <c r="E78" s="44" t="s">
        <v>124</v>
      </c>
      <c r="F78" s="41">
        <v>82</v>
      </c>
      <c r="G78" s="41">
        <v>6</v>
      </c>
      <c r="H78" s="301">
        <v>511594</v>
      </c>
      <c r="I78" s="138">
        <v>60696</v>
      </c>
      <c r="J78" s="103">
        <f aca="true" t="shared" si="4" ref="J78:J83">+H78/I78</f>
        <v>8.428792671675234</v>
      </c>
      <c r="K78" s="247"/>
      <c r="L78" s="107"/>
      <c r="M78" s="108"/>
      <c r="N78" s="107"/>
    </row>
    <row r="79" spans="1:14" s="29" customFormat="1" ht="16.5" customHeight="1">
      <c r="A79" s="106">
        <v>75</v>
      </c>
      <c r="B79" s="49" t="s">
        <v>551</v>
      </c>
      <c r="C79" s="39">
        <v>40088</v>
      </c>
      <c r="D79" s="44" t="s">
        <v>65</v>
      </c>
      <c r="E79" s="44" t="s">
        <v>66</v>
      </c>
      <c r="F79" s="41">
        <v>149</v>
      </c>
      <c r="G79" s="41">
        <v>1</v>
      </c>
      <c r="H79" s="301">
        <v>511247.5</v>
      </c>
      <c r="I79" s="138">
        <v>56660</v>
      </c>
      <c r="J79" s="103">
        <f t="shared" si="4"/>
        <v>9.02307624426403</v>
      </c>
      <c r="K79" s="247">
        <v>1</v>
      </c>
      <c r="L79" s="107"/>
      <c r="M79" s="108"/>
      <c r="N79" s="107"/>
    </row>
    <row r="80" spans="1:14" s="29" customFormat="1" ht="16.5" customHeight="1">
      <c r="A80" s="106">
        <v>76</v>
      </c>
      <c r="B80" s="275" t="s">
        <v>248</v>
      </c>
      <c r="C80" s="39">
        <v>39892</v>
      </c>
      <c r="D80" s="44" t="s">
        <v>130</v>
      </c>
      <c r="E80" s="44" t="s">
        <v>35</v>
      </c>
      <c r="F80" s="41">
        <v>48</v>
      </c>
      <c r="G80" s="41">
        <v>10</v>
      </c>
      <c r="H80" s="332">
        <f>252820+139377+40931+35755-48+20488+7471+3573+579+177+1040</f>
        <v>502163</v>
      </c>
      <c r="I80" s="138">
        <f>29461+16712+6028+6061+3296+1203+511+193+59+538</f>
        <v>64062</v>
      </c>
      <c r="J80" s="274">
        <f t="shared" si="4"/>
        <v>7.8387031313415125</v>
      </c>
      <c r="K80" s="255"/>
      <c r="L80" s="107"/>
      <c r="M80" s="108"/>
      <c r="N80" s="107"/>
    </row>
    <row r="81" spans="1:14" s="29" customFormat="1" ht="16.5" customHeight="1">
      <c r="A81" s="106">
        <v>77</v>
      </c>
      <c r="B81" s="49" t="s">
        <v>304</v>
      </c>
      <c r="C81" s="39">
        <v>39920</v>
      </c>
      <c r="D81" s="44" t="s">
        <v>130</v>
      </c>
      <c r="E81" s="44" t="s">
        <v>63</v>
      </c>
      <c r="F81" s="41">
        <v>67</v>
      </c>
      <c r="G81" s="41">
        <v>19</v>
      </c>
      <c r="H81" s="301">
        <v>492831</v>
      </c>
      <c r="I81" s="138">
        <v>53028</v>
      </c>
      <c r="J81" s="103">
        <f t="shared" si="4"/>
        <v>9.293788187372709</v>
      </c>
      <c r="K81" s="255"/>
      <c r="L81" s="107"/>
      <c r="M81" s="108"/>
      <c r="N81" s="107"/>
    </row>
    <row r="82" spans="1:14" s="29" customFormat="1" ht="16.5" customHeight="1">
      <c r="A82" s="106">
        <v>78</v>
      </c>
      <c r="B82" s="49" t="s">
        <v>357</v>
      </c>
      <c r="C82" s="39">
        <v>39948</v>
      </c>
      <c r="D82" s="44" t="s">
        <v>131</v>
      </c>
      <c r="E82" s="44" t="s">
        <v>43</v>
      </c>
      <c r="F82" s="41">
        <v>46</v>
      </c>
      <c r="G82" s="41">
        <v>10</v>
      </c>
      <c r="H82" s="301">
        <v>477131</v>
      </c>
      <c r="I82" s="138">
        <v>42145</v>
      </c>
      <c r="J82" s="103">
        <f t="shared" si="4"/>
        <v>11.321176889310713</v>
      </c>
      <c r="K82" s="255"/>
      <c r="L82" s="107"/>
      <c r="M82" s="108"/>
      <c r="N82" s="107"/>
    </row>
    <row r="83" spans="1:14" s="29" customFormat="1" ht="16.5" customHeight="1">
      <c r="A83" s="106">
        <v>79</v>
      </c>
      <c r="B83" s="275" t="s">
        <v>249</v>
      </c>
      <c r="C83" s="39">
        <v>39892</v>
      </c>
      <c r="D83" s="44" t="s">
        <v>131</v>
      </c>
      <c r="E83" s="44" t="s">
        <v>111</v>
      </c>
      <c r="F83" s="41">
        <v>70</v>
      </c>
      <c r="G83" s="41">
        <v>11</v>
      </c>
      <c r="H83" s="332">
        <v>471227</v>
      </c>
      <c r="I83" s="138">
        <v>57641</v>
      </c>
      <c r="J83" s="274">
        <f t="shared" si="4"/>
        <v>8.17520514911261</v>
      </c>
      <c r="K83" s="255"/>
      <c r="L83" s="107"/>
      <c r="M83" s="108"/>
      <c r="N83" s="107"/>
    </row>
    <row r="84" spans="1:14" s="29" customFormat="1" ht="16.5" customHeight="1">
      <c r="A84" s="106">
        <v>80</v>
      </c>
      <c r="B84" s="49" t="s">
        <v>370</v>
      </c>
      <c r="C84" s="39">
        <v>39955</v>
      </c>
      <c r="D84" s="44" t="s">
        <v>134</v>
      </c>
      <c r="E84" s="44" t="s">
        <v>35</v>
      </c>
      <c r="F84" s="41">
        <v>49</v>
      </c>
      <c r="G84" s="41">
        <v>17</v>
      </c>
      <c r="H84" s="301">
        <f>156835.75+123241.75+64169.25+38530+14718+8349.5+5553+9905+6647+2168.5+2346+2372+3658.5+879+4291.5+2227+3697.5</f>
        <v>449589.25</v>
      </c>
      <c r="I84" s="138">
        <f>15124+12366+7559+6566+2380+1342+923+1526+1461+575+437+426+642+167+566+379+627</f>
        <v>53066</v>
      </c>
      <c r="J84" s="103">
        <f>H84/I84</f>
        <v>8.472265669166697</v>
      </c>
      <c r="K84" s="255"/>
      <c r="L84" s="107"/>
      <c r="M84" s="108"/>
      <c r="N84" s="107"/>
    </row>
    <row r="85" spans="1:14" s="29" customFormat="1" ht="16.5" customHeight="1">
      <c r="A85" s="106">
        <v>81</v>
      </c>
      <c r="B85" s="49" t="s">
        <v>226</v>
      </c>
      <c r="C85" s="39">
        <v>39878</v>
      </c>
      <c r="D85" s="44" t="s">
        <v>134</v>
      </c>
      <c r="E85" s="44" t="s">
        <v>227</v>
      </c>
      <c r="F85" s="41">
        <v>39</v>
      </c>
      <c r="G85" s="41">
        <v>26</v>
      </c>
      <c r="H85" s="301">
        <f>143992.5+82756.5+42509+41229+27290.5+16668+27602+17675+4710+8504.5+2403+4164+2272+3469+1997+135+299+674+178+30+240+1413+1006+209+393+680</f>
        <v>432499</v>
      </c>
      <c r="I85" s="138">
        <f>15320+9228+5096+5970+4485+3115+5134+3946+1139+2307+509+879+411+637+472+29+62+165+32+6+48+348+139+43+54+68</f>
        <v>59642</v>
      </c>
      <c r="J85" s="103">
        <f>+H85/I85</f>
        <v>7.25158445390832</v>
      </c>
      <c r="K85" s="255"/>
      <c r="L85" s="107"/>
      <c r="M85" s="108"/>
      <c r="N85" s="107"/>
    </row>
    <row r="86" spans="1:14" s="29" customFormat="1" ht="16.5" customHeight="1">
      <c r="A86" s="106">
        <v>82</v>
      </c>
      <c r="B86" s="49" t="s">
        <v>519</v>
      </c>
      <c r="C86" s="39">
        <v>40067</v>
      </c>
      <c r="D86" s="44" t="s">
        <v>134</v>
      </c>
      <c r="E86" s="44" t="s">
        <v>133</v>
      </c>
      <c r="F86" s="41">
        <v>51</v>
      </c>
      <c r="G86" s="41">
        <v>4</v>
      </c>
      <c r="H86" s="301">
        <f>182949+180053+29827+20114</f>
        <v>412943</v>
      </c>
      <c r="I86" s="138">
        <f>18625+17802+3355+2859</f>
        <v>42641</v>
      </c>
      <c r="J86" s="103">
        <f>H86/I86</f>
        <v>9.684177200347083</v>
      </c>
      <c r="K86" s="247"/>
      <c r="L86" s="107"/>
      <c r="M86" s="108"/>
      <c r="N86" s="107"/>
    </row>
    <row r="87" spans="1:14" s="29" customFormat="1" ht="16.5" customHeight="1">
      <c r="A87" s="106">
        <v>83</v>
      </c>
      <c r="B87" s="49" t="s">
        <v>182</v>
      </c>
      <c r="C87" s="39">
        <v>39850</v>
      </c>
      <c r="D87" s="44" t="s">
        <v>131</v>
      </c>
      <c r="E87" s="44" t="s">
        <v>111</v>
      </c>
      <c r="F87" s="41">
        <v>26</v>
      </c>
      <c r="G87" s="41">
        <v>9</v>
      </c>
      <c r="H87" s="301">
        <v>404635</v>
      </c>
      <c r="I87" s="138">
        <v>39660</v>
      </c>
      <c r="J87" s="103">
        <f aca="true" t="shared" si="5" ref="J87:J95">+H87/I87</f>
        <v>10.202597075138678</v>
      </c>
      <c r="K87" s="255"/>
      <c r="L87" s="107"/>
      <c r="M87" s="108"/>
      <c r="N87" s="107"/>
    </row>
    <row r="88" spans="1:14" s="29" customFormat="1" ht="16.5" customHeight="1">
      <c r="A88" s="106">
        <v>84</v>
      </c>
      <c r="B88" s="49" t="s">
        <v>260</v>
      </c>
      <c r="C88" s="39">
        <v>39899</v>
      </c>
      <c r="D88" s="44" t="s">
        <v>131</v>
      </c>
      <c r="E88" s="44" t="s">
        <v>35</v>
      </c>
      <c r="F88" s="41">
        <v>59</v>
      </c>
      <c r="G88" s="41">
        <v>16</v>
      </c>
      <c r="H88" s="301">
        <v>399246</v>
      </c>
      <c r="I88" s="138">
        <v>42086</v>
      </c>
      <c r="J88" s="103">
        <f t="shared" si="5"/>
        <v>9.486432542888371</v>
      </c>
      <c r="K88" s="255"/>
      <c r="L88" s="107"/>
      <c r="M88" s="108"/>
      <c r="N88" s="107"/>
    </row>
    <row r="89" spans="1:14" s="29" customFormat="1" ht="16.5" customHeight="1">
      <c r="A89" s="106">
        <v>85</v>
      </c>
      <c r="B89" s="49" t="s">
        <v>448</v>
      </c>
      <c r="C89" s="39">
        <v>40011</v>
      </c>
      <c r="D89" s="44" t="s">
        <v>136</v>
      </c>
      <c r="E89" s="44" t="s">
        <v>376</v>
      </c>
      <c r="F89" s="41">
        <v>20</v>
      </c>
      <c r="G89" s="41">
        <v>12</v>
      </c>
      <c r="H89" s="301">
        <v>388411.75</v>
      </c>
      <c r="I89" s="138">
        <v>42598</v>
      </c>
      <c r="J89" s="103">
        <f t="shared" si="5"/>
        <v>9.118074792243767</v>
      </c>
      <c r="K89" s="247"/>
      <c r="L89" s="107"/>
      <c r="M89" s="108"/>
      <c r="N89" s="107"/>
    </row>
    <row r="90" spans="1:14" s="29" customFormat="1" ht="16.5" customHeight="1">
      <c r="A90" s="106">
        <v>86</v>
      </c>
      <c r="B90" s="49" t="s">
        <v>12</v>
      </c>
      <c r="C90" s="39">
        <v>39829</v>
      </c>
      <c r="D90" s="44" t="s">
        <v>132</v>
      </c>
      <c r="E90" s="44" t="s">
        <v>13</v>
      </c>
      <c r="F90" s="41">
        <v>27</v>
      </c>
      <c r="G90" s="41">
        <v>24</v>
      </c>
      <c r="H90" s="301">
        <f>354992.5+968</f>
        <v>355960.5</v>
      </c>
      <c r="I90" s="138">
        <f>34663+92+49+815+174+99+126+262+271+160</f>
        <v>36711</v>
      </c>
      <c r="J90" s="103">
        <f t="shared" si="5"/>
        <v>9.696289940344856</v>
      </c>
      <c r="K90" s="247"/>
      <c r="L90" s="107"/>
      <c r="M90" s="108"/>
      <c r="N90" s="107"/>
    </row>
    <row r="91" spans="1:14" s="29" customFormat="1" ht="16.5" customHeight="1">
      <c r="A91" s="106">
        <v>87</v>
      </c>
      <c r="B91" s="49" t="s">
        <v>225</v>
      </c>
      <c r="C91" s="39">
        <v>39878</v>
      </c>
      <c r="D91" s="44" t="s">
        <v>130</v>
      </c>
      <c r="E91" s="44" t="s">
        <v>122</v>
      </c>
      <c r="F91" s="41">
        <v>39</v>
      </c>
      <c r="G91" s="41">
        <v>7</v>
      </c>
      <c r="H91" s="332">
        <f>208640+108142+308+143+11378+16244+5541+1125+1076</f>
        <v>352597</v>
      </c>
      <c r="I91" s="138">
        <f>19698+10352-1+1288+2400+1285+179+187</f>
        <v>35388</v>
      </c>
      <c r="J91" s="274">
        <f t="shared" si="5"/>
        <v>9.963744772239178</v>
      </c>
      <c r="K91" s="255"/>
      <c r="L91" s="107"/>
      <c r="M91" s="108"/>
      <c r="N91" s="107"/>
    </row>
    <row r="92" spans="1:14" s="29" customFormat="1" ht="16.5" customHeight="1">
      <c r="A92" s="106">
        <v>88</v>
      </c>
      <c r="B92" s="49" t="s">
        <v>174</v>
      </c>
      <c r="C92" s="39">
        <v>39843</v>
      </c>
      <c r="D92" s="44" t="s">
        <v>130</v>
      </c>
      <c r="E92" s="44" t="s">
        <v>35</v>
      </c>
      <c r="F92" s="41">
        <v>39</v>
      </c>
      <c r="G92" s="41">
        <v>12</v>
      </c>
      <c r="H92" s="301">
        <f>326764+1190</f>
        <v>327954</v>
      </c>
      <c r="I92" s="138">
        <f>33184+170</f>
        <v>33354</v>
      </c>
      <c r="J92" s="103">
        <f t="shared" si="5"/>
        <v>9.832523835222162</v>
      </c>
      <c r="K92" s="255"/>
      <c r="L92" s="107"/>
      <c r="M92" s="108"/>
      <c r="N92" s="107"/>
    </row>
    <row r="93" spans="1:14" s="29" customFormat="1" ht="16.5" customHeight="1">
      <c r="A93" s="106">
        <v>89</v>
      </c>
      <c r="B93" s="49" t="s">
        <v>219</v>
      </c>
      <c r="C93" s="39">
        <v>39871</v>
      </c>
      <c r="D93" s="44" t="s">
        <v>131</v>
      </c>
      <c r="E93" s="44" t="s">
        <v>220</v>
      </c>
      <c r="F93" s="41">
        <v>52</v>
      </c>
      <c r="G93" s="41">
        <v>26</v>
      </c>
      <c r="H93" s="301">
        <v>321747</v>
      </c>
      <c r="I93" s="138">
        <v>41835</v>
      </c>
      <c r="J93" s="103">
        <f t="shared" si="5"/>
        <v>7.690856937970599</v>
      </c>
      <c r="K93" s="255"/>
      <c r="L93" s="107"/>
      <c r="M93" s="108"/>
      <c r="N93" s="107"/>
    </row>
    <row r="94" spans="1:14" s="29" customFormat="1" ht="16.5" customHeight="1">
      <c r="A94" s="106">
        <v>90</v>
      </c>
      <c r="B94" s="49" t="s">
        <v>313</v>
      </c>
      <c r="C94" s="39">
        <v>39927</v>
      </c>
      <c r="D94" s="44" t="s">
        <v>136</v>
      </c>
      <c r="E94" s="44" t="s">
        <v>81</v>
      </c>
      <c r="F94" s="41">
        <v>62</v>
      </c>
      <c r="G94" s="41">
        <v>24</v>
      </c>
      <c r="H94" s="301">
        <v>319987.75</v>
      </c>
      <c r="I94" s="138">
        <v>44050</v>
      </c>
      <c r="J94" s="103">
        <f t="shared" si="5"/>
        <v>7.264194097616345</v>
      </c>
      <c r="K94" s="247">
        <v>1</v>
      </c>
      <c r="L94" s="107"/>
      <c r="M94" s="108"/>
      <c r="N94" s="107"/>
    </row>
    <row r="95" spans="1:14" s="29" customFormat="1" ht="16.5" customHeight="1">
      <c r="A95" s="106">
        <v>91</v>
      </c>
      <c r="B95" s="49" t="s">
        <v>452</v>
      </c>
      <c r="C95" s="39">
        <v>39948</v>
      </c>
      <c r="D95" s="44" t="s">
        <v>131</v>
      </c>
      <c r="E95" s="44" t="s">
        <v>111</v>
      </c>
      <c r="F95" s="41">
        <v>33</v>
      </c>
      <c r="G95" s="41">
        <v>12</v>
      </c>
      <c r="H95" s="301">
        <v>301856</v>
      </c>
      <c r="I95" s="138">
        <v>32977</v>
      </c>
      <c r="J95" s="103">
        <f t="shared" si="5"/>
        <v>9.153531249052369</v>
      </c>
      <c r="K95" s="255"/>
      <c r="L95" s="107"/>
      <c r="M95" s="108"/>
      <c r="N95" s="107"/>
    </row>
    <row r="96" spans="1:14" s="29" customFormat="1" ht="16.5" customHeight="1">
      <c r="A96" s="106">
        <v>92</v>
      </c>
      <c r="B96" s="49" t="s">
        <v>466</v>
      </c>
      <c r="C96" s="39">
        <v>40025</v>
      </c>
      <c r="D96" s="44" t="s">
        <v>134</v>
      </c>
      <c r="E96" s="44" t="s">
        <v>482</v>
      </c>
      <c r="F96" s="41">
        <v>35</v>
      </c>
      <c r="G96" s="41">
        <v>10</v>
      </c>
      <c r="H96" s="301">
        <f>80686.75+57621.25+37449.5+30026.25+26289+20158.25+17545+22430+6060+3140</f>
        <v>301406</v>
      </c>
      <c r="I96" s="138">
        <f>8139+7376+5420+4820+4330+3598+3165+3639+1073+601</f>
        <v>42161</v>
      </c>
      <c r="J96" s="103">
        <f>H96/I96</f>
        <v>7.148929105097127</v>
      </c>
      <c r="K96" s="247"/>
      <c r="L96" s="107"/>
      <c r="M96" s="108"/>
      <c r="N96" s="107"/>
    </row>
    <row r="97" spans="1:14" s="29" customFormat="1" ht="16.5" customHeight="1">
      <c r="A97" s="106">
        <v>93</v>
      </c>
      <c r="B97" s="49" t="s">
        <v>208</v>
      </c>
      <c r="C97" s="39">
        <v>39864</v>
      </c>
      <c r="D97" s="44" t="s">
        <v>134</v>
      </c>
      <c r="E97" s="44" t="s">
        <v>209</v>
      </c>
      <c r="F97" s="41">
        <v>60</v>
      </c>
      <c r="G97" s="41">
        <v>13</v>
      </c>
      <c r="H97" s="301">
        <f>182826.5+79990+19672+797.5+3740.5+787+2671+676+391+870+504+321+118</f>
        <v>293364.5</v>
      </c>
      <c r="I97" s="138">
        <f>20237+9379+2724+124+668+137+441+114+58+108+72+68+24</f>
        <v>34154</v>
      </c>
      <c r="J97" s="103">
        <f>H97/I97</f>
        <v>8.589462434853898</v>
      </c>
      <c r="K97" s="255"/>
      <c r="L97" s="107"/>
      <c r="M97" s="108"/>
      <c r="N97" s="107"/>
    </row>
    <row r="98" spans="1:14" s="29" customFormat="1" ht="16.5" customHeight="1">
      <c r="A98" s="106">
        <v>94</v>
      </c>
      <c r="B98" s="49" t="s">
        <v>474</v>
      </c>
      <c r="C98" s="39">
        <v>40032</v>
      </c>
      <c r="D98" s="44" t="s">
        <v>131</v>
      </c>
      <c r="E98" s="44" t="s">
        <v>124</v>
      </c>
      <c r="F98" s="41">
        <v>31</v>
      </c>
      <c r="G98" s="41">
        <v>3</v>
      </c>
      <c r="H98" s="301">
        <v>279094</v>
      </c>
      <c r="I98" s="138">
        <v>22819</v>
      </c>
      <c r="J98" s="103">
        <f>+H98/I98</f>
        <v>12.230772601779218</v>
      </c>
      <c r="K98" s="255"/>
      <c r="L98" s="107"/>
      <c r="M98" s="108"/>
      <c r="N98" s="107"/>
    </row>
    <row r="99" spans="1:14" s="29" customFormat="1" ht="16.5" customHeight="1">
      <c r="A99" s="106">
        <v>95</v>
      </c>
      <c r="B99" s="49" t="s">
        <v>552</v>
      </c>
      <c r="C99" s="39">
        <v>40088</v>
      </c>
      <c r="D99" s="44" t="s">
        <v>4</v>
      </c>
      <c r="E99" s="44" t="s">
        <v>77</v>
      </c>
      <c r="F99" s="41">
        <v>53</v>
      </c>
      <c r="G99" s="41">
        <v>1</v>
      </c>
      <c r="H99" s="301">
        <v>278215</v>
      </c>
      <c r="I99" s="138">
        <v>26123</v>
      </c>
      <c r="J99" s="103">
        <f>+H99/I99</f>
        <v>10.650193316234736</v>
      </c>
      <c r="K99" s="247"/>
      <c r="L99" s="107"/>
      <c r="M99" s="108"/>
      <c r="N99" s="107"/>
    </row>
    <row r="100" spans="1:14" s="29" customFormat="1" ht="16.5" customHeight="1">
      <c r="A100" s="106">
        <v>96</v>
      </c>
      <c r="B100" s="49" t="s">
        <v>373</v>
      </c>
      <c r="C100" s="39">
        <v>39962</v>
      </c>
      <c r="D100" s="44" t="s">
        <v>4</v>
      </c>
      <c r="E100" s="44" t="s">
        <v>374</v>
      </c>
      <c r="F100" s="41">
        <v>72</v>
      </c>
      <c r="G100" s="41">
        <v>19</v>
      </c>
      <c r="H100" s="301">
        <v>275047</v>
      </c>
      <c r="I100" s="138">
        <v>37218</v>
      </c>
      <c r="J100" s="103">
        <f>+H100/I100</f>
        <v>7.390160674942233</v>
      </c>
      <c r="K100" s="247"/>
      <c r="L100" s="107"/>
      <c r="M100" s="108"/>
      <c r="N100" s="107"/>
    </row>
    <row r="101" spans="1:14" s="29" customFormat="1" ht="16.5" customHeight="1">
      <c r="A101" s="106">
        <v>97</v>
      </c>
      <c r="B101" s="49" t="s">
        <v>218</v>
      </c>
      <c r="C101" s="39">
        <v>39871</v>
      </c>
      <c r="D101" s="44" t="s">
        <v>130</v>
      </c>
      <c r="E101" s="44" t="s">
        <v>122</v>
      </c>
      <c r="F101" s="41">
        <v>50</v>
      </c>
      <c r="G101" s="41">
        <v>8</v>
      </c>
      <c r="H101" s="332">
        <f>170980+80213+4926+3955+3233+7199+1587+1046</f>
        <v>273139</v>
      </c>
      <c r="I101" s="138">
        <f>17959+8528+552+616+564+1409+280+158</f>
        <v>30066</v>
      </c>
      <c r="J101" s="274">
        <f>+H101/I101</f>
        <v>9.08464710969201</v>
      </c>
      <c r="K101" s="255"/>
      <c r="L101" s="107"/>
      <c r="M101" s="108"/>
      <c r="N101" s="107"/>
    </row>
    <row r="102" spans="1:14" s="29" customFormat="1" ht="16.5" customHeight="1">
      <c r="A102" s="106">
        <v>98</v>
      </c>
      <c r="B102" s="49" t="s">
        <v>481</v>
      </c>
      <c r="C102" s="39">
        <v>40039</v>
      </c>
      <c r="D102" s="44" t="s">
        <v>134</v>
      </c>
      <c r="E102" s="44" t="s">
        <v>112</v>
      </c>
      <c r="F102" s="41">
        <v>25</v>
      </c>
      <c r="G102" s="41">
        <v>8</v>
      </c>
      <c r="H102" s="301">
        <f>82054.5+35940.5+27703.5+25295+22550+51818+15256.5+8486.5</f>
        <v>269104.5</v>
      </c>
      <c r="I102" s="138">
        <f>7776+4353+3786+3658+3453+8330+2528+1464</f>
        <v>35348</v>
      </c>
      <c r="J102" s="103">
        <f>H102/I102</f>
        <v>7.613004979065294</v>
      </c>
      <c r="K102" s="247"/>
      <c r="L102" s="107"/>
      <c r="M102" s="108"/>
      <c r="N102" s="107"/>
    </row>
    <row r="103" spans="1:14" s="29" customFormat="1" ht="13.5" customHeight="1">
      <c r="A103" s="106">
        <v>99</v>
      </c>
      <c r="B103" s="49" t="s">
        <v>476</v>
      </c>
      <c r="C103" s="39">
        <v>39920</v>
      </c>
      <c r="D103" s="44" t="s">
        <v>134</v>
      </c>
      <c r="E103" s="44" t="s">
        <v>315</v>
      </c>
      <c r="F103" s="41">
        <v>43</v>
      </c>
      <c r="G103" s="41">
        <v>21</v>
      </c>
      <c r="H103" s="301">
        <f>71921.5+55489+28896+23842.5+13474.5+19552.5+14027+10409+7091.5+1088.5+1046+1608+982+3368+433+2156+3870+2362+588+3564+2376</f>
        <v>268145</v>
      </c>
      <c r="I103" s="138">
        <f>9131+7791+4520+4728+2735+3857+3026+2110+1463+203+226+324+239+809+81+469+941+537+95+891+594</f>
        <v>44770</v>
      </c>
      <c r="J103" s="103">
        <f>H103/I103</f>
        <v>5.989390216662944</v>
      </c>
      <c r="K103" s="255"/>
      <c r="L103" s="107"/>
      <c r="M103" s="108"/>
      <c r="N103" s="107"/>
    </row>
    <row r="104" spans="1:14" s="29" customFormat="1" ht="15">
      <c r="A104" s="106">
        <v>100</v>
      </c>
      <c r="B104" s="49" t="s">
        <v>372</v>
      </c>
      <c r="C104" s="39">
        <v>39962</v>
      </c>
      <c r="D104" s="44" t="s">
        <v>134</v>
      </c>
      <c r="E104" s="44" t="s">
        <v>35</v>
      </c>
      <c r="F104" s="41">
        <v>62</v>
      </c>
      <c r="G104" s="41">
        <v>14</v>
      </c>
      <c r="H104" s="301">
        <f>119427+69056.25+26863.25+16010.5+8015+6275+6055+3079+2146+4052+1167+331+313+1139</f>
        <v>263929</v>
      </c>
      <c r="I104" s="138">
        <f>12586+8062+4099+2784+1411+1162+938+565+339+749+250+68+52+208</f>
        <v>33273</v>
      </c>
      <c r="J104" s="103">
        <f aca="true" t="shared" si="6" ref="J104:J111">+H104/I104</f>
        <v>7.932227331469961</v>
      </c>
      <c r="K104" s="255"/>
      <c r="L104" s="107"/>
      <c r="M104" s="108"/>
      <c r="N104" s="107"/>
    </row>
    <row r="105" spans="1:14" s="29" customFormat="1" ht="15">
      <c r="A105" s="106">
        <v>101</v>
      </c>
      <c r="B105" s="49" t="s">
        <v>175</v>
      </c>
      <c r="C105" s="39">
        <v>39843</v>
      </c>
      <c r="D105" s="44" t="s">
        <v>132</v>
      </c>
      <c r="E105" s="44" t="s">
        <v>13</v>
      </c>
      <c r="F105" s="41">
        <v>50</v>
      </c>
      <c r="G105" s="41">
        <v>22</v>
      </c>
      <c r="H105" s="301">
        <f>168651.5+46529+10620.5+4304+0.5+12367.5+5085+0.5+811+443+1089+406.5+312+389+3597+510+948+224.5+704+336+20+216+70+45</f>
        <v>257679.5</v>
      </c>
      <c r="I105" s="138">
        <f>20118+5529+1513+681+2223+920+189+100+201+77+55+67+600+195+369+85+176+67+2+42+14+7</f>
        <v>33230</v>
      </c>
      <c r="J105" s="103">
        <f t="shared" si="6"/>
        <v>7.754423713511887</v>
      </c>
      <c r="K105" s="247"/>
      <c r="L105" s="107"/>
      <c r="M105" s="108"/>
      <c r="N105" s="107"/>
    </row>
    <row r="106" spans="1:14" s="29" customFormat="1" ht="15">
      <c r="A106" s="106">
        <v>102</v>
      </c>
      <c r="B106" s="49" t="s">
        <v>314</v>
      </c>
      <c r="C106" s="39">
        <v>39927</v>
      </c>
      <c r="D106" s="44" t="s">
        <v>131</v>
      </c>
      <c r="E106" s="44" t="s">
        <v>96</v>
      </c>
      <c r="F106" s="41">
        <v>48</v>
      </c>
      <c r="G106" s="41">
        <v>18</v>
      </c>
      <c r="H106" s="301">
        <v>234059</v>
      </c>
      <c r="I106" s="138">
        <v>26312</v>
      </c>
      <c r="J106" s="103">
        <f t="shared" si="6"/>
        <v>8.895522955305564</v>
      </c>
      <c r="K106" s="255"/>
      <c r="L106" s="107"/>
      <c r="M106" s="108"/>
      <c r="N106" s="107"/>
    </row>
    <row r="107" spans="1:14" s="29" customFormat="1" ht="15">
      <c r="A107" s="106">
        <v>103</v>
      </c>
      <c r="B107" s="49" t="s">
        <v>274</v>
      </c>
      <c r="C107" s="39">
        <v>39906</v>
      </c>
      <c r="D107" s="44" t="s">
        <v>130</v>
      </c>
      <c r="E107" s="44" t="s">
        <v>126</v>
      </c>
      <c r="F107" s="41">
        <v>25</v>
      </c>
      <c r="G107" s="41">
        <v>20</v>
      </c>
      <c r="H107" s="301">
        <f>229282+450+284+419+695+140</f>
        <v>231270</v>
      </c>
      <c r="I107" s="138">
        <f>31940+75+43+65+139+28</f>
        <v>32290</v>
      </c>
      <c r="J107" s="103">
        <f t="shared" si="6"/>
        <v>7.162279343449985</v>
      </c>
      <c r="K107" s="255"/>
      <c r="L107" s="107"/>
      <c r="M107" s="108"/>
      <c r="N107" s="107"/>
    </row>
    <row r="108" spans="1:14" s="29" customFormat="1" ht="15">
      <c r="A108" s="106">
        <v>104</v>
      </c>
      <c r="B108" s="275" t="s">
        <v>272</v>
      </c>
      <c r="C108" s="39">
        <v>39906</v>
      </c>
      <c r="D108" s="44" t="s">
        <v>273</v>
      </c>
      <c r="E108" s="44" t="s">
        <v>351</v>
      </c>
      <c r="F108" s="41" t="s">
        <v>317</v>
      </c>
      <c r="G108" s="41" t="s">
        <v>379</v>
      </c>
      <c r="H108" s="332">
        <v>222148</v>
      </c>
      <c r="I108" s="138">
        <v>25726</v>
      </c>
      <c r="J108" s="274">
        <f t="shared" si="6"/>
        <v>8.635155096011816</v>
      </c>
      <c r="K108" s="255"/>
      <c r="L108" s="107"/>
      <c r="M108" s="108"/>
      <c r="N108" s="107"/>
    </row>
    <row r="109" spans="1:14" s="29" customFormat="1" ht="15">
      <c r="A109" s="106">
        <v>105</v>
      </c>
      <c r="B109" s="49" t="s">
        <v>326</v>
      </c>
      <c r="C109" s="39">
        <v>39934</v>
      </c>
      <c r="D109" s="44" t="s">
        <v>132</v>
      </c>
      <c r="E109" s="44" t="s">
        <v>327</v>
      </c>
      <c r="F109" s="41">
        <v>125</v>
      </c>
      <c r="G109" s="41">
        <v>10</v>
      </c>
      <c r="H109" s="301">
        <f>114460.75+42138+22420+8194+3259+329+823+25444.5+546+3853</f>
        <v>221467.25</v>
      </c>
      <c r="I109" s="138">
        <f>15343+6534+4108+1491+680+62+130+4241+100+770</f>
        <v>33459</v>
      </c>
      <c r="J109" s="103">
        <f t="shared" si="6"/>
        <v>6.619063630114469</v>
      </c>
      <c r="K109" s="255"/>
      <c r="L109" s="107"/>
      <c r="M109" s="108"/>
      <c r="N109" s="107"/>
    </row>
    <row r="110" spans="1:14" s="29" customFormat="1" ht="15">
      <c r="A110" s="106">
        <v>106</v>
      </c>
      <c r="B110" s="49" t="s">
        <v>404</v>
      </c>
      <c r="C110" s="39">
        <v>39913</v>
      </c>
      <c r="D110" s="44" t="s">
        <v>131</v>
      </c>
      <c r="E110" s="44" t="s">
        <v>127</v>
      </c>
      <c r="F110" s="41">
        <v>21</v>
      </c>
      <c r="G110" s="41">
        <v>17</v>
      </c>
      <c r="H110" s="301">
        <v>217880</v>
      </c>
      <c r="I110" s="138">
        <v>25001</v>
      </c>
      <c r="J110" s="103">
        <f t="shared" si="6"/>
        <v>8.714851405943762</v>
      </c>
      <c r="K110" s="247"/>
      <c r="L110" s="107"/>
      <c r="M110" s="108"/>
      <c r="N110" s="107"/>
    </row>
    <row r="111" spans="1:14" s="29" customFormat="1" ht="15">
      <c r="A111" s="106">
        <v>107</v>
      </c>
      <c r="B111" s="49" t="s">
        <v>292</v>
      </c>
      <c r="C111" s="39">
        <v>39913</v>
      </c>
      <c r="D111" s="44" t="s">
        <v>132</v>
      </c>
      <c r="E111" s="44" t="s">
        <v>107</v>
      </c>
      <c r="F111" s="41">
        <v>58</v>
      </c>
      <c r="G111" s="41">
        <v>17</v>
      </c>
      <c r="H111" s="301">
        <f>98586+53030.5+26630.5+22794.25+6969+1410+2571+0.5+202+493+182+248+210+234+242+528+227.5+837</f>
        <v>215395.25</v>
      </c>
      <c r="I111" s="138">
        <f>10552+5817+4286+3997+1311+179+561+43+115+39+52+42+52+56+79+19+96</f>
        <v>27296</v>
      </c>
      <c r="J111" s="103">
        <f t="shared" si="6"/>
        <v>7.8910921014068</v>
      </c>
      <c r="K111" s="255"/>
      <c r="L111" s="107"/>
      <c r="M111" s="108"/>
      <c r="N111" s="107"/>
    </row>
    <row r="112" spans="1:14" s="29" customFormat="1" ht="15">
      <c r="A112" s="106">
        <v>108</v>
      </c>
      <c r="B112" s="49" t="s">
        <v>406</v>
      </c>
      <c r="C112" s="39">
        <v>39926</v>
      </c>
      <c r="D112" s="44" t="s">
        <v>134</v>
      </c>
      <c r="E112" s="44" t="s">
        <v>316</v>
      </c>
      <c r="F112" s="41">
        <v>40</v>
      </c>
      <c r="G112" s="41">
        <v>21</v>
      </c>
      <c r="H112" s="301">
        <f>35864.5+53058.5+35303.5+15734.5+12778.5+9687.5+8045+13953.5+10307+6140.75+1296+667+231+755+1970+2246+752.5+591.5+130+445+2051+750+1477</f>
        <v>214235.25</v>
      </c>
      <c r="I112" s="138">
        <f>3971+5771+3969+2398+2257+2131+1634+2509+1783+912+230+126+48+181+472+311+114+91+20+78+493+183+365</f>
        <v>30047</v>
      </c>
      <c r="J112" s="103">
        <f>H112/I112</f>
        <v>7.130004659366992</v>
      </c>
      <c r="K112" s="247"/>
      <c r="L112" s="107"/>
      <c r="M112" s="108"/>
      <c r="N112" s="107"/>
    </row>
    <row r="113" spans="1:14" s="29" customFormat="1" ht="15">
      <c r="A113" s="106">
        <v>109</v>
      </c>
      <c r="B113" s="49" t="s">
        <v>528</v>
      </c>
      <c r="C113" s="39">
        <v>40074</v>
      </c>
      <c r="D113" s="44" t="s">
        <v>130</v>
      </c>
      <c r="E113" s="44" t="s">
        <v>543</v>
      </c>
      <c r="F113" s="41">
        <v>66</v>
      </c>
      <c r="G113" s="41">
        <v>3</v>
      </c>
      <c r="H113" s="301">
        <v>212470</v>
      </c>
      <c r="I113" s="138">
        <v>25878</v>
      </c>
      <c r="J113" s="103">
        <f>+H113/I113</f>
        <v>8.210449030064147</v>
      </c>
      <c r="K113" s="247">
        <v>1</v>
      </c>
      <c r="L113" s="107"/>
      <c r="M113" s="108"/>
      <c r="N113" s="107"/>
    </row>
    <row r="114" spans="1:14" s="29" customFormat="1" ht="15">
      <c r="A114" s="106">
        <v>110</v>
      </c>
      <c r="B114" s="49" t="s">
        <v>156</v>
      </c>
      <c r="C114" s="39">
        <v>39836</v>
      </c>
      <c r="D114" s="44" t="s">
        <v>134</v>
      </c>
      <c r="E114" s="44" t="s">
        <v>157</v>
      </c>
      <c r="F114" s="41">
        <v>13</v>
      </c>
      <c r="G114" s="41">
        <v>23</v>
      </c>
      <c r="H114" s="301">
        <f>57133.5+23554+18557+9186+29743.5+13631.5+13446+7072+7029+8018.5+7220.5+2856.5+1828+102+3517+635+324+30+2146+1842+376+154+799</f>
        <v>209201</v>
      </c>
      <c r="I114" s="138">
        <f>5405+2651+2356+1389+3583+1713+1661+1216+1174+1324+1425+542+453+16+757+96+108+10+508+436+35+14+67</f>
        <v>26939</v>
      </c>
      <c r="J114" s="103">
        <f>H114/I114</f>
        <v>7.765729982553176</v>
      </c>
      <c r="K114" s="255"/>
      <c r="L114" s="107"/>
      <c r="M114" s="108"/>
      <c r="N114" s="107"/>
    </row>
    <row r="115" spans="1:14" s="29" customFormat="1" ht="15">
      <c r="A115" s="106">
        <v>111</v>
      </c>
      <c r="B115" s="49" t="s">
        <v>520</v>
      </c>
      <c r="C115" s="39">
        <v>40067</v>
      </c>
      <c r="D115" s="44" t="s">
        <v>132</v>
      </c>
      <c r="E115" s="44" t="s">
        <v>13</v>
      </c>
      <c r="F115" s="41">
        <v>34</v>
      </c>
      <c r="G115" s="41">
        <v>4</v>
      </c>
      <c r="H115" s="301">
        <f>104798.5+73267.5-54+19255+11088.5</f>
        <v>208355.5</v>
      </c>
      <c r="I115" s="138">
        <f>10391+7949-1+2890+1731</f>
        <v>22960</v>
      </c>
      <c r="J115" s="103">
        <f>+H115/I115</f>
        <v>9.074716898954703</v>
      </c>
      <c r="K115" s="247"/>
      <c r="L115" s="107"/>
      <c r="M115" s="108"/>
      <c r="N115" s="107"/>
    </row>
    <row r="116" spans="1:14" s="29" customFormat="1" ht="15">
      <c r="A116" s="106">
        <v>112</v>
      </c>
      <c r="B116" s="49" t="s">
        <v>89</v>
      </c>
      <c r="C116" s="39">
        <v>39822</v>
      </c>
      <c r="D116" s="44" t="s">
        <v>130</v>
      </c>
      <c r="E116" s="44" t="s">
        <v>90</v>
      </c>
      <c r="F116" s="41">
        <v>59</v>
      </c>
      <c r="G116" s="41">
        <v>10</v>
      </c>
      <c r="H116" s="301">
        <f>104780+59149-180+16774+8520+1676+104+1077+1190+1780+175</f>
        <v>195045</v>
      </c>
      <c r="I116" s="138">
        <f>11200+7168-39+2888+1488+293+16+150+340+330+24</f>
        <v>23858</v>
      </c>
      <c r="J116" s="103">
        <f>+H116/I116</f>
        <v>8.17524520077123</v>
      </c>
      <c r="K116" s="255"/>
      <c r="L116" s="107"/>
      <c r="M116" s="108"/>
      <c r="N116" s="107"/>
    </row>
    <row r="117" spans="1:14" s="29" customFormat="1" ht="15">
      <c r="A117" s="106">
        <v>113</v>
      </c>
      <c r="B117" s="49" t="s">
        <v>457</v>
      </c>
      <c r="C117" s="39">
        <v>40018</v>
      </c>
      <c r="D117" s="44" t="s">
        <v>134</v>
      </c>
      <c r="E117" s="44" t="s">
        <v>1</v>
      </c>
      <c r="F117" s="41">
        <v>15</v>
      </c>
      <c r="G117" s="41">
        <v>11</v>
      </c>
      <c r="H117" s="301">
        <f>45223.5+15125.5+13165.5+20680+19677+12272.5+9852.5+20545+23906.5+7791.5+6178.5</f>
        <v>194418</v>
      </c>
      <c r="I117" s="138">
        <f>4304+2235+2006+3396+3048+1969+1588+2705+3867+1425+1136</f>
        <v>27679</v>
      </c>
      <c r="J117" s="103">
        <f>H117/I117</f>
        <v>7.024025434444886</v>
      </c>
      <c r="K117" s="247"/>
      <c r="L117" s="107"/>
      <c r="M117" s="108"/>
      <c r="N117" s="107"/>
    </row>
    <row r="118" spans="1:14" s="29" customFormat="1" ht="15">
      <c r="A118" s="106">
        <v>114</v>
      </c>
      <c r="B118" s="49" t="s">
        <v>330</v>
      </c>
      <c r="C118" s="39">
        <v>39934</v>
      </c>
      <c r="D118" s="44" t="s">
        <v>134</v>
      </c>
      <c r="E118" s="44" t="s">
        <v>331</v>
      </c>
      <c r="F118" s="41">
        <v>10</v>
      </c>
      <c r="G118" s="41">
        <v>24</v>
      </c>
      <c r="H118" s="301">
        <f>33364+9411.25+6223+5254.25+7040.75+9205+8456.5+5846+7384.5+11524.5+6072+6007.5+4296+10473.5+8837+17888.5+8391.5+8505+5475+4349+2200+1124+973</f>
        <v>188301.75</v>
      </c>
      <c r="I118" s="138">
        <f>3034+1189+1068+919+1228+1672+993+1006+1340+1668+942+1195+830+1577+1486+2513+1292+1365+901+725+353+213+178</f>
        <v>27687</v>
      </c>
      <c r="J118" s="103">
        <f>H118/I118</f>
        <v>6.801088958717087</v>
      </c>
      <c r="K118" s="247"/>
      <c r="L118" s="107"/>
      <c r="M118" s="108"/>
      <c r="N118" s="107"/>
    </row>
    <row r="119" spans="1:14" s="29" customFormat="1" ht="15">
      <c r="A119" s="106">
        <v>115</v>
      </c>
      <c r="B119" s="49" t="s">
        <v>429</v>
      </c>
      <c r="C119" s="39">
        <v>39997</v>
      </c>
      <c r="D119" s="44" t="s">
        <v>430</v>
      </c>
      <c r="E119" s="44" t="s">
        <v>430</v>
      </c>
      <c r="F119" s="41" t="s">
        <v>431</v>
      </c>
      <c r="G119" s="41" t="s">
        <v>563</v>
      </c>
      <c r="H119" s="301">
        <v>174399.5</v>
      </c>
      <c r="I119" s="138">
        <v>24550</v>
      </c>
      <c r="J119" s="103">
        <f>+H119/I119</f>
        <v>7.103849287169043</v>
      </c>
      <c r="K119" s="247"/>
      <c r="L119" s="107"/>
      <c r="M119" s="108"/>
      <c r="N119" s="107"/>
    </row>
    <row r="120" spans="1:14" s="29" customFormat="1" ht="15">
      <c r="A120" s="106">
        <v>116</v>
      </c>
      <c r="B120" s="49" t="s">
        <v>346</v>
      </c>
      <c r="C120" s="39">
        <v>39941</v>
      </c>
      <c r="D120" s="44" t="s">
        <v>132</v>
      </c>
      <c r="E120" s="44" t="s">
        <v>107</v>
      </c>
      <c r="F120" s="41">
        <v>48</v>
      </c>
      <c r="G120" s="41">
        <v>19</v>
      </c>
      <c r="H120" s="301">
        <f>68037+32977.75+19751.5+19095.5+11245.5+8291+0.5+5025+0.5+3009+0.5+2257+1189.5+200+137+191+193+101+980+708+90+569.5</f>
        <v>174049.75</v>
      </c>
      <c r="I120" s="138">
        <f>7390+3921+2868+3420+2036+1430+866+478+340+162+26+17+25+25+13+148+129+12+58</f>
        <v>23364</v>
      </c>
      <c r="J120" s="103">
        <f>+H120/I120</f>
        <v>7.449484249272385</v>
      </c>
      <c r="K120" s="255"/>
      <c r="L120" s="107"/>
      <c r="M120" s="108"/>
      <c r="N120" s="107"/>
    </row>
    <row r="121" spans="1:14" s="29" customFormat="1" ht="15">
      <c r="A121" s="106">
        <v>117</v>
      </c>
      <c r="B121" s="49" t="s">
        <v>261</v>
      </c>
      <c r="C121" s="39">
        <v>39899</v>
      </c>
      <c r="D121" s="44" t="s">
        <v>134</v>
      </c>
      <c r="E121" s="44" t="s">
        <v>262</v>
      </c>
      <c r="F121" s="41">
        <v>20</v>
      </c>
      <c r="G121" s="41">
        <v>22</v>
      </c>
      <c r="H121" s="301">
        <f>81492+22862.5+13205.5+6103+2111+12431+2530+1890+2753+2052+6502+4582+2920+1014+467+521+802+2002+1178+2445+1342+936</f>
        <v>172141</v>
      </c>
      <c r="I121" s="138">
        <f>7841+2336+2082+903+428+1668+456+491+508+401+912+904+611+193+73+61+149+348+238+522+206+187</f>
        <v>21518</v>
      </c>
      <c r="J121" s="103">
        <f>H121/I121</f>
        <v>7.999860581838461</v>
      </c>
      <c r="K121" s="255"/>
      <c r="L121" s="107"/>
      <c r="M121" s="108"/>
      <c r="N121" s="107"/>
    </row>
    <row r="122" spans="1:14" s="29" customFormat="1" ht="15">
      <c r="A122" s="106">
        <v>118</v>
      </c>
      <c r="B122" s="49" t="s">
        <v>277</v>
      </c>
      <c r="C122" s="39">
        <v>39906</v>
      </c>
      <c r="D122" s="44" t="s">
        <v>134</v>
      </c>
      <c r="E122" s="44" t="s">
        <v>278</v>
      </c>
      <c r="F122" s="41">
        <v>20</v>
      </c>
      <c r="G122" s="41">
        <v>26</v>
      </c>
      <c r="H122" s="301">
        <f>42804+21823.5+16872+15644+14339+9086.5+5699.5+3037.5+5806+4257+3266+4447.5+2452.5+998+765+676+1097+1109+2787+4789.5+3523+1400+1521+1730+648+157</f>
        <v>170735.5</v>
      </c>
      <c r="I122" s="138">
        <f>4512+2464+2783+2745+2518+1539+1111+600+1038+659+553+793+456+190+108+168+202+194+548+953+682+301+265+311+99+21</f>
        <v>25813</v>
      </c>
      <c r="J122" s="103">
        <f>H122/I122</f>
        <v>6.614322240731415</v>
      </c>
      <c r="K122" s="255"/>
      <c r="L122" s="107"/>
      <c r="M122" s="108"/>
      <c r="N122" s="107"/>
    </row>
    <row r="123" spans="1:14" s="29" customFormat="1" ht="15">
      <c r="A123" s="106">
        <v>119</v>
      </c>
      <c r="B123" s="49" t="s">
        <v>553</v>
      </c>
      <c r="C123" s="39">
        <v>40088</v>
      </c>
      <c r="D123" s="44" t="s">
        <v>131</v>
      </c>
      <c r="E123" s="44" t="s">
        <v>43</v>
      </c>
      <c r="F123" s="41">
        <v>40</v>
      </c>
      <c r="G123" s="41">
        <v>1</v>
      </c>
      <c r="H123" s="301">
        <v>167990</v>
      </c>
      <c r="I123" s="138">
        <v>15437</v>
      </c>
      <c r="J123" s="103">
        <f>+H123/I123</f>
        <v>10.882295782859364</v>
      </c>
      <c r="K123" s="247"/>
      <c r="L123" s="107"/>
      <c r="M123" s="108"/>
      <c r="N123" s="107"/>
    </row>
    <row r="124" spans="1:14" s="29" customFormat="1" ht="15">
      <c r="A124" s="106">
        <v>120</v>
      </c>
      <c r="B124" s="49" t="s">
        <v>415</v>
      </c>
      <c r="C124" s="39">
        <v>39983</v>
      </c>
      <c r="D124" s="44" t="s">
        <v>134</v>
      </c>
      <c r="E124" s="44" t="s">
        <v>133</v>
      </c>
      <c r="F124" s="41">
        <v>25</v>
      </c>
      <c r="G124" s="41">
        <v>15</v>
      </c>
      <c r="H124" s="301">
        <f>35988+25834.5+20452+10883+7816+8362.5+11315.5+10053.5+5536+2993.5+4533+1172.5+10976+1028+224</f>
        <v>157168</v>
      </c>
      <c r="I124" s="138">
        <f>3783+2659+2949+1845+1497+1509+2090+1925+901+531+811+180+1565+159+30</f>
        <v>22434</v>
      </c>
      <c r="J124" s="103">
        <f>H124/I124</f>
        <v>7.005794775786752</v>
      </c>
      <c r="K124" s="255"/>
      <c r="L124" s="107"/>
      <c r="M124" s="108"/>
      <c r="N124" s="107"/>
    </row>
    <row r="125" spans="1:14" s="29" customFormat="1" ht="15">
      <c r="A125" s="106">
        <v>121</v>
      </c>
      <c r="B125" s="49" t="s">
        <v>529</v>
      </c>
      <c r="C125" s="39">
        <v>40074</v>
      </c>
      <c r="D125" s="44" t="s">
        <v>134</v>
      </c>
      <c r="E125" s="44" t="s">
        <v>386</v>
      </c>
      <c r="F125" s="41">
        <v>30</v>
      </c>
      <c r="G125" s="41">
        <v>3</v>
      </c>
      <c r="H125" s="301">
        <f>119088.25+23049.75+14932</f>
        <v>157070</v>
      </c>
      <c r="I125" s="138">
        <f>10957+2278+2442</f>
        <v>15677</v>
      </c>
      <c r="J125" s="103">
        <f>H125/I125</f>
        <v>10.019136314345857</v>
      </c>
      <c r="K125" s="247"/>
      <c r="L125" s="107"/>
      <c r="M125" s="108"/>
      <c r="N125" s="107"/>
    </row>
    <row r="126" spans="1:14" s="29" customFormat="1" ht="15">
      <c r="A126" s="106">
        <v>122</v>
      </c>
      <c r="B126" s="49" t="s">
        <v>424</v>
      </c>
      <c r="C126" s="39">
        <v>39990</v>
      </c>
      <c r="D126" s="44" t="s">
        <v>4</v>
      </c>
      <c r="E126" s="44" t="s">
        <v>77</v>
      </c>
      <c r="F126" s="41">
        <v>20</v>
      </c>
      <c r="G126" s="41">
        <v>15</v>
      </c>
      <c r="H126" s="301">
        <v>155765</v>
      </c>
      <c r="I126" s="138">
        <v>17730</v>
      </c>
      <c r="J126" s="103">
        <f>+H126/I126</f>
        <v>8.785391990975747</v>
      </c>
      <c r="K126" s="247"/>
      <c r="L126" s="107"/>
      <c r="M126" s="108"/>
      <c r="N126" s="107"/>
    </row>
    <row r="127" spans="1:14" s="29" customFormat="1" ht="15">
      <c r="A127" s="106">
        <v>123</v>
      </c>
      <c r="B127" s="49" t="s">
        <v>385</v>
      </c>
      <c r="C127" s="39">
        <v>39969</v>
      </c>
      <c r="D127" s="44" t="s">
        <v>134</v>
      </c>
      <c r="E127" s="44" t="s">
        <v>386</v>
      </c>
      <c r="F127" s="41">
        <v>20</v>
      </c>
      <c r="G127" s="41">
        <v>16</v>
      </c>
      <c r="H127" s="301">
        <f>63821.75+29583.75+16102.25+8771.25+5888+8492.5+1761+3162+5226+2267+1186.5+1122.5+1305+832+660+301</f>
        <v>150482.5</v>
      </c>
      <c r="I127" s="138">
        <f>6069+3045+2422+1546+1020+1313+402+594+954+378+185+151+256+78+122+64</f>
        <v>18599</v>
      </c>
      <c r="J127" s="103">
        <f>H127/I127</f>
        <v>8.09089198343997</v>
      </c>
      <c r="K127" s="247"/>
      <c r="L127" s="107"/>
      <c r="M127" s="108"/>
      <c r="N127" s="107"/>
    </row>
    <row r="128" spans="1:14" s="29" customFormat="1" ht="15">
      <c r="A128" s="106">
        <v>124</v>
      </c>
      <c r="B128" s="49" t="s">
        <v>387</v>
      </c>
      <c r="C128" s="39">
        <v>39969</v>
      </c>
      <c r="D128" s="44" t="s">
        <v>134</v>
      </c>
      <c r="E128" s="44" t="s">
        <v>106</v>
      </c>
      <c r="F128" s="41">
        <v>15</v>
      </c>
      <c r="G128" s="41">
        <v>16</v>
      </c>
      <c r="H128" s="301">
        <f>27361.5+18405.5+7012.5+8036+10603+16152+7756.5+7135+10765.5+6678+5822+5417.5+7809+7540.5+3431.5+523</f>
        <v>150449</v>
      </c>
      <c r="I128" s="138">
        <f>2528+1825+961+1326+1574+2229+1260+1363+1702+1118+909+720+1275+909+371+69</f>
        <v>20139</v>
      </c>
      <c r="J128" s="103">
        <f>H128/I128</f>
        <v>7.470529817766523</v>
      </c>
      <c r="K128" s="247"/>
      <c r="L128" s="107"/>
      <c r="M128" s="108"/>
      <c r="N128" s="107"/>
    </row>
    <row r="129" spans="1:14" s="29" customFormat="1" ht="15">
      <c r="A129" s="106">
        <v>125</v>
      </c>
      <c r="B129" s="49" t="s">
        <v>538</v>
      </c>
      <c r="C129" s="39">
        <v>39878</v>
      </c>
      <c r="D129" s="44" t="s">
        <v>134</v>
      </c>
      <c r="E129" s="44" t="s">
        <v>228</v>
      </c>
      <c r="F129" s="41">
        <v>23</v>
      </c>
      <c r="G129" s="41">
        <v>23</v>
      </c>
      <c r="H129" s="301">
        <f>53374.5+21232.5+15713+17154+11858.5+7161+6552+3862+3628+1527+122+233.5+60+236+80+64+431+405+540+256+514+4296+117</f>
        <v>149417</v>
      </c>
      <c r="I129" s="138">
        <f>6646+2890+2666+3061+2083+1483+1285+676+775+318+20+74+20+45+16+15+90+66+87+42+72+1011+21</f>
        <v>23462</v>
      </c>
      <c r="J129" s="103">
        <f>H129/I129</f>
        <v>6.368468161282073</v>
      </c>
      <c r="K129" s="255"/>
      <c r="L129" s="107"/>
      <c r="M129" s="108"/>
      <c r="N129" s="107"/>
    </row>
    <row r="130" spans="1:14" s="29" customFormat="1" ht="15">
      <c r="A130" s="106">
        <v>126</v>
      </c>
      <c r="B130" s="49" t="s">
        <v>446</v>
      </c>
      <c r="C130" s="39">
        <v>39815</v>
      </c>
      <c r="D130" s="44" t="s">
        <v>132</v>
      </c>
      <c r="E130" s="44" t="s">
        <v>107</v>
      </c>
      <c r="F130" s="41">
        <v>26</v>
      </c>
      <c r="G130" s="41">
        <v>18</v>
      </c>
      <c r="H130" s="301">
        <f>73862+20664+15776+8085+9922+10832+112+464+968+2909+2298+0.5+104+234+234+288+720+972+834</f>
        <v>149278.5</v>
      </c>
      <c r="I130" s="138">
        <f>7639+2334+2407+1475+1749+1781+22+65+145+411+556+15+36+39+48+115+111+89</f>
        <v>19037</v>
      </c>
      <c r="J130" s="103">
        <f>+H130/I130</f>
        <v>7.841492882281872</v>
      </c>
      <c r="K130" s="255"/>
      <c r="L130" s="107"/>
      <c r="M130" s="108"/>
      <c r="N130" s="107"/>
    </row>
    <row r="131" spans="1:14" s="29" customFormat="1" ht="15">
      <c r="A131" s="106">
        <v>127</v>
      </c>
      <c r="B131" s="49" t="s">
        <v>375</v>
      </c>
      <c r="C131" s="39">
        <v>39962</v>
      </c>
      <c r="D131" s="44" t="s">
        <v>136</v>
      </c>
      <c r="E131" s="44" t="s">
        <v>376</v>
      </c>
      <c r="F131" s="41">
        <v>10</v>
      </c>
      <c r="G131" s="41">
        <v>16</v>
      </c>
      <c r="H131" s="301">
        <v>144825.25</v>
      </c>
      <c r="I131" s="138">
        <v>16024</v>
      </c>
      <c r="J131" s="103">
        <f>+H131/I131</f>
        <v>9.03802109335996</v>
      </c>
      <c r="K131" s="255"/>
      <c r="L131" s="107"/>
      <c r="M131" s="108"/>
      <c r="N131" s="107"/>
    </row>
    <row r="132" spans="1:14" s="29" customFormat="1" ht="15">
      <c r="A132" s="106">
        <v>128</v>
      </c>
      <c r="B132" s="49" t="s">
        <v>425</v>
      </c>
      <c r="C132" s="39">
        <v>39990</v>
      </c>
      <c r="D132" s="44" t="s">
        <v>134</v>
      </c>
      <c r="E132" s="44" t="s">
        <v>1</v>
      </c>
      <c r="F132" s="41">
        <v>10</v>
      </c>
      <c r="G132" s="41">
        <v>15</v>
      </c>
      <c r="H132" s="301">
        <f>14867.25+9246+13679+8343+8450+11513+8265+6491+6221+11071.5+10480.5+14750.5+9437.5+5098.5+3425</f>
        <v>141338.75</v>
      </c>
      <c r="I132" s="138">
        <f>1843+1186+1532+1421+1482+1875+1461+1056+1040+1599+1597+2111+1730+929+727</f>
        <v>21589</v>
      </c>
      <c r="J132" s="103">
        <f>H132/I132</f>
        <v>6.546794663949234</v>
      </c>
      <c r="K132" s="247"/>
      <c r="L132" s="107"/>
      <c r="M132" s="108"/>
      <c r="N132" s="107"/>
    </row>
    <row r="133" spans="1:14" s="29" customFormat="1" ht="15">
      <c r="A133" s="106">
        <v>129</v>
      </c>
      <c r="B133" s="49" t="s">
        <v>361</v>
      </c>
      <c r="C133" s="39">
        <v>39955</v>
      </c>
      <c r="D133" s="44" t="s">
        <v>329</v>
      </c>
      <c r="E133" s="44" t="s">
        <v>362</v>
      </c>
      <c r="F133" s="41">
        <v>71</v>
      </c>
      <c r="G133" s="41">
        <v>18</v>
      </c>
      <c r="H133" s="301">
        <v>136213</v>
      </c>
      <c r="I133" s="138">
        <v>20091</v>
      </c>
      <c r="J133" s="103">
        <f>H133/I133</f>
        <v>6.779801901348863</v>
      </c>
      <c r="K133" s="255"/>
      <c r="L133" s="107"/>
      <c r="M133" s="108"/>
      <c r="N133" s="107"/>
    </row>
    <row r="134" spans="1:14" s="29" customFormat="1" ht="15">
      <c r="A134" s="106">
        <v>130</v>
      </c>
      <c r="B134" s="49" t="s">
        <v>442</v>
      </c>
      <c r="C134" s="39">
        <v>40004</v>
      </c>
      <c r="D134" s="44" t="s">
        <v>134</v>
      </c>
      <c r="E134" s="44" t="s">
        <v>112</v>
      </c>
      <c r="F134" s="41">
        <v>20</v>
      </c>
      <c r="G134" s="41">
        <v>13</v>
      </c>
      <c r="H134" s="301">
        <f>27239+16683+9866+18646.5+11021.5+18905.5+11305+6948.5+5971.5+3862.5+1777+1145+520</f>
        <v>133891</v>
      </c>
      <c r="I134" s="138">
        <f>2632+2092+1344+2829+1912+3115+1963+1173+1001+690+304+193+74</f>
        <v>19322</v>
      </c>
      <c r="J134" s="103">
        <f>H134/I134</f>
        <v>6.929458648173067</v>
      </c>
      <c r="K134" s="247"/>
      <c r="L134" s="107"/>
      <c r="M134" s="108"/>
      <c r="N134" s="107"/>
    </row>
    <row r="135" spans="1:14" s="29" customFormat="1" ht="15">
      <c r="A135" s="106">
        <v>131</v>
      </c>
      <c r="B135" s="49" t="s">
        <v>364</v>
      </c>
      <c r="C135" s="39">
        <v>39955</v>
      </c>
      <c r="D135" s="44" t="s">
        <v>273</v>
      </c>
      <c r="E135" s="44" t="s">
        <v>365</v>
      </c>
      <c r="F135" s="41" t="s">
        <v>366</v>
      </c>
      <c r="G135" s="41" t="s">
        <v>426</v>
      </c>
      <c r="H135" s="301">
        <v>132759.5</v>
      </c>
      <c r="I135" s="138">
        <v>19471</v>
      </c>
      <c r="J135" s="103">
        <f>+H135/I135</f>
        <v>6.818319552154486</v>
      </c>
      <c r="K135" s="255"/>
      <c r="L135" s="107"/>
      <c r="M135" s="108"/>
      <c r="N135" s="107"/>
    </row>
    <row r="136" spans="1:14" s="29" customFormat="1" ht="15">
      <c r="A136" s="106">
        <v>132</v>
      </c>
      <c r="B136" s="49" t="s">
        <v>250</v>
      </c>
      <c r="C136" s="39">
        <v>39892</v>
      </c>
      <c r="D136" s="44" t="s">
        <v>134</v>
      </c>
      <c r="E136" s="44" t="s">
        <v>232</v>
      </c>
      <c r="F136" s="41">
        <v>18</v>
      </c>
      <c r="G136" s="41">
        <v>20</v>
      </c>
      <c r="H136" s="301">
        <f>64124.5+26275.5+7311.5+8465.5+2566+5722+4034.5+396+299+1539.5+3187.5+921+1895.5+2018.25+644+960+428+376+376+727</f>
        <v>132267.25</v>
      </c>
      <c r="I136" s="138">
        <f>5704+2336+995+1347+675+1131+1039+72+56+218+681+173+316+477+72+113+48+41+79+133</f>
        <v>15706</v>
      </c>
      <c r="J136" s="103">
        <f>H136/I136</f>
        <v>8.421447217623838</v>
      </c>
      <c r="K136" s="255"/>
      <c r="L136" s="107"/>
      <c r="M136" s="108"/>
      <c r="N136" s="107"/>
    </row>
    <row r="137" spans="1:14" s="29" customFormat="1" ht="15">
      <c r="A137" s="106">
        <v>133</v>
      </c>
      <c r="B137" s="49" t="s">
        <v>36</v>
      </c>
      <c r="C137" s="39">
        <v>39815</v>
      </c>
      <c r="D137" s="44" t="s">
        <v>134</v>
      </c>
      <c r="E137" s="44" t="s">
        <v>37</v>
      </c>
      <c r="F137" s="41">
        <v>1</v>
      </c>
      <c r="G137" s="41">
        <v>16</v>
      </c>
      <c r="H137" s="301">
        <f>95365.5+19593.5+3155+849+1502+1716+1068+1873+1534+803+792+1418.5+392+156+1236+145</f>
        <v>131598.5</v>
      </c>
      <c r="I137" s="138">
        <f>9915+2232+541+157+246+408+264+355+235+213+137+243+82+30+123+25</f>
        <v>15206</v>
      </c>
      <c r="J137" s="103">
        <f>H137/I137</f>
        <v>8.654379850059188</v>
      </c>
      <c r="K137" s="255"/>
      <c r="L137" s="107"/>
      <c r="M137" s="108"/>
      <c r="N137" s="107"/>
    </row>
    <row r="138" spans="1:14" s="29" customFormat="1" ht="15">
      <c r="A138" s="106">
        <v>134</v>
      </c>
      <c r="B138" s="49" t="s">
        <v>398</v>
      </c>
      <c r="C138" s="39">
        <v>39976</v>
      </c>
      <c r="D138" s="44" t="s">
        <v>4</v>
      </c>
      <c r="E138" s="44" t="s">
        <v>399</v>
      </c>
      <c r="F138" s="41">
        <v>4</v>
      </c>
      <c r="G138" s="41">
        <v>17</v>
      </c>
      <c r="H138" s="301">
        <v>130162</v>
      </c>
      <c r="I138" s="138">
        <v>13892</v>
      </c>
      <c r="J138" s="103">
        <f>+H138/I138</f>
        <v>9.369565217391305</v>
      </c>
      <c r="K138" s="247"/>
      <c r="L138" s="107"/>
      <c r="M138" s="108"/>
      <c r="N138" s="107"/>
    </row>
    <row r="139" spans="1:14" s="29" customFormat="1" ht="15">
      <c r="A139" s="106">
        <v>135</v>
      </c>
      <c r="B139" s="49" t="s">
        <v>328</v>
      </c>
      <c r="C139" s="39">
        <v>39934</v>
      </c>
      <c r="D139" s="44" t="s">
        <v>329</v>
      </c>
      <c r="E139" s="44" t="s">
        <v>435</v>
      </c>
      <c r="F139" s="41">
        <v>41</v>
      </c>
      <c r="G139" s="41">
        <v>17</v>
      </c>
      <c r="H139" s="301">
        <v>125851</v>
      </c>
      <c r="I139" s="138">
        <v>21182</v>
      </c>
      <c r="J139" s="103">
        <f>+H139/I139</f>
        <v>5.941412520064206</v>
      </c>
      <c r="K139" s="255"/>
      <c r="L139" s="107"/>
      <c r="M139" s="108"/>
      <c r="N139" s="107"/>
    </row>
    <row r="140" spans="1:14" s="29" customFormat="1" ht="15">
      <c r="A140" s="106">
        <v>136</v>
      </c>
      <c r="B140" s="49" t="s">
        <v>503</v>
      </c>
      <c r="C140" s="39">
        <v>40053</v>
      </c>
      <c r="D140" s="44" t="s">
        <v>134</v>
      </c>
      <c r="E140" s="44" t="s">
        <v>185</v>
      </c>
      <c r="F140" s="41">
        <v>14</v>
      </c>
      <c r="G140" s="41">
        <v>6</v>
      </c>
      <c r="H140" s="301">
        <f>46744+27773.5+29652+15092+1850+3126</f>
        <v>124237.5</v>
      </c>
      <c r="I140" s="138">
        <f>3724+2772+2752+1903+308+472</f>
        <v>11931</v>
      </c>
      <c r="J140" s="103">
        <f>H140/I140</f>
        <v>10.412999748554187</v>
      </c>
      <c r="K140" s="247"/>
      <c r="L140" s="107"/>
      <c r="M140" s="108"/>
      <c r="N140" s="107"/>
    </row>
    <row r="141" spans="1:14" s="29" customFormat="1" ht="15">
      <c r="A141" s="106">
        <v>137</v>
      </c>
      <c r="B141" s="49" t="s">
        <v>347</v>
      </c>
      <c r="C141" s="39">
        <v>39941</v>
      </c>
      <c r="D141" s="44" t="s">
        <v>136</v>
      </c>
      <c r="E141" s="44" t="s">
        <v>78</v>
      </c>
      <c r="F141" s="41">
        <v>3</v>
      </c>
      <c r="G141" s="41">
        <v>14</v>
      </c>
      <c r="H141" s="301">
        <v>118236.25</v>
      </c>
      <c r="I141" s="138">
        <v>11870</v>
      </c>
      <c r="J141" s="103">
        <v>9.960930918281381</v>
      </c>
      <c r="K141" s="255"/>
      <c r="L141" s="107"/>
      <c r="M141" s="108"/>
      <c r="N141" s="107"/>
    </row>
    <row r="142" spans="1:14" s="29" customFormat="1" ht="15">
      <c r="A142" s="106">
        <v>138</v>
      </c>
      <c r="B142" s="49" t="s">
        <v>155</v>
      </c>
      <c r="C142" s="39">
        <v>39836</v>
      </c>
      <c r="D142" s="44" t="s">
        <v>4</v>
      </c>
      <c r="E142" s="44" t="s">
        <v>77</v>
      </c>
      <c r="F142" s="41">
        <v>30</v>
      </c>
      <c r="G142" s="41">
        <v>28</v>
      </c>
      <c r="H142" s="301">
        <v>116275</v>
      </c>
      <c r="I142" s="138">
        <v>11828</v>
      </c>
      <c r="J142" s="103">
        <f>+H142/I142</f>
        <v>9.830486980047345</v>
      </c>
      <c r="K142" s="255"/>
      <c r="L142" s="107"/>
      <c r="M142" s="108"/>
      <c r="N142" s="107"/>
    </row>
    <row r="143" spans="1:14" s="29" customFormat="1" ht="15">
      <c r="A143" s="106">
        <v>139</v>
      </c>
      <c r="B143" s="49" t="s">
        <v>395</v>
      </c>
      <c r="C143" s="39">
        <v>39976</v>
      </c>
      <c r="D143" s="44" t="s">
        <v>136</v>
      </c>
      <c r="E143" s="44" t="s">
        <v>376</v>
      </c>
      <c r="F143" s="41">
        <v>20</v>
      </c>
      <c r="G143" s="41">
        <v>17</v>
      </c>
      <c r="H143" s="301">
        <v>112879.75</v>
      </c>
      <c r="I143" s="138">
        <v>14607</v>
      </c>
      <c r="J143" s="103">
        <f>+H143/I143</f>
        <v>7.727784623810502</v>
      </c>
      <c r="K143" s="247"/>
      <c r="L143" s="107"/>
      <c r="M143" s="108"/>
      <c r="N143" s="107"/>
    </row>
    <row r="144" spans="1:14" s="29" customFormat="1" ht="15">
      <c r="A144" s="106">
        <v>140</v>
      </c>
      <c r="B144" s="49" t="s">
        <v>368</v>
      </c>
      <c r="C144" s="39">
        <v>39927</v>
      </c>
      <c r="D144" s="44" t="s">
        <v>132</v>
      </c>
      <c r="E144" s="44" t="s">
        <v>107</v>
      </c>
      <c r="F144" s="41">
        <v>25</v>
      </c>
      <c r="G144" s="41">
        <v>16</v>
      </c>
      <c r="H144" s="301">
        <f>56555+24451+8835+0.5+4851+3342+0.5+5835+0.5+411+60+75+100+90+210+370+306+289+672.5</f>
        <v>106454</v>
      </c>
      <c r="I144" s="138">
        <f>5543+2474+1355+829+588+1142+85+12+15+20+18+42+59+47+46+60</f>
        <v>12335</v>
      </c>
      <c r="J144" s="103">
        <f>+H144/I144</f>
        <v>8.630239156870694</v>
      </c>
      <c r="K144" s="255"/>
      <c r="L144" s="107"/>
      <c r="M144" s="108"/>
      <c r="N144" s="107"/>
    </row>
    <row r="145" spans="1:14" s="29" customFormat="1" ht="15">
      <c r="A145" s="106">
        <v>141</v>
      </c>
      <c r="B145" s="49" t="s">
        <v>530</v>
      </c>
      <c r="C145" s="39">
        <v>40074</v>
      </c>
      <c r="D145" s="44" t="s">
        <v>430</v>
      </c>
      <c r="E145" s="44" t="s">
        <v>430</v>
      </c>
      <c r="F145" s="41" t="s">
        <v>522</v>
      </c>
      <c r="G145" s="41" t="s">
        <v>562</v>
      </c>
      <c r="H145" s="301">
        <v>102415.5</v>
      </c>
      <c r="I145" s="138">
        <v>10478</v>
      </c>
      <c r="J145" s="103">
        <f>+H145/I145</f>
        <v>9.774336705478145</v>
      </c>
      <c r="K145" s="247"/>
      <c r="L145" s="107"/>
      <c r="M145" s="108"/>
      <c r="N145" s="107"/>
    </row>
    <row r="146" spans="1:14" s="29" customFormat="1" ht="15">
      <c r="A146" s="106">
        <v>142</v>
      </c>
      <c r="B146" s="49" t="s">
        <v>348</v>
      </c>
      <c r="C146" s="39">
        <v>39941</v>
      </c>
      <c r="D146" s="44" t="s">
        <v>134</v>
      </c>
      <c r="E146" s="44" t="s">
        <v>493</v>
      </c>
      <c r="F146" s="41">
        <v>26</v>
      </c>
      <c r="G146" s="41">
        <v>18</v>
      </c>
      <c r="H146" s="301">
        <f>36482.75+16583.5+5922.75+3249+4769+4925+4199.5+5525+366+924+414+2215+2444+33+1987+838+1440+537+604</f>
        <v>93458.5</v>
      </c>
      <c r="I146" s="138">
        <f>4495+1934+744+517+1003+1215+722+968+65+193+83+369+384+5+336+159+238+83+151</f>
        <v>13664</v>
      </c>
      <c r="J146" s="103">
        <f>H146/I146</f>
        <v>6.839761416861827</v>
      </c>
      <c r="K146" s="255">
        <v>1</v>
      </c>
      <c r="L146" s="107"/>
      <c r="M146" s="108"/>
      <c r="N146" s="107"/>
    </row>
    <row r="147" spans="1:14" s="29" customFormat="1" ht="15">
      <c r="A147" s="106">
        <v>143</v>
      </c>
      <c r="B147" s="49" t="s">
        <v>396</v>
      </c>
      <c r="C147" s="39">
        <v>39976</v>
      </c>
      <c r="D147" s="44" t="s">
        <v>4</v>
      </c>
      <c r="E147" s="44" t="s">
        <v>397</v>
      </c>
      <c r="F147" s="41">
        <v>32</v>
      </c>
      <c r="G147" s="41">
        <v>16</v>
      </c>
      <c r="H147" s="301">
        <v>87634</v>
      </c>
      <c r="I147" s="138">
        <v>12554</v>
      </c>
      <c r="J147" s="103">
        <f>+H147/I147</f>
        <v>6.980563963676916</v>
      </c>
      <c r="K147" s="255"/>
      <c r="L147" s="107"/>
      <c r="M147" s="108"/>
      <c r="N147" s="107"/>
    </row>
    <row r="148" spans="1:14" s="29" customFormat="1" ht="15">
      <c r="A148" s="106">
        <v>144</v>
      </c>
      <c r="B148" s="49" t="s">
        <v>492</v>
      </c>
      <c r="C148" s="39">
        <v>40046</v>
      </c>
      <c r="D148" s="44" t="s">
        <v>134</v>
      </c>
      <c r="E148" s="44" t="s">
        <v>106</v>
      </c>
      <c r="F148" s="41">
        <v>5</v>
      </c>
      <c r="G148" s="41">
        <v>7</v>
      </c>
      <c r="H148" s="301">
        <f>29266.75+13116.25+9279.25+8463+18147.5+3121+4110</f>
        <v>85503.75</v>
      </c>
      <c r="I148" s="138">
        <f>2425+1257+1223+1013+2360+455+662</f>
        <v>9395</v>
      </c>
      <c r="J148" s="103">
        <f>H148/I148</f>
        <v>9.100984566258647</v>
      </c>
      <c r="K148" s="247"/>
      <c r="L148" s="107"/>
      <c r="M148" s="108"/>
      <c r="N148" s="107"/>
    </row>
    <row r="149" spans="1:14" s="29" customFormat="1" ht="15">
      <c r="A149" s="106">
        <v>145</v>
      </c>
      <c r="B149" s="49" t="s">
        <v>554</v>
      </c>
      <c r="C149" s="39">
        <v>40088</v>
      </c>
      <c r="D149" s="44" t="s">
        <v>136</v>
      </c>
      <c r="E149" s="44" t="s">
        <v>555</v>
      </c>
      <c r="F149" s="41">
        <v>55</v>
      </c>
      <c r="G149" s="41">
        <v>1</v>
      </c>
      <c r="H149" s="301">
        <v>85463</v>
      </c>
      <c r="I149" s="138">
        <v>9228</v>
      </c>
      <c r="J149" s="103">
        <f>+H149/I149</f>
        <v>9.261270047680972</v>
      </c>
      <c r="K149" s="247">
        <v>1</v>
      </c>
      <c r="L149" s="107"/>
      <c r="M149" s="108"/>
      <c r="N149" s="107"/>
    </row>
    <row r="150" spans="1:14" s="29" customFormat="1" ht="15">
      <c r="A150" s="106">
        <v>146</v>
      </c>
      <c r="B150" s="219" t="s">
        <v>275</v>
      </c>
      <c r="C150" s="40">
        <v>39906</v>
      </c>
      <c r="D150" s="65" t="s">
        <v>131</v>
      </c>
      <c r="E150" s="44" t="s">
        <v>276</v>
      </c>
      <c r="F150" s="41">
        <v>51</v>
      </c>
      <c r="G150" s="41">
        <v>10</v>
      </c>
      <c r="H150" s="301">
        <v>84743</v>
      </c>
      <c r="I150" s="138">
        <v>11286</v>
      </c>
      <c r="J150" s="103">
        <f>+H150/I150</f>
        <v>7.508683324472798</v>
      </c>
      <c r="K150" s="255"/>
      <c r="L150" s="107"/>
      <c r="M150" s="108"/>
      <c r="N150" s="107"/>
    </row>
    <row r="151" spans="1:14" s="29" customFormat="1" ht="15">
      <c r="A151" s="106">
        <v>147</v>
      </c>
      <c r="B151" s="49" t="s">
        <v>532</v>
      </c>
      <c r="C151" s="39">
        <v>40074</v>
      </c>
      <c r="D151" s="44" t="s">
        <v>329</v>
      </c>
      <c r="E151" s="44" t="s">
        <v>533</v>
      </c>
      <c r="F151" s="41">
        <v>45</v>
      </c>
      <c r="G151" s="41">
        <v>3</v>
      </c>
      <c r="H151" s="301">
        <v>83744.25</v>
      </c>
      <c r="I151" s="138">
        <v>12462</v>
      </c>
      <c r="J151" s="103">
        <f>+H151/I151</f>
        <v>6.719968704862783</v>
      </c>
      <c r="K151" s="247">
        <v>1</v>
      </c>
      <c r="L151" s="107"/>
      <c r="M151" s="108"/>
      <c r="N151" s="107"/>
    </row>
    <row r="152" spans="1:14" s="29" customFormat="1" ht="15">
      <c r="A152" s="106">
        <v>148</v>
      </c>
      <c r="B152" s="49" t="s">
        <v>467</v>
      </c>
      <c r="C152" s="39">
        <v>40025</v>
      </c>
      <c r="D152" s="44" t="s">
        <v>134</v>
      </c>
      <c r="E152" s="44" t="s">
        <v>475</v>
      </c>
      <c r="F152" s="41">
        <v>10</v>
      </c>
      <c r="G152" s="41">
        <v>10</v>
      </c>
      <c r="H152" s="301">
        <f>23895.25+11405+12713+6215.5+4805.5+6620.5+4577+3503+2191.5+1974.5</f>
        <v>77900.75</v>
      </c>
      <c r="I152" s="138">
        <f>2018+1197+1759+913+733+992+787+551+380+332</f>
        <v>9662</v>
      </c>
      <c r="J152" s="103">
        <f>H152/I152</f>
        <v>8.062590560960464</v>
      </c>
      <c r="K152" s="247"/>
      <c r="L152" s="107"/>
      <c r="M152" s="108"/>
      <c r="N152" s="107"/>
    </row>
    <row r="153" spans="1:14" s="29" customFormat="1" ht="15">
      <c r="A153" s="106">
        <v>149</v>
      </c>
      <c r="B153" s="49" t="s">
        <v>263</v>
      </c>
      <c r="C153" s="39">
        <v>39899</v>
      </c>
      <c r="D153" s="44" t="s">
        <v>134</v>
      </c>
      <c r="E153" s="44" t="s">
        <v>264</v>
      </c>
      <c r="F153" s="41">
        <v>16</v>
      </c>
      <c r="G153" s="41">
        <v>18</v>
      </c>
      <c r="H153" s="301">
        <f>31480+15536+8716+2149+2897+1360+2390+1251+322+381+329+492+928+436+1103+1913+46+240</f>
        <v>71969</v>
      </c>
      <c r="I153" s="138">
        <f>3450+1778+1361+440+508+248+548+290+68+72+58+96+96+70+137+309+9+48</f>
        <v>9586</v>
      </c>
      <c r="J153" s="103">
        <f>H153/I153</f>
        <v>7.507719591070311</v>
      </c>
      <c r="K153" s="255"/>
      <c r="L153" s="107"/>
      <c r="M153" s="108"/>
      <c r="N153" s="107"/>
    </row>
    <row r="154" spans="1:11" ht="15">
      <c r="A154" s="106">
        <v>150</v>
      </c>
      <c r="B154" s="49" t="s">
        <v>432</v>
      </c>
      <c r="C154" s="39">
        <v>39997</v>
      </c>
      <c r="D154" s="44" t="s">
        <v>134</v>
      </c>
      <c r="E154" s="44" t="s">
        <v>433</v>
      </c>
      <c r="F154" s="41">
        <v>5</v>
      </c>
      <c r="G154" s="41">
        <v>14</v>
      </c>
      <c r="H154" s="301">
        <f>18914.5+7321+4028.5+1674+6130+4818.5+6984.5+5012.5+1695+4556+3587.5+1286+2931+2868</f>
        <v>71807</v>
      </c>
      <c r="I154" s="138">
        <f>1467+674+673+324+645+765+779+620+311+670+508+195+503+424</f>
        <v>8558</v>
      </c>
      <c r="J154" s="103">
        <f>H154/I154</f>
        <v>8.3906286515541</v>
      </c>
      <c r="K154" s="247"/>
    </row>
    <row r="155" spans="1:11" ht="15">
      <c r="A155" s="106">
        <v>151</v>
      </c>
      <c r="B155" s="49" t="s">
        <v>542</v>
      </c>
      <c r="C155" s="39">
        <v>40081</v>
      </c>
      <c r="D155" s="44" t="s">
        <v>132</v>
      </c>
      <c r="E155" s="44" t="s">
        <v>560</v>
      </c>
      <c r="F155" s="41">
        <v>30</v>
      </c>
      <c r="G155" s="41">
        <v>2</v>
      </c>
      <c r="H155" s="301">
        <f>50711+18333.5</f>
        <v>69044.5</v>
      </c>
      <c r="I155" s="138">
        <f>4935+2128</f>
        <v>7063</v>
      </c>
      <c r="J155" s="103">
        <f>+H155/I155</f>
        <v>9.77552031714569</v>
      </c>
      <c r="K155" s="247">
        <v>1</v>
      </c>
    </row>
    <row r="156" spans="1:11" ht="15">
      <c r="A156" s="106">
        <v>152</v>
      </c>
      <c r="B156" s="49" t="s">
        <v>483</v>
      </c>
      <c r="C156" s="39">
        <v>40039</v>
      </c>
      <c r="D156" s="44" t="s">
        <v>134</v>
      </c>
      <c r="E156" s="44" t="s">
        <v>484</v>
      </c>
      <c r="F156" s="41">
        <v>8</v>
      </c>
      <c r="G156" s="41">
        <v>8</v>
      </c>
      <c r="H156" s="301">
        <f>29121.25+9335.5+10783.5+6805.5+6780.5+3746+1541.5+84</f>
        <v>68197.75</v>
      </c>
      <c r="I156" s="138">
        <f>2428+976+1509+1029+1087+466+273+24</f>
        <v>7792</v>
      </c>
      <c r="J156" s="103">
        <f>H156/I156</f>
        <v>8.752277977412732</v>
      </c>
      <c r="K156" s="247"/>
    </row>
    <row r="157" spans="1:11" ht="15">
      <c r="A157" s="106">
        <v>153</v>
      </c>
      <c r="B157" s="49" t="s">
        <v>332</v>
      </c>
      <c r="C157" s="39">
        <v>39934</v>
      </c>
      <c r="D157" s="44" t="s">
        <v>132</v>
      </c>
      <c r="E157" s="44" t="s">
        <v>333</v>
      </c>
      <c r="F157" s="41">
        <v>1</v>
      </c>
      <c r="G157" s="41">
        <v>8</v>
      </c>
      <c r="H157" s="301">
        <f>29306.5+14144+7300+0.5+4133+3797+0.5+1972+0.5+3879+586</f>
        <v>65119</v>
      </c>
      <c r="I157" s="138">
        <f>4336+2409+1301+741+778+521+880+95</f>
        <v>11061</v>
      </c>
      <c r="J157" s="103">
        <f>+H157/I157</f>
        <v>5.8872615495886444</v>
      </c>
      <c r="K157" s="255"/>
    </row>
    <row r="158" spans="1:11" ht="15">
      <c r="A158" s="106">
        <v>154</v>
      </c>
      <c r="B158" s="49" t="s">
        <v>294</v>
      </c>
      <c r="C158" s="39">
        <v>39913</v>
      </c>
      <c r="D158" s="44" t="s">
        <v>134</v>
      </c>
      <c r="E158" s="44" t="s">
        <v>295</v>
      </c>
      <c r="F158" s="41">
        <v>8</v>
      </c>
      <c r="G158" s="41">
        <v>21</v>
      </c>
      <c r="H158" s="301">
        <f>21351.5+14278.5+6751+4525+2536+673+390+177+1270+1412+2231+60+385+350+665+1890+1758+1595+1832.5+392+226</f>
        <v>64748.5</v>
      </c>
      <c r="I158" s="138">
        <f>2210+1534+811+919+457+117+61+33+223+254+502+12+83+103+165+287+292+270+307+76+52</f>
        <v>8768</v>
      </c>
      <c r="J158" s="103">
        <f>H158/I158</f>
        <v>7.384637317518248</v>
      </c>
      <c r="K158" s="247">
        <v>1</v>
      </c>
    </row>
    <row r="159" spans="1:11" ht="15">
      <c r="A159" s="106">
        <v>155</v>
      </c>
      <c r="B159" s="49" t="s">
        <v>251</v>
      </c>
      <c r="C159" s="39">
        <v>39892</v>
      </c>
      <c r="D159" s="44" t="s">
        <v>134</v>
      </c>
      <c r="E159" s="44" t="s">
        <v>148</v>
      </c>
      <c r="F159" s="41">
        <v>5</v>
      </c>
      <c r="G159" s="41">
        <v>18</v>
      </c>
      <c r="H159" s="301">
        <f>18881.5+13473+6553+4173.5+2378+3269+2172+792+240+60+1236+552+1321+1757+465+884+565+65</f>
        <v>58837</v>
      </c>
      <c r="I159" s="138">
        <f>2268+1745+795+568+579+610+541+209+80+20+215+68+169+337+93+144+93+15</f>
        <v>8549</v>
      </c>
      <c r="J159" s="103">
        <f>H159/I159</f>
        <v>6.882325418177564</v>
      </c>
      <c r="K159" s="247"/>
    </row>
    <row r="160" spans="1:11" ht="15">
      <c r="A160" s="106">
        <v>156</v>
      </c>
      <c r="B160" s="275" t="s">
        <v>38</v>
      </c>
      <c r="C160" s="39">
        <v>39815</v>
      </c>
      <c r="D160" s="44" t="s">
        <v>136</v>
      </c>
      <c r="E160" s="44" t="s">
        <v>39</v>
      </c>
      <c r="F160" s="41">
        <v>16</v>
      </c>
      <c r="G160" s="41">
        <v>12</v>
      </c>
      <c r="H160" s="332">
        <v>58125.5</v>
      </c>
      <c r="I160" s="138">
        <v>6613</v>
      </c>
      <c r="J160" s="274">
        <f>+H160/I160</f>
        <v>8.789581128081052</v>
      </c>
      <c r="K160" s="255"/>
    </row>
    <row r="161" spans="1:11" ht="15">
      <c r="A161" s="106">
        <v>157</v>
      </c>
      <c r="B161" s="49" t="s">
        <v>443</v>
      </c>
      <c r="C161" s="39">
        <v>40004</v>
      </c>
      <c r="D161" s="44" t="s">
        <v>134</v>
      </c>
      <c r="E161" s="44" t="s">
        <v>1</v>
      </c>
      <c r="F161" s="41">
        <v>5</v>
      </c>
      <c r="G161" s="41">
        <v>13</v>
      </c>
      <c r="H161" s="301">
        <f>12262+4348+2671+2933+6131+3623+5390.5+3328+5489+4335.5+2834+692+1733</f>
        <v>55770</v>
      </c>
      <c r="I161" s="138">
        <f>987+621+328+425+668+454+641+568+755+596+524+127+380</f>
        <v>7074</v>
      </c>
      <c r="J161" s="103">
        <f>H161/I161</f>
        <v>7.883799830364715</v>
      </c>
      <c r="K161" s="247"/>
    </row>
    <row r="162" spans="1:11" ht="15">
      <c r="A162" s="106">
        <v>158</v>
      </c>
      <c r="B162" s="49" t="s">
        <v>252</v>
      </c>
      <c r="C162" s="39">
        <v>39892</v>
      </c>
      <c r="D162" s="44" t="s">
        <v>132</v>
      </c>
      <c r="E162" s="44" t="s">
        <v>253</v>
      </c>
      <c r="F162" s="41">
        <v>1</v>
      </c>
      <c r="G162" s="41">
        <v>9</v>
      </c>
      <c r="H162" s="301">
        <f>17658.5+10158+4719+2865+5972+4469+115+214+430</f>
        <v>46600.5</v>
      </c>
      <c r="I162" s="138">
        <f>2134+1239+693+537+1092+877+22+32+86</f>
        <v>6712</v>
      </c>
      <c r="J162" s="103">
        <f>+H162/I162</f>
        <v>6.942863528009535</v>
      </c>
      <c r="K162" s="255"/>
    </row>
    <row r="163" spans="1:11" ht="15">
      <c r="A163" s="106">
        <v>159</v>
      </c>
      <c r="B163" s="275" t="s">
        <v>265</v>
      </c>
      <c r="C163" s="39">
        <v>39899</v>
      </c>
      <c r="D163" s="44" t="s">
        <v>131</v>
      </c>
      <c r="E163" s="44" t="s">
        <v>43</v>
      </c>
      <c r="F163" s="41">
        <v>25</v>
      </c>
      <c r="G163" s="41">
        <v>7</v>
      </c>
      <c r="H163" s="332">
        <v>45375</v>
      </c>
      <c r="I163" s="138">
        <v>5595</v>
      </c>
      <c r="J163" s="274">
        <f>+H163/I163</f>
        <v>8.109919571045577</v>
      </c>
      <c r="K163" s="255"/>
    </row>
    <row r="164" spans="1:11" ht="15">
      <c r="A164" s="106">
        <v>160</v>
      </c>
      <c r="B164" s="49" t="s">
        <v>469</v>
      </c>
      <c r="C164" s="39">
        <v>40025</v>
      </c>
      <c r="D164" s="44" t="s">
        <v>134</v>
      </c>
      <c r="E164" s="44" t="s">
        <v>1</v>
      </c>
      <c r="F164" s="41">
        <v>2</v>
      </c>
      <c r="G164" s="41">
        <v>10</v>
      </c>
      <c r="H164" s="301">
        <f>12554+10448.5+5260+2841.5+2497+4599+3231+1086+898+1270</f>
        <v>44685</v>
      </c>
      <c r="I164" s="138">
        <f>931+774+385+248+290+466+488+181+106+177</f>
        <v>4046</v>
      </c>
      <c r="J164" s="103">
        <f>H164/I164</f>
        <v>11.044241225902125</v>
      </c>
      <c r="K164" s="247"/>
    </row>
    <row r="165" spans="1:11" ht="15">
      <c r="A165" s="106">
        <v>161</v>
      </c>
      <c r="B165" s="49" t="s">
        <v>293</v>
      </c>
      <c r="C165" s="39">
        <v>39913</v>
      </c>
      <c r="D165" s="44" t="s">
        <v>134</v>
      </c>
      <c r="E165" s="44" t="s">
        <v>154</v>
      </c>
      <c r="F165" s="41">
        <v>25</v>
      </c>
      <c r="G165" s="41">
        <v>15</v>
      </c>
      <c r="H165" s="301">
        <f>27272+5053+1261+893+3382.5+1033+1215+944+358+110+563+18+1265+223.5+190</f>
        <v>43781</v>
      </c>
      <c r="I165" s="138">
        <f>2445+551+258+199+504+141+212+188+48+22+152+3+130+21+38</f>
        <v>4912</v>
      </c>
      <c r="J165" s="103">
        <f>H165/I165</f>
        <v>8.91307003257329</v>
      </c>
      <c r="K165" s="255"/>
    </row>
    <row r="166" spans="1:11" ht="15">
      <c r="A166" s="106">
        <v>162</v>
      </c>
      <c r="B166" s="49" t="s">
        <v>544</v>
      </c>
      <c r="C166" s="39">
        <v>40081</v>
      </c>
      <c r="D166" s="44" t="s">
        <v>65</v>
      </c>
      <c r="E166" s="44" t="s">
        <v>545</v>
      </c>
      <c r="F166" s="41">
        <v>40</v>
      </c>
      <c r="G166" s="41">
        <v>2</v>
      </c>
      <c r="H166" s="301">
        <f>25203+10339</f>
        <v>35542</v>
      </c>
      <c r="I166" s="138">
        <f>3326+1415</f>
        <v>4741</v>
      </c>
      <c r="J166" s="103">
        <f>+H166/I166</f>
        <v>7.496730647542712</v>
      </c>
      <c r="K166" s="247">
        <v>1</v>
      </c>
    </row>
    <row r="167" spans="1:11" ht="15">
      <c r="A167" s="106">
        <v>163</v>
      </c>
      <c r="B167" s="49" t="s">
        <v>534</v>
      </c>
      <c r="C167" s="39">
        <v>40074</v>
      </c>
      <c r="D167" s="44" t="s">
        <v>134</v>
      </c>
      <c r="E167" s="44" t="s">
        <v>535</v>
      </c>
      <c r="F167" s="41">
        <v>7</v>
      </c>
      <c r="G167" s="41">
        <v>3</v>
      </c>
      <c r="H167" s="301">
        <f>24901+4873+3754</f>
        <v>33528</v>
      </c>
      <c r="I167" s="138">
        <f>2240+626+482</f>
        <v>3348</v>
      </c>
      <c r="J167" s="103">
        <f>H167/I167</f>
        <v>10.014336917562725</v>
      </c>
      <c r="K167" s="247"/>
    </row>
    <row r="168" spans="1:11" ht="15">
      <c r="A168" s="106">
        <v>164</v>
      </c>
      <c r="B168" s="49" t="s">
        <v>434</v>
      </c>
      <c r="C168" s="39">
        <v>39997</v>
      </c>
      <c r="D168" s="44" t="s">
        <v>4</v>
      </c>
      <c r="E168" s="44" t="s">
        <v>77</v>
      </c>
      <c r="F168" s="41">
        <v>5</v>
      </c>
      <c r="G168" s="41">
        <v>14</v>
      </c>
      <c r="H168" s="301">
        <v>33183</v>
      </c>
      <c r="I168" s="138">
        <v>4247</v>
      </c>
      <c r="J168" s="103">
        <f>+H168/I168</f>
        <v>7.813279962326348</v>
      </c>
      <c r="K168" s="247"/>
    </row>
    <row r="169" spans="1:11" ht="15">
      <c r="A169" s="106">
        <v>165</v>
      </c>
      <c r="B169" s="49" t="s">
        <v>458</v>
      </c>
      <c r="C169" s="39">
        <v>40018</v>
      </c>
      <c r="D169" s="44" t="s">
        <v>134</v>
      </c>
      <c r="E169" s="44" t="s">
        <v>433</v>
      </c>
      <c r="F169" s="41">
        <v>7</v>
      </c>
      <c r="G169" s="41">
        <v>10</v>
      </c>
      <c r="H169" s="301">
        <f>11970.5+2994.5+1529+2320+3623.5+3626.5+2619+1740+1319+1114</f>
        <v>32856</v>
      </c>
      <c r="I169" s="138">
        <f>976+387+235+413+517+566+442+287+399+218</f>
        <v>4440</v>
      </c>
      <c r="J169" s="103">
        <f>H169/I169</f>
        <v>7.4</v>
      </c>
      <c r="K169" s="247"/>
    </row>
    <row r="170" spans="1:11" ht="15">
      <c r="A170" s="106">
        <v>166</v>
      </c>
      <c r="B170" s="244" t="s">
        <v>242</v>
      </c>
      <c r="C170" s="265">
        <v>39878</v>
      </c>
      <c r="D170" s="264" t="s">
        <v>243</v>
      </c>
      <c r="E170" s="264" t="s">
        <v>244</v>
      </c>
      <c r="F170" s="41">
        <v>11</v>
      </c>
      <c r="G170" s="41">
        <v>2</v>
      </c>
      <c r="H170" s="301">
        <v>30325.5</v>
      </c>
      <c r="I170" s="138">
        <v>2720</v>
      </c>
      <c r="J170" s="103">
        <f>+H170/I170</f>
        <v>11.14908088235294</v>
      </c>
      <c r="K170" s="255"/>
    </row>
    <row r="171" spans="1:11" ht="15">
      <c r="A171" s="106">
        <v>167</v>
      </c>
      <c r="B171" s="49" t="s">
        <v>437</v>
      </c>
      <c r="C171" s="39">
        <v>39850</v>
      </c>
      <c r="D171" s="44" t="s">
        <v>134</v>
      </c>
      <c r="E171" s="44" t="s">
        <v>183</v>
      </c>
      <c r="F171" s="41">
        <v>8</v>
      </c>
      <c r="G171" s="41">
        <v>20</v>
      </c>
      <c r="H171" s="301">
        <f>10492+1122+2325+2330.5+2538+2584+1814+1327+1537.5+106+367+274+113+758.5+312+155+155+805+709+192</f>
        <v>30016.5</v>
      </c>
      <c r="I171" s="138">
        <f>1114+134+463+420+483+430+441+251+279+22+42+33+18+138+64+31+31+146+100+28</f>
        <v>4668</v>
      </c>
      <c r="J171" s="103">
        <f>H171/I171</f>
        <v>6.4302699228791775</v>
      </c>
      <c r="K171" s="255"/>
    </row>
    <row r="172" spans="1:11" ht="15">
      <c r="A172" s="106">
        <v>168</v>
      </c>
      <c r="B172" s="49" t="s">
        <v>508</v>
      </c>
      <c r="C172" s="39">
        <v>40060</v>
      </c>
      <c r="D172" s="44" t="s">
        <v>4</v>
      </c>
      <c r="E172" s="44" t="s">
        <v>509</v>
      </c>
      <c r="F172" s="41">
        <v>60</v>
      </c>
      <c r="G172" s="41">
        <v>5</v>
      </c>
      <c r="H172" s="301">
        <v>29944</v>
      </c>
      <c r="I172" s="138">
        <v>4181</v>
      </c>
      <c r="J172" s="103">
        <f>+H172/I172</f>
        <v>7.161922984931834</v>
      </c>
      <c r="K172" s="247">
        <v>1</v>
      </c>
    </row>
    <row r="173" spans="1:11" ht="15">
      <c r="A173" s="106">
        <v>169</v>
      </c>
      <c r="B173" s="49" t="s">
        <v>269</v>
      </c>
      <c r="C173" s="39">
        <v>39843</v>
      </c>
      <c r="D173" s="44" t="s">
        <v>131</v>
      </c>
      <c r="E173" s="44" t="s">
        <v>43</v>
      </c>
      <c r="F173" s="41">
        <v>5</v>
      </c>
      <c r="G173" s="41">
        <v>9</v>
      </c>
      <c r="H173" s="301">
        <v>29187</v>
      </c>
      <c r="I173" s="138">
        <v>2416</v>
      </c>
      <c r="J173" s="103">
        <f>+H173/I173</f>
        <v>12.0807119205298</v>
      </c>
      <c r="K173" s="255"/>
    </row>
    <row r="174" spans="1:11" ht="15">
      <c r="A174" s="106">
        <v>170</v>
      </c>
      <c r="B174" s="49" t="s">
        <v>556</v>
      </c>
      <c r="C174" s="39">
        <v>40088</v>
      </c>
      <c r="D174" s="44" t="s">
        <v>130</v>
      </c>
      <c r="E174" s="44" t="s">
        <v>557</v>
      </c>
      <c r="F174" s="41">
        <v>10</v>
      </c>
      <c r="G174" s="41">
        <v>1</v>
      </c>
      <c r="H174" s="301">
        <v>29098</v>
      </c>
      <c r="I174" s="138">
        <v>2434</v>
      </c>
      <c r="J174" s="103">
        <f>+H174/I174</f>
        <v>11.95480690221857</v>
      </c>
      <c r="K174" s="247"/>
    </row>
    <row r="175" spans="1:11" ht="15">
      <c r="A175" s="106">
        <v>171</v>
      </c>
      <c r="B175" s="244" t="s">
        <v>377</v>
      </c>
      <c r="C175" s="265">
        <v>39962</v>
      </c>
      <c r="D175" s="264" t="s">
        <v>243</v>
      </c>
      <c r="E175" s="44" t="s">
        <v>444</v>
      </c>
      <c r="F175" s="41">
        <v>4</v>
      </c>
      <c r="G175" s="41">
        <v>7</v>
      </c>
      <c r="H175" s="301">
        <v>27522</v>
      </c>
      <c r="I175" s="138">
        <v>3015</v>
      </c>
      <c r="J175" s="103">
        <f>+H175/I175</f>
        <v>9.128358208955223</v>
      </c>
      <c r="K175" s="255"/>
    </row>
    <row r="176" spans="1:11" ht="15">
      <c r="A176" s="106">
        <v>172</v>
      </c>
      <c r="B176" s="275" t="s">
        <v>381</v>
      </c>
      <c r="C176" s="39">
        <v>39878</v>
      </c>
      <c r="D176" s="44" t="s">
        <v>92</v>
      </c>
      <c r="E176" s="44" t="s">
        <v>282</v>
      </c>
      <c r="F176" s="41">
        <v>10</v>
      </c>
      <c r="G176" s="41">
        <v>13</v>
      </c>
      <c r="H176" s="332">
        <v>25847.5</v>
      </c>
      <c r="I176" s="138">
        <v>2706</v>
      </c>
      <c r="J176" s="274">
        <f>+H176/I176</f>
        <v>9.551921655580193</v>
      </c>
      <c r="K176" s="255"/>
    </row>
    <row r="177" spans="1:11" ht="15">
      <c r="A177" s="106">
        <v>173</v>
      </c>
      <c r="B177" s="49" t="s">
        <v>558</v>
      </c>
      <c r="C177" s="39">
        <v>40088</v>
      </c>
      <c r="D177" s="44" t="s">
        <v>134</v>
      </c>
      <c r="E177" s="44" t="s">
        <v>559</v>
      </c>
      <c r="F177" s="41">
        <v>22</v>
      </c>
      <c r="G177" s="41">
        <v>1</v>
      </c>
      <c r="H177" s="301">
        <f>25195</f>
        <v>25195</v>
      </c>
      <c r="I177" s="138">
        <f>2139</f>
        <v>2139</v>
      </c>
      <c r="J177" s="103">
        <f>H177/I177</f>
        <v>11.778868630201028</v>
      </c>
      <c r="K177" s="247"/>
    </row>
    <row r="178" spans="1:11" ht="15">
      <c r="A178" s="106">
        <v>174</v>
      </c>
      <c r="B178" s="49" t="s">
        <v>388</v>
      </c>
      <c r="C178" s="39">
        <v>39969</v>
      </c>
      <c r="D178" s="44" t="s">
        <v>136</v>
      </c>
      <c r="E178" s="44" t="s">
        <v>389</v>
      </c>
      <c r="F178" s="41">
        <v>2</v>
      </c>
      <c r="G178" s="41">
        <v>18</v>
      </c>
      <c r="H178" s="301">
        <v>25144.25</v>
      </c>
      <c r="I178" s="138">
        <v>3733</v>
      </c>
      <c r="J178" s="103">
        <f>+H178/I178</f>
        <v>6.7356683632467185</v>
      </c>
      <c r="K178" s="247"/>
    </row>
    <row r="179" spans="1:11" ht="15">
      <c r="A179" s="106">
        <v>175</v>
      </c>
      <c r="B179" s="49" t="s">
        <v>184</v>
      </c>
      <c r="C179" s="39">
        <v>39850</v>
      </c>
      <c r="D179" s="44" t="s">
        <v>134</v>
      </c>
      <c r="E179" s="44" t="s">
        <v>185</v>
      </c>
      <c r="F179" s="41">
        <v>2</v>
      </c>
      <c r="G179" s="41">
        <v>14</v>
      </c>
      <c r="H179" s="301">
        <f>8077.5+3261+2251+2481+682+679+634+482+544+2140+204+1664+1377+127</f>
        <v>24603.5</v>
      </c>
      <c r="I179" s="138">
        <f>773+379+260+266+71+198+101+110+127+535+34+416+320+14</f>
        <v>3604</v>
      </c>
      <c r="J179" s="103">
        <f>H179/I179</f>
        <v>6.826720310765816</v>
      </c>
      <c r="K179" s="255"/>
    </row>
    <row r="180" spans="1:11" ht="15">
      <c r="A180" s="106">
        <v>176</v>
      </c>
      <c r="B180" s="49" t="s">
        <v>267</v>
      </c>
      <c r="C180" s="39">
        <v>39871</v>
      </c>
      <c r="D180" s="44" t="s">
        <v>134</v>
      </c>
      <c r="E180" s="44" t="s">
        <v>221</v>
      </c>
      <c r="F180" s="41">
        <v>6</v>
      </c>
      <c r="G180" s="41">
        <v>11</v>
      </c>
      <c r="H180" s="301">
        <f>10784+5573+660+1421+910+383+1328+245+1176.5+396+237</f>
        <v>23113.5</v>
      </c>
      <c r="I180" s="138">
        <f>1170+612+72+185+145+72+129+49+165+72+54</f>
        <v>2725</v>
      </c>
      <c r="J180" s="103">
        <f>H180/I180</f>
        <v>8.482018348623853</v>
      </c>
      <c r="K180" s="255"/>
    </row>
    <row r="181" spans="1:11" ht="15">
      <c r="A181" s="106">
        <v>177</v>
      </c>
      <c r="B181" s="49" t="s">
        <v>546</v>
      </c>
      <c r="C181" s="39">
        <v>40081</v>
      </c>
      <c r="D181" s="44" t="s">
        <v>134</v>
      </c>
      <c r="E181" s="44" t="s">
        <v>1</v>
      </c>
      <c r="F181" s="41">
        <v>10</v>
      </c>
      <c r="G181" s="41">
        <v>2</v>
      </c>
      <c r="H181" s="301">
        <f>15355.5+7416.5</f>
        <v>22772</v>
      </c>
      <c r="I181" s="138">
        <f>1226+729</f>
        <v>1955</v>
      </c>
      <c r="J181" s="103">
        <f>H181/I181</f>
        <v>11.648081841432225</v>
      </c>
      <c r="K181" s="247"/>
    </row>
    <row r="182" spans="1:11" ht="15">
      <c r="A182" s="106">
        <v>178</v>
      </c>
      <c r="B182" s="49" t="s">
        <v>536</v>
      </c>
      <c r="C182" s="39">
        <v>40074</v>
      </c>
      <c r="D182" s="44" t="s">
        <v>132</v>
      </c>
      <c r="E182" s="44" t="s">
        <v>13</v>
      </c>
      <c r="F182" s="41">
        <v>20</v>
      </c>
      <c r="G182" s="41">
        <v>3</v>
      </c>
      <c r="H182" s="301">
        <f>18568+3513+592.5</f>
        <v>22673.5</v>
      </c>
      <c r="I182" s="138">
        <f>1709+352+73</f>
        <v>2134</v>
      </c>
      <c r="J182" s="103">
        <f>+H182/I182</f>
        <v>10.624882849109653</v>
      </c>
      <c r="K182" s="247"/>
    </row>
    <row r="183" spans="1:11" ht="15">
      <c r="A183" s="106">
        <v>179</v>
      </c>
      <c r="B183" s="49" t="s">
        <v>318</v>
      </c>
      <c r="C183" s="39">
        <v>39927</v>
      </c>
      <c r="D183" s="44" t="s">
        <v>136</v>
      </c>
      <c r="E183" s="44" t="s">
        <v>393</v>
      </c>
      <c r="F183" s="41">
        <v>10</v>
      </c>
      <c r="G183" s="41">
        <v>14</v>
      </c>
      <c r="H183" s="301">
        <v>21778</v>
      </c>
      <c r="I183" s="138">
        <v>3290</v>
      </c>
      <c r="J183" s="103">
        <f>IF(H183&lt;&gt;0,H183/I183,"")</f>
        <v>6.619452887537994</v>
      </c>
      <c r="K183" s="255"/>
    </row>
    <row r="184" spans="1:11" ht="15">
      <c r="A184" s="106">
        <v>180</v>
      </c>
      <c r="B184" s="49" t="s">
        <v>210</v>
      </c>
      <c r="C184" s="39">
        <v>39864</v>
      </c>
      <c r="D184" s="44" t="s">
        <v>134</v>
      </c>
      <c r="E184" s="44" t="s">
        <v>363</v>
      </c>
      <c r="F184" s="41">
        <v>4</v>
      </c>
      <c r="G184" s="41">
        <v>13</v>
      </c>
      <c r="H184" s="301">
        <f>6804+2328+2310+826+241+1288+1545+817+40+615+1688+420+95</f>
        <v>19017</v>
      </c>
      <c r="I184" s="138">
        <f>775+357+469+134+39+295+305+158+8+67+387+70+19</f>
        <v>3083</v>
      </c>
      <c r="J184" s="103">
        <f>H184/I184</f>
        <v>6.168342523516055</v>
      </c>
      <c r="K184" s="255"/>
    </row>
    <row r="185" spans="1:11" ht="15">
      <c r="A185" s="106">
        <v>181</v>
      </c>
      <c r="B185" s="49" t="s">
        <v>335</v>
      </c>
      <c r="C185" s="39">
        <v>39934</v>
      </c>
      <c r="D185" s="44" t="s">
        <v>134</v>
      </c>
      <c r="E185" s="44" t="s">
        <v>331</v>
      </c>
      <c r="F185" s="41">
        <v>5</v>
      </c>
      <c r="G185" s="41">
        <v>16</v>
      </c>
      <c r="H185" s="301">
        <f>8152.5+2367.5+456+120+350+96+1698+2408.5+309+544+145+220+692+123.5+12.5+75</f>
        <v>17769.5</v>
      </c>
      <c r="I185" s="138">
        <f>669+232+51+14+62+16+188+531+55+75+29+52+86+11+1+6</f>
        <v>2078</v>
      </c>
      <c r="J185" s="103">
        <f>H185/I185</f>
        <v>8.551251203079884</v>
      </c>
      <c r="K185" s="255"/>
    </row>
    <row r="186" spans="1:11" ht="15">
      <c r="A186" s="106">
        <v>182</v>
      </c>
      <c r="B186" s="49" t="s">
        <v>561</v>
      </c>
      <c r="C186" s="39">
        <v>40088</v>
      </c>
      <c r="D186" s="44" t="s">
        <v>329</v>
      </c>
      <c r="E186" s="44" t="s">
        <v>393</v>
      </c>
      <c r="F186" s="41">
        <v>25</v>
      </c>
      <c r="G186" s="41">
        <v>1</v>
      </c>
      <c r="H186" s="301">
        <v>17477.75</v>
      </c>
      <c r="I186" s="138">
        <v>2524</v>
      </c>
      <c r="J186" s="103">
        <f>+H186/I186</f>
        <v>6.924623613312203</v>
      </c>
      <c r="K186" s="247">
        <v>1</v>
      </c>
    </row>
    <row r="187" spans="1:11" ht="15">
      <c r="A187" s="106">
        <v>183</v>
      </c>
      <c r="B187" s="275" t="s">
        <v>334</v>
      </c>
      <c r="C187" s="39">
        <v>39934</v>
      </c>
      <c r="D187" s="44" t="s">
        <v>131</v>
      </c>
      <c r="E187" s="44" t="s">
        <v>111</v>
      </c>
      <c r="F187" s="41">
        <v>9</v>
      </c>
      <c r="G187" s="41">
        <v>2</v>
      </c>
      <c r="H187" s="332">
        <v>15350</v>
      </c>
      <c r="I187" s="138">
        <v>1127</v>
      </c>
      <c r="J187" s="274">
        <f>+H187/I187</f>
        <v>13.620230700976043</v>
      </c>
      <c r="K187" s="255"/>
    </row>
    <row r="188" spans="1:11" ht="15">
      <c r="A188" s="106">
        <v>184</v>
      </c>
      <c r="B188" s="49" t="s">
        <v>510</v>
      </c>
      <c r="C188" s="39">
        <v>40060</v>
      </c>
      <c r="D188" s="44" t="s">
        <v>134</v>
      </c>
      <c r="E188" s="44" t="s">
        <v>511</v>
      </c>
      <c r="F188" s="41">
        <v>3</v>
      </c>
      <c r="G188" s="41">
        <v>5</v>
      </c>
      <c r="H188" s="301">
        <f>7317+3809.25+1860+639+729</f>
        <v>14354.25</v>
      </c>
      <c r="I188" s="138">
        <f>792+424+238+115+144</f>
        <v>1713</v>
      </c>
      <c r="J188" s="103">
        <f>H188/I188</f>
        <v>8.379597197898423</v>
      </c>
      <c r="K188" s="247">
        <v>1</v>
      </c>
    </row>
    <row r="189" spans="1:11" ht="15">
      <c r="A189" s="106">
        <v>185</v>
      </c>
      <c r="B189" s="49" t="s">
        <v>350</v>
      </c>
      <c r="C189" s="39">
        <v>39941</v>
      </c>
      <c r="D189" s="44" t="s">
        <v>136</v>
      </c>
      <c r="E189" s="44" t="s">
        <v>393</v>
      </c>
      <c r="F189" s="41">
        <v>10</v>
      </c>
      <c r="G189" s="41">
        <v>8</v>
      </c>
      <c r="H189" s="301">
        <v>14154.5</v>
      </c>
      <c r="I189" s="138">
        <v>2178</v>
      </c>
      <c r="J189" s="103">
        <f>+H189/I189</f>
        <v>6.498852157943067</v>
      </c>
      <c r="K189" s="255"/>
    </row>
    <row r="190" spans="1:11" ht="15">
      <c r="A190" s="106">
        <v>186</v>
      </c>
      <c r="B190" s="49" t="s">
        <v>254</v>
      </c>
      <c r="C190" s="39">
        <v>39885</v>
      </c>
      <c r="D190" s="44" t="s">
        <v>255</v>
      </c>
      <c r="E190" s="44" t="s">
        <v>1</v>
      </c>
      <c r="F190" s="41">
        <v>1</v>
      </c>
      <c r="G190" s="41">
        <v>13</v>
      </c>
      <c r="H190" s="301">
        <f>4788+2916+224+67+1174+2376+93+192+1664+358+99+80.5+37.5</f>
        <v>14069</v>
      </c>
      <c r="I190" s="138">
        <f>549+337+27+11+121+594+31+32+416+45+9+12+3</f>
        <v>2187</v>
      </c>
      <c r="J190" s="103">
        <f aca="true" t="shared" si="7" ref="J190:J196">H190/I190</f>
        <v>6.433013260173754</v>
      </c>
      <c r="K190" s="255"/>
    </row>
    <row r="191" spans="1:11" ht="15">
      <c r="A191" s="106">
        <v>187</v>
      </c>
      <c r="B191" s="49" t="s">
        <v>407</v>
      </c>
      <c r="C191" s="39">
        <v>39976</v>
      </c>
      <c r="D191" s="44" t="s">
        <v>134</v>
      </c>
      <c r="E191" s="44" t="s">
        <v>408</v>
      </c>
      <c r="F191" s="41">
        <v>2</v>
      </c>
      <c r="G191" s="41">
        <v>12</v>
      </c>
      <c r="H191" s="301">
        <f>4047+2102+1183+288+2185+769.5+1362.5+929+117+25+266+133</f>
        <v>13407</v>
      </c>
      <c r="I191" s="138">
        <f>502+366+177+30+537+130+151+131+15+2+54+19</f>
        <v>2114</v>
      </c>
      <c r="J191" s="103">
        <f t="shared" si="7"/>
        <v>6.342005676442763</v>
      </c>
      <c r="K191" s="255"/>
    </row>
    <row r="192" spans="1:11" ht="15">
      <c r="A192" s="106">
        <v>188</v>
      </c>
      <c r="B192" s="49" t="s">
        <v>470</v>
      </c>
      <c r="C192" s="39">
        <v>40025</v>
      </c>
      <c r="D192" s="44" t="s">
        <v>134</v>
      </c>
      <c r="E192" s="44" t="s">
        <v>1</v>
      </c>
      <c r="F192" s="41">
        <v>1</v>
      </c>
      <c r="G192" s="41">
        <v>8</v>
      </c>
      <c r="H192" s="301">
        <f>6157+1979.5+2138+815+825+343+114+159</f>
        <v>12530.5</v>
      </c>
      <c r="I192" s="138">
        <f>452+147+247+163+165+40+19+36</f>
        <v>1269</v>
      </c>
      <c r="J192" s="103">
        <f t="shared" si="7"/>
        <v>9.87431048069346</v>
      </c>
      <c r="K192" s="247"/>
    </row>
    <row r="193" spans="1:11" ht="15">
      <c r="A193" s="106">
        <v>189</v>
      </c>
      <c r="B193" s="49" t="s">
        <v>222</v>
      </c>
      <c r="C193" s="39">
        <v>39871</v>
      </c>
      <c r="D193" s="44" t="s">
        <v>134</v>
      </c>
      <c r="E193" s="44" t="s">
        <v>1</v>
      </c>
      <c r="F193" s="41">
        <v>1</v>
      </c>
      <c r="G193" s="41">
        <v>19</v>
      </c>
      <c r="H193" s="301">
        <f>1088+1510+1304+856+387+214+424+106+162+130+476+60.5+118+96+1664+1780+454+259.5+1188+119.5</f>
        <v>12396.5</v>
      </c>
      <c r="I193" s="138">
        <f>267+175+155+102+46+26+51+12+18+16+57+8+22+16+416+445+57+31+297+19</f>
        <v>2236</v>
      </c>
      <c r="J193" s="103">
        <f t="shared" si="7"/>
        <v>5.544051878354204</v>
      </c>
      <c r="K193" s="255"/>
    </row>
    <row r="194" spans="1:11" ht="15">
      <c r="A194" s="106">
        <v>190</v>
      </c>
      <c r="B194" s="49" t="s">
        <v>378</v>
      </c>
      <c r="C194" s="39">
        <v>39962</v>
      </c>
      <c r="D194" s="44" t="s">
        <v>134</v>
      </c>
      <c r="E194" s="44" t="s">
        <v>1</v>
      </c>
      <c r="F194" s="41">
        <v>1</v>
      </c>
      <c r="G194" s="41">
        <v>13</v>
      </c>
      <c r="H194" s="301">
        <f>2055+1340+750+709+604+925+1270+1220+776+981+343+858+383</f>
        <v>12214</v>
      </c>
      <c r="I194" s="138">
        <f>411+268+150+85+70+118+161+152+99+144+47+143+48</f>
        <v>1896</v>
      </c>
      <c r="J194" s="103">
        <f t="shared" si="7"/>
        <v>6.44198312236287</v>
      </c>
      <c r="K194" s="255"/>
    </row>
    <row r="195" spans="1:11" ht="15">
      <c r="A195" s="106">
        <v>191</v>
      </c>
      <c r="B195" s="49" t="s">
        <v>349</v>
      </c>
      <c r="C195" s="39">
        <v>39941</v>
      </c>
      <c r="D195" s="44" t="s">
        <v>134</v>
      </c>
      <c r="E195" s="44" t="s">
        <v>90</v>
      </c>
      <c r="F195" s="41">
        <v>25</v>
      </c>
      <c r="G195" s="41">
        <v>7</v>
      </c>
      <c r="H195" s="301">
        <f>11131.5+481.5+197+88+48+32+234</f>
        <v>12212</v>
      </c>
      <c r="I195" s="138">
        <f>1039+58+23+12+8+5+46</f>
        <v>1191</v>
      </c>
      <c r="J195" s="103">
        <f t="shared" si="7"/>
        <v>10.253568429890848</v>
      </c>
      <c r="K195" s="255"/>
    </row>
    <row r="196" spans="1:11" ht="15">
      <c r="A196" s="106">
        <v>192</v>
      </c>
      <c r="B196" s="49" t="s">
        <v>189</v>
      </c>
      <c r="C196" s="39">
        <v>39850</v>
      </c>
      <c r="D196" s="44" t="s">
        <v>134</v>
      </c>
      <c r="E196" s="44" t="s">
        <v>190</v>
      </c>
      <c r="F196" s="41">
        <v>4</v>
      </c>
      <c r="G196" s="41">
        <v>14</v>
      </c>
      <c r="H196" s="301">
        <f>3471+1177+1932+1499+102+393+190+338+243+306+110+110+57.5+788+121</f>
        <v>10837.5</v>
      </c>
      <c r="I196" s="138">
        <f>322+131+339+226+14+53+38+38+28+51+17+22+5+128+16</f>
        <v>1428</v>
      </c>
      <c r="J196" s="103">
        <f t="shared" si="7"/>
        <v>7.589285714285714</v>
      </c>
      <c r="K196" s="255"/>
    </row>
    <row r="197" spans="1:11" ht="15">
      <c r="A197" s="106">
        <v>193</v>
      </c>
      <c r="B197" s="49" t="s">
        <v>472</v>
      </c>
      <c r="C197" s="39">
        <v>40025</v>
      </c>
      <c r="D197" s="44" t="s">
        <v>4</v>
      </c>
      <c r="E197" s="44" t="s">
        <v>77</v>
      </c>
      <c r="F197" s="41">
        <v>1</v>
      </c>
      <c r="G197" s="41">
        <v>10</v>
      </c>
      <c r="H197" s="301">
        <v>6697</v>
      </c>
      <c r="I197" s="138">
        <v>718</v>
      </c>
      <c r="J197" s="103">
        <f>+H197/I197</f>
        <v>9.327298050139277</v>
      </c>
      <c r="K197" s="247"/>
    </row>
    <row r="198" spans="1:11" ht="15.75" thickBot="1">
      <c r="A198" s="106">
        <v>194</v>
      </c>
      <c r="B198" s="287" t="s">
        <v>494</v>
      </c>
      <c r="C198" s="259">
        <v>40046</v>
      </c>
      <c r="D198" s="260" t="s">
        <v>134</v>
      </c>
      <c r="E198" s="260" t="s">
        <v>1</v>
      </c>
      <c r="F198" s="261">
        <v>1</v>
      </c>
      <c r="G198" s="261">
        <v>4</v>
      </c>
      <c r="H198" s="302">
        <f>580+460+70+122</f>
        <v>1232</v>
      </c>
      <c r="I198" s="272">
        <f>116+91+10+27</f>
        <v>244</v>
      </c>
      <c r="J198" s="286">
        <f>H198/I198</f>
        <v>5.049180327868853</v>
      </c>
      <c r="K198" s="247"/>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7:J45" formula="1"/>
    <ignoredError sqref="L63:L66 L67:L82 L60:L62" numberStoredAsText="1" formula="1"/>
  </ignoredErrors>
</worksheet>
</file>

<file path=xl/worksheets/sheet3.xml><?xml version="1.0" encoding="utf-8"?>
<worksheet xmlns="http://schemas.openxmlformats.org/spreadsheetml/2006/main" xmlns:r="http://schemas.openxmlformats.org/officeDocument/2006/relationships">
  <dimension ref="A1:Q653"/>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09" customWidth="1"/>
    <col min="10" max="10" width="10.421875" style="310" customWidth="1"/>
    <col min="11" max="11" width="10.7109375" style="311" customWidth="1"/>
    <col min="12" max="12" width="7.28125" style="312" customWidth="1"/>
    <col min="13" max="13" width="16.140625" style="313" customWidth="1"/>
    <col min="14" max="14" width="11.57421875" style="311" customWidth="1"/>
    <col min="15" max="15" width="7.28125" style="131" customWidth="1"/>
    <col min="16" max="16" width="2.421875" style="252" customWidth="1"/>
    <col min="17" max="17" width="4.00390625" style="123" customWidth="1"/>
  </cols>
  <sheetData>
    <row r="1" spans="1:15" ht="34.5" thickBot="1">
      <c r="A1" s="397" t="s">
        <v>550</v>
      </c>
      <c r="B1" s="398"/>
      <c r="C1" s="398"/>
      <c r="D1" s="398"/>
      <c r="E1" s="398"/>
      <c r="F1" s="398"/>
      <c r="G1" s="398"/>
      <c r="H1" s="399"/>
      <c r="I1" s="399"/>
      <c r="J1" s="399"/>
      <c r="K1" s="399"/>
      <c r="L1" s="399"/>
      <c r="M1" s="399"/>
      <c r="N1" s="399"/>
      <c r="O1" s="399"/>
    </row>
    <row r="2" spans="1:17" s="91" customFormat="1" ht="14.25">
      <c r="A2" s="93"/>
      <c r="B2" s="401" t="s">
        <v>3</v>
      </c>
      <c r="C2" s="403" t="s">
        <v>113</v>
      </c>
      <c r="D2" s="396" t="s">
        <v>129</v>
      </c>
      <c r="E2" s="396" t="s">
        <v>128</v>
      </c>
      <c r="F2" s="389" t="s">
        <v>114</v>
      </c>
      <c r="G2" s="389" t="s">
        <v>121</v>
      </c>
      <c r="H2" s="391" t="s">
        <v>123</v>
      </c>
      <c r="I2" s="393" t="s">
        <v>115</v>
      </c>
      <c r="J2" s="393"/>
      <c r="K2" s="393"/>
      <c r="L2" s="393"/>
      <c r="M2" s="394" t="s">
        <v>116</v>
      </c>
      <c r="N2" s="394"/>
      <c r="O2" s="395"/>
      <c r="P2" s="278"/>
      <c r="Q2" s="102"/>
    </row>
    <row r="3" spans="1:17" s="91" customFormat="1" ht="48" customHeight="1" thickBot="1">
      <c r="A3" s="94"/>
      <c r="B3" s="402"/>
      <c r="C3" s="404"/>
      <c r="D3" s="390"/>
      <c r="E3" s="390"/>
      <c r="F3" s="390"/>
      <c r="G3" s="390"/>
      <c r="H3" s="392"/>
      <c r="I3" s="304" t="s">
        <v>117</v>
      </c>
      <c r="J3" s="305" t="s">
        <v>118</v>
      </c>
      <c r="K3" s="305" t="s">
        <v>101</v>
      </c>
      <c r="L3" s="306" t="s">
        <v>119</v>
      </c>
      <c r="M3" s="304" t="s">
        <v>117</v>
      </c>
      <c r="N3" s="305" t="s">
        <v>118</v>
      </c>
      <c r="O3" s="132" t="s">
        <v>120</v>
      </c>
      <c r="P3" s="278"/>
      <c r="Q3" s="102"/>
    </row>
    <row r="4" spans="1:16" ht="15">
      <c r="A4" s="66">
        <v>1</v>
      </c>
      <c r="B4" s="143" t="s">
        <v>64</v>
      </c>
      <c r="C4" s="144">
        <v>39759</v>
      </c>
      <c r="D4" s="145" t="s">
        <v>65</v>
      </c>
      <c r="E4" s="145" t="s">
        <v>66</v>
      </c>
      <c r="F4" s="146">
        <v>159</v>
      </c>
      <c r="G4" s="146">
        <v>159</v>
      </c>
      <c r="H4" s="146">
        <v>9</v>
      </c>
      <c r="I4" s="319">
        <v>2001009.5</v>
      </c>
      <c r="J4" s="320">
        <v>246070</v>
      </c>
      <c r="K4" s="147">
        <f>+J4/G4</f>
        <v>1547.6100628930817</v>
      </c>
      <c r="L4" s="148">
        <f>+I4/J4</f>
        <v>8.13187101231357</v>
      </c>
      <c r="M4" s="319">
        <v>19583374</v>
      </c>
      <c r="N4" s="320">
        <v>2259210</v>
      </c>
      <c r="O4" s="149">
        <f>+M4/N4</f>
        <v>8.668239782932972</v>
      </c>
      <c r="P4" s="253">
        <v>1</v>
      </c>
    </row>
    <row r="5" spans="1:16" ht="15">
      <c r="A5" s="66">
        <v>2</v>
      </c>
      <c r="B5" s="207" t="s">
        <v>64</v>
      </c>
      <c r="C5" s="195">
        <v>39759</v>
      </c>
      <c r="D5" s="196" t="s">
        <v>65</v>
      </c>
      <c r="E5" s="196" t="s">
        <v>66</v>
      </c>
      <c r="F5" s="197">
        <v>159</v>
      </c>
      <c r="G5" s="197">
        <v>159</v>
      </c>
      <c r="H5" s="197">
        <v>10</v>
      </c>
      <c r="I5" s="321">
        <v>1362993</v>
      </c>
      <c r="J5" s="322">
        <v>175799</v>
      </c>
      <c r="K5" s="201">
        <f>J5/G5</f>
        <v>1105.6540880503144</v>
      </c>
      <c r="L5" s="202">
        <f>I5/J5</f>
        <v>7.753132839208414</v>
      </c>
      <c r="M5" s="321">
        <v>20952200</v>
      </c>
      <c r="N5" s="322">
        <v>2436833</v>
      </c>
      <c r="O5" s="208">
        <f>+M5/N5</f>
        <v>8.598127159308824</v>
      </c>
      <c r="P5" s="254">
        <v>1</v>
      </c>
    </row>
    <row r="6" spans="1:16" ht="15.75" thickBot="1">
      <c r="A6" s="288">
        <v>3</v>
      </c>
      <c r="B6" s="289" t="s">
        <v>64</v>
      </c>
      <c r="C6" s="259">
        <v>39759</v>
      </c>
      <c r="D6" s="290" t="s">
        <v>65</v>
      </c>
      <c r="E6" s="290" t="s">
        <v>66</v>
      </c>
      <c r="F6" s="291">
        <v>156</v>
      </c>
      <c r="G6" s="291">
        <v>156</v>
      </c>
      <c r="H6" s="291">
        <v>11</v>
      </c>
      <c r="I6" s="323">
        <v>1069198</v>
      </c>
      <c r="J6" s="324">
        <v>142250</v>
      </c>
      <c r="K6" s="292">
        <f>J6/G6</f>
        <v>911.8589743589744</v>
      </c>
      <c r="L6" s="293">
        <f>I6/J6</f>
        <v>7.516330404217926</v>
      </c>
      <c r="M6" s="323">
        <v>22036559</v>
      </c>
      <c r="N6" s="324">
        <v>2580474</v>
      </c>
      <c r="O6" s="294">
        <f>+M6/N6</f>
        <v>8.539733010291908</v>
      </c>
      <c r="P6" s="255">
        <v>1</v>
      </c>
    </row>
    <row r="7" spans="1:16" ht="15">
      <c r="A7" s="66">
        <v>4</v>
      </c>
      <c r="B7" s="213" t="s">
        <v>22</v>
      </c>
      <c r="C7" s="222">
        <v>39787</v>
      </c>
      <c r="D7" s="223" t="s">
        <v>131</v>
      </c>
      <c r="E7" s="223" t="s">
        <v>138</v>
      </c>
      <c r="F7" s="214">
        <v>406</v>
      </c>
      <c r="G7" s="214">
        <v>284</v>
      </c>
      <c r="H7" s="214">
        <v>5</v>
      </c>
      <c r="I7" s="303">
        <v>779810</v>
      </c>
      <c r="J7" s="221">
        <v>96885</v>
      </c>
      <c r="K7" s="221">
        <f>J7/G7</f>
        <v>341.1443661971831</v>
      </c>
      <c r="L7" s="224">
        <f>+I7/J7</f>
        <v>8.048820766888579</v>
      </c>
      <c r="M7" s="303">
        <v>29377571</v>
      </c>
      <c r="N7" s="221">
        <v>3556373</v>
      </c>
      <c r="O7" s="225">
        <f>+M7/N7</f>
        <v>8.260542693356406</v>
      </c>
      <c r="P7" s="253">
        <v>1</v>
      </c>
    </row>
    <row r="8" spans="1:16" ht="15">
      <c r="A8" s="66">
        <v>5</v>
      </c>
      <c r="B8" s="53" t="s">
        <v>64</v>
      </c>
      <c r="C8" s="39">
        <v>39759</v>
      </c>
      <c r="D8" s="126" t="s">
        <v>65</v>
      </c>
      <c r="E8" s="126" t="s">
        <v>66</v>
      </c>
      <c r="F8" s="50">
        <v>141</v>
      </c>
      <c r="G8" s="50">
        <v>141</v>
      </c>
      <c r="H8" s="50">
        <v>12</v>
      </c>
      <c r="I8" s="325">
        <v>603833</v>
      </c>
      <c r="J8" s="326">
        <v>87195</v>
      </c>
      <c r="K8" s="232">
        <f>J8/G8</f>
        <v>618.4042553191489</v>
      </c>
      <c r="L8" s="141">
        <f>I8/J8</f>
        <v>6.925087447674752</v>
      </c>
      <c r="M8" s="325">
        <v>22640352</v>
      </c>
      <c r="N8" s="326">
        <v>2667669</v>
      </c>
      <c r="O8" s="105">
        <f>+M8/N8</f>
        <v>8.486941970686768</v>
      </c>
      <c r="P8" s="253"/>
    </row>
    <row r="9" spans="1:16" ht="15">
      <c r="A9" s="66">
        <v>6</v>
      </c>
      <c r="B9" s="49" t="s">
        <v>26</v>
      </c>
      <c r="C9" s="39">
        <v>39808</v>
      </c>
      <c r="D9" s="45" t="s">
        <v>134</v>
      </c>
      <c r="E9" s="44" t="s">
        <v>133</v>
      </c>
      <c r="F9" s="41">
        <v>75</v>
      </c>
      <c r="G9" s="41">
        <v>75</v>
      </c>
      <c r="H9" s="41">
        <v>2</v>
      </c>
      <c r="I9" s="327">
        <v>578530</v>
      </c>
      <c r="J9" s="328">
        <v>57106</v>
      </c>
      <c r="K9" s="140">
        <f>(J9/G9)</f>
        <v>761.4133333333333</v>
      </c>
      <c r="L9" s="141">
        <f>I9/J9</f>
        <v>10.130809372044968</v>
      </c>
      <c r="M9" s="327">
        <f>681566+578530</f>
        <v>1260096</v>
      </c>
      <c r="N9" s="328">
        <f>64102+57106</f>
        <v>121208</v>
      </c>
      <c r="O9" s="104">
        <f>IF(M9&lt;&gt;0,M9/N9,"")</f>
        <v>10.396145468945944</v>
      </c>
      <c r="P9" s="253"/>
    </row>
    <row r="10" spans="1:16" ht="15">
      <c r="A10" s="66">
        <v>7</v>
      </c>
      <c r="B10" s="48" t="s">
        <v>23</v>
      </c>
      <c r="C10" s="39">
        <v>39808</v>
      </c>
      <c r="D10" s="42" t="s">
        <v>136</v>
      </c>
      <c r="E10" s="42" t="s">
        <v>24</v>
      </c>
      <c r="F10" s="54">
        <v>198</v>
      </c>
      <c r="G10" s="54">
        <v>198</v>
      </c>
      <c r="H10" s="54">
        <v>2</v>
      </c>
      <c r="I10" s="329">
        <v>532572.5</v>
      </c>
      <c r="J10" s="140">
        <v>67146</v>
      </c>
      <c r="K10" s="136">
        <f>IF(I10&lt;&gt;0,J10/G10,"")</f>
        <v>339.1212121212121</v>
      </c>
      <c r="L10" s="137">
        <f>IF(I10&lt;&gt;0,I10/J10,"")</f>
        <v>7.9315595865725435</v>
      </c>
      <c r="M10" s="329">
        <f>909072+532572.5</f>
        <v>1441644.5</v>
      </c>
      <c r="N10" s="138">
        <f>112486+67146</f>
        <v>179632</v>
      </c>
      <c r="O10" s="104">
        <f>IF(M10&lt;&gt;0,M10/N10,"")</f>
        <v>8.025543889730114</v>
      </c>
      <c r="P10" s="253">
        <v>1</v>
      </c>
    </row>
    <row r="11" spans="1:16" ht="15">
      <c r="A11" s="66">
        <v>8</v>
      </c>
      <c r="B11" s="49" t="s">
        <v>139</v>
      </c>
      <c r="C11" s="40">
        <v>39787</v>
      </c>
      <c r="D11" s="44" t="s">
        <v>132</v>
      </c>
      <c r="E11" s="44" t="s">
        <v>140</v>
      </c>
      <c r="F11" s="41">
        <v>241</v>
      </c>
      <c r="G11" s="41">
        <v>215</v>
      </c>
      <c r="H11" s="41">
        <v>5</v>
      </c>
      <c r="I11" s="301">
        <v>528440.5</v>
      </c>
      <c r="J11" s="138">
        <v>73035</v>
      </c>
      <c r="K11" s="136">
        <f>+J11/G11</f>
        <v>339.69767441860466</v>
      </c>
      <c r="L11" s="137">
        <f>+I11/J11</f>
        <v>7.2354419114123365</v>
      </c>
      <c r="M11" s="301">
        <f>9280968+4694050.5+1992628+1117778+528440.5</f>
        <v>17613865</v>
      </c>
      <c r="N11" s="138">
        <f>1147876+614752+261380+141495+73035</f>
        <v>2238538</v>
      </c>
      <c r="O11" s="104">
        <f aca="true" t="shared" si="0" ref="O11:O17">+M11/N11</f>
        <v>7.868468169850143</v>
      </c>
      <c r="P11" s="255"/>
    </row>
    <row r="12" spans="1:16" ht="15">
      <c r="A12" s="66">
        <v>9</v>
      </c>
      <c r="B12" s="219" t="s">
        <v>22</v>
      </c>
      <c r="C12" s="216">
        <v>39787</v>
      </c>
      <c r="D12" s="65" t="s">
        <v>131</v>
      </c>
      <c r="E12" s="218" t="s">
        <v>138</v>
      </c>
      <c r="F12" s="41">
        <v>406</v>
      </c>
      <c r="G12" s="41">
        <v>67</v>
      </c>
      <c r="H12" s="41">
        <v>7</v>
      </c>
      <c r="I12" s="301">
        <v>525517</v>
      </c>
      <c r="J12" s="138">
        <v>57856</v>
      </c>
      <c r="K12" s="138">
        <f aca="true" t="shared" si="1" ref="K12:K17">J12/G12</f>
        <v>863.5223880597015</v>
      </c>
      <c r="L12" s="139">
        <f>+I12/J12</f>
        <v>9.083189297566372</v>
      </c>
      <c r="M12" s="301">
        <v>30377332</v>
      </c>
      <c r="N12" s="138">
        <v>3697746</v>
      </c>
      <c r="O12" s="103">
        <f t="shared" si="0"/>
        <v>8.215094276351053</v>
      </c>
      <c r="P12" s="297">
        <v>1</v>
      </c>
    </row>
    <row r="13" spans="1:16" ht="15">
      <c r="A13" s="66">
        <v>10</v>
      </c>
      <c r="B13" s="210" t="s">
        <v>22</v>
      </c>
      <c r="C13" s="205">
        <v>39787</v>
      </c>
      <c r="D13" s="203" t="s">
        <v>131</v>
      </c>
      <c r="E13" s="203" t="s">
        <v>138</v>
      </c>
      <c r="F13" s="204">
        <v>406</v>
      </c>
      <c r="G13" s="204">
        <v>268</v>
      </c>
      <c r="H13" s="204">
        <v>6</v>
      </c>
      <c r="I13" s="330">
        <v>474244</v>
      </c>
      <c r="J13" s="200">
        <v>83517</v>
      </c>
      <c r="K13" s="200">
        <f t="shared" si="1"/>
        <v>311.6305970149254</v>
      </c>
      <c r="L13" s="206">
        <f>+I13/J13</f>
        <v>5.678412778236766</v>
      </c>
      <c r="M13" s="330">
        <v>29851815</v>
      </c>
      <c r="N13" s="200">
        <v>3639890</v>
      </c>
      <c r="O13" s="211">
        <f t="shared" si="0"/>
        <v>8.201295918283245</v>
      </c>
      <c r="P13" s="297">
        <v>1</v>
      </c>
    </row>
    <row r="14" spans="1:16" ht="15">
      <c r="A14" s="66">
        <v>11</v>
      </c>
      <c r="B14" s="49" t="s">
        <v>445</v>
      </c>
      <c r="C14" s="40">
        <v>39808</v>
      </c>
      <c r="D14" s="65" t="s">
        <v>131</v>
      </c>
      <c r="E14" s="44" t="s">
        <v>111</v>
      </c>
      <c r="F14" s="41">
        <v>112</v>
      </c>
      <c r="G14" s="41">
        <v>111</v>
      </c>
      <c r="H14" s="41">
        <v>2</v>
      </c>
      <c r="I14" s="301">
        <v>463795</v>
      </c>
      <c r="J14" s="138">
        <v>46542</v>
      </c>
      <c r="K14" s="138">
        <f t="shared" si="1"/>
        <v>419.2972972972973</v>
      </c>
      <c r="L14" s="139">
        <f>+I14/J14</f>
        <v>9.965085299299558</v>
      </c>
      <c r="M14" s="301">
        <v>1284128</v>
      </c>
      <c r="N14" s="138">
        <v>127360</v>
      </c>
      <c r="O14" s="103">
        <f t="shared" si="0"/>
        <v>10.082663316582915</v>
      </c>
      <c r="P14" s="345">
        <v>1</v>
      </c>
    </row>
    <row r="15" spans="1:16" ht="15">
      <c r="A15" s="66">
        <v>12</v>
      </c>
      <c r="B15" s="48" t="s">
        <v>144</v>
      </c>
      <c r="C15" s="39">
        <v>39801</v>
      </c>
      <c r="D15" s="43" t="s">
        <v>130</v>
      </c>
      <c r="E15" s="42" t="s">
        <v>122</v>
      </c>
      <c r="F15" s="54">
        <v>69</v>
      </c>
      <c r="G15" s="54">
        <v>69</v>
      </c>
      <c r="H15" s="54">
        <v>3</v>
      </c>
      <c r="I15" s="327">
        <v>413907</v>
      </c>
      <c r="J15" s="328">
        <v>42374</v>
      </c>
      <c r="K15" s="140">
        <f t="shared" si="1"/>
        <v>614.1159420289855</v>
      </c>
      <c r="L15" s="141">
        <f>I15/J15</f>
        <v>9.767947326190589</v>
      </c>
      <c r="M15" s="327">
        <f>820286+588484+413907</f>
        <v>1822677</v>
      </c>
      <c r="N15" s="328">
        <f>83839+57678+42374</f>
        <v>183891</v>
      </c>
      <c r="O15" s="105">
        <f t="shared" si="0"/>
        <v>9.911724880499861</v>
      </c>
      <c r="P15" s="345"/>
    </row>
    <row r="16" spans="1:16" ht="15">
      <c r="A16" s="66">
        <v>13</v>
      </c>
      <c r="B16" s="240" t="s">
        <v>64</v>
      </c>
      <c r="C16" s="236">
        <v>39759</v>
      </c>
      <c r="D16" s="235" t="s">
        <v>65</v>
      </c>
      <c r="E16" s="235" t="s">
        <v>66</v>
      </c>
      <c r="F16" s="237">
        <v>141</v>
      </c>
      <c r="G16" s="237">
        <v>141</v>
      </c>
      <c r="H16" s="237">
        <v>13</v>
      </c>
      <c r="I16" s="331">
        <v>382194.5</v>
      </c>
      <c r="J16" s="238">
        <v>56841</v>
      </c>
      <c r="K16" s="238">
        <f t="shared" si="1"/>
        <v>403.1276595744681</v>
      </c>
      <c r="L16" s="239">
        <f>I16/J16</f>
        <v>6.7239228725743745</v>
      </c>
      <c r="M16" s="331">
        <v>23022546.5</v>
      </c>
      <c r="N16" s="238">
        <v>2724510</v>
      </c>
      <c r="O16" s="241">
        <f t="shared" si="0"/>
        <v>8.450160395814294</v>
      </c>
      <c r="P16" s="345">
        <v>1</v>
      </c>
    </row>
    <row r="17" spans="1:16" ht="15">
      <c r="A17" s="66">
        <v>14</v>
      </c>
      <c r="B17" s="49" t="s">
        <v>445</v>
      </c>
      <c r="C17" s="205">
        <v>39808</v>
      </c>
      <c r="D17" s="203" t="s">
        <v>131</v>
      </c>
      <c r="E17" s="203" t="s">
        <v>111</v>
      </c>
      <c r="F17" s="204">
        <v>112</v>
      </c>
      <c r="G17" s="204">
        <v>111</v>
      </c>
      <c r="H17" s="204">
        <v>3</v>
      </c>
      <c r="I17" s="330">
        <v>346957</v>
      </c>
      <c r="J17" s="200">
        <v>36487</v>
      </c>
      <c r="K17" s="200">
        <f t="shared" si="1"/>
        <v>328.7117117117117</v>
      </c>
      <c r="L17" s="206">
        <f>+I17/J17</f>
        <v>9.509058020664895</v>
      </c>
      <c r="M17" s="330">
        <v>1631085</v>
      </c>
      <c r="N17" s="200">
        <v>163847</v>
      </c>
      <c r="O17" s="211">
        <f t="shared" si="0"/>
        <v>9.95492746281592</v>
      </c>
      <c r="P17" s="345"/>
    </row>
    <row r="18" spans="1:16" ht="15">
      <c r="A18" s="66">
        <v>15</v>
      </c>
      <c r="B18" s="209" t="s">
        <v>26</v>
      </c>
      <c r="C18" s="205">
        <v>39808</v>
      </c>
      <c r="D18" s="196" t="s">
        <v>134</v>
      </c>
      <c r="E18" s="203" t="s">
        <v>133</v>
      </c>
      <c r="F18" s="204">
        <v>75</v>
      </c>
      <c r="G18" s="204">
        <v>76</v>
      </c>
      <c r="H18" s="204">
        <v>3</v>
      </c>
      <c r="I18" s="321">
        <v>317284.5</v>
      </c>
      <c r="J18" s="322">
        <v>32401</v>
      </c>
      <c r="K18" s="201">
        <f>(J18/G18)</f>
        <v>426.32894736842104</v>
      </c>
      <c r="L18" s="202">
        <f>I18/J18</f>
        <v>9.792429246010926</v>
      </c>
      <c r="M18" s="321">
        <f>681566+578530+317284.5</f>
        <v>1577380.5</v>
      </c>
      <c r="N18" s="322">
        <f>64102+57106+32401</f>
        <v>153609</v>
      </c>
      <c r="O18" s="208">
        <f>M18/N18</f>
        <v>10.268802609222115</v>
      </c>
      <c r="P18" s="318"/>
    </row>
    <row r="19" spans="1:16" ht="15">
      <c r="A19" s="66">
        <v>16</v>
      </c>
      <c r="B19" s="49" t="s">
        <v>27</v>
      </c>
      <c r="C19" s="40">
        <v>39808</v>
      </c>
      <c r="D19" s="65" t="s">
        <v>131</v>
      </c>
      <c r="E19" s="44" t="s">
        <v>124</v>
      </c>
      <c r="F19" s="41">
        <v>34</v>
      </c>
      <c r="G19" s="41">
        <v>34</v>
      </c>
      <c r="H19" s="41">
        <v>2</v>
      </c>
      <c r="I19" s="301">
        <v>252304</v>
      </c>
      <c r="J19" s="138">
        <v>27182</v>
      </c>
      <c r="K19" s="138">
        <f>J19/G19</f>
        <v>799.4705882352941</v>
      </c>
      <c r="L19" s="139">
        <f>+I19/J19</f>
        <v>9.282024869398867</v>
      </c>
      <c r="M19" s="301">
        <v>650913</v>
      </c>
      <c r="N19" s="138">
        <v>68745</v>
      </c>
      <c r="O19" s="103">
        <f>+M19/N19</f>
        <v>9.468514073750818</v>
      </c>
      <c r="P19" s="318"/>
    </row>
    <row r="20" spans="1:16" ht="15">
      <c r="A20" s="66">
        <v>17</v>
      </c>
      <c r="B20" s="209" t="s">
        <v>139</v>
      </c>
      <c r="C20" s="205">
        <v>39787</v>
      </c>
      <c r="D20" s="203" t="s">
        <v>132</v>
      </c>
      <c r="E20" s="203" t="s">
        <v>140</v>
      </c>
      <c r="F20" s="204">
        <v>241</v>
      </c>
      <c r="G20" s="204">
        <v>186</v>
      </c>
      <c r="H20" s="204">
        <v>6</v>
      </c>
      <c r="I20" s="330">
        <v>225948.5</v>
      </c>
      <c r="J20" s="200">
        <v>33259</v>
      </c>
      <c r="K20" s="201">
        <f>J20/G20</f>
        <v>178.81182795698925</v>
      </c>
      <c r="L20" s="202">
        <f>I20/J20</f>
        <v>6.793604738567004</v>
      </c>
      <c r="M20" s="330">
        <f>9280968+4694050.5+1992628+1117778+528440.5+225948.5</f>
        <v>17839813.5</v>
      </c>
      <c r="N20" s="200">
        <f>1147876+614752+261380+141495+73035+33259</f>
        <v>2271797</v>
      </c>
      <c r="O20" s="208">
        <f>+M20/N20</f>
        <v>7.852732220352435</v>
      </c>
      <c r="P20" s="318">
        <v>1</v>
      </c>
    </row>
    <row r="21" spans="1:16" ht="15">
      <c r="A21" s="66">
        <v>18</v>
      </c>
      <c r="B21" s="275" t="s">
        <v>58</v>
      </c>
      <c r="C21" s="39">
        <v>39745</v>
      </c>
      <c r="D21" s="44" t="s">
        <v>4</v>
      </c>
      <c r="E21" s="44" t="s">
        <v>59</v>
      </c>
      <c r="F21" s="41">
        <v>72</v>
      </c>
      <c r="G21" s="41">
        <v>69</v>
      </c>
      <c r="H21" s="41">
        <v>28</v>
      </c>
      <c r="I21" s="332">
        <v>218922</v>
      </c>
      <c r="J21" s="138">
        <v>22832</v>
      </c>
      <c r="K21" s="138">
        <f>+J21/G21</f>
        <v>330.8985507246377</v>
      </c>
      <c r="L21" s="273">
        <f>+I21/J21</f>
        <v>9.588384723195515</v>
      </c>
      <c r="M21" s="332">
        <v>1508075</v>
      </c>
      <c r="N21" s="138">
        <v>168885</v>
      </c>
      <c r="O21" s="274">
        <f>+M21/N21</f>
        <v>8.929597063090268</v>
      </c>
      <c r="P21" s="318"/>
    </row>
    <row r="22" spans="1:16" ht="15">
      <c r="A22" s="66">
        <v>19</v>
      </c>
      <c r="B22" s="207" t="s">
        <v>23</v>
      </c>
      <c r="C22" s="195">
        <v>39808</v>
      </c>
      <c r="D22" s="196" t="s">
        <v>136</v>
      </c>
      <c r="E22" s="196" t="s">
        <v>24</v>
      </c>
      <c r="F22" s="197">
        <v>198</v>
      </c>
      <c r="G22" s="197">
        <v>183</v>
      </c>
      <c r="H22" s="197">
        <v>3</v>
      </c>
      <c r="I22" s="333">
        <v>214521.5</v>
      </c>
      <c r="J22" s="201">
        <v>29772</v>
      </c>
      <c r="K22" s="198">
        <f>IF(I22&lt;&gt;0,J22/G22,"")</f>
        <v>162.68852459016392</v>
      </c>
      <c r="L22" s="199">
        <f>IF(I22&lt;&gt;0,I22/J22,"")</f>
        <v>7.205478301760043</v>
      </c>
      <c r="M22" s="333">
        <f>909072+532572.5+214521.5</f>
        <v>1656166</v>
      </c>
      <c r="N22" s="200">
        <f>112486+67146+29772</f>
        <v>209404</v>
      </c>
      <c r="O22" s="212">
        <f>IF(M22&lt;&gt;0,M22/N22,"")</f>
        <v>7.908951118412256</v>
      </c>
      <c r="P22" s="318"/>
    </row>
    <row r="23" spans="1:16" ht="15">
      <c r="A23" s="66">
        <v>20</v>
      </c>
      <c r="B23" s="240" t="s">
        <v>64</v>
      </c>
      <c r="C23" s="236">
        <v>39759</v>
      </c>
      <c r="D23" s="235" t="s">
        <v>65</v>
      </c>
      <c r="E23" s="235" t="s">
        <v>66</v>
      </c>
      <c r="F23" s="237">
        <v>116</v>
      </c>
      <c r="G23" s="237">
        <v>116</v>
      </c>
      <c r="H23" s="237">
        <v>14</v>
      </c>
      <c r="I23" s="331">
        <v>192706.5</v>
      </c>
      <c r="J23" s="238">
        <v>29016</v>
      </c>
      <c r="K23" s="238">
        <f>J23/G23</f>
        <v>250.13793103448276</v>
      </c>
      <c r="L23" s="239">
        <f>I23/J23</f>
        <v>6.641387510339123</v>
      </c>
      <c r="M23" s="331">
        <v>23215517.5</v>
      </c>
      <c r="N23" s="238">
        <v>2753398</v>
      </c>
      <c r="O23" s="241">
        <f>+M23/N23</f>
        <v>8.43158798691653</v>
      </c>
      <c r="P23" s="318">
        <v>1</v>
      </c>
    </row>
    <row r="24" spans="1:16" ht="15">
      <c r="A24" s="66">
        <v>21</v>
      </c>
      <c r="B24" s="49" t="s">
        <v>147</v>
      </c>
      <c r="C24" s="40">
        <v>39801</v>
      </c>
      <c r="D24" s="45" t="s">
        <v>134</v>
      </c>
      <c r="E24" s="44" t="s">
        <v>148</v>
      </c>
      <c r="F24" s="41">
        <v>36</v>
      </c>
      <c r="G24" s="41">
        <v>38</v>
      </c>
      <c r="H24" s="41">
        <v>3</v>
      </c>
      <c r="I24" s="327">
        <v>145464.5</v>
      </c>
      <c r="J24" s="328">
        <v>19417</v>
      </c>
      <c r="K24" s="140">
        <f>(J24/G24)</f>
        <v>510.9736842105263</v>
      </c>
      <c r="L24" s="141">
        <f>I24/J24</f>
        <v>7.491605294329711</v>
      </c>
      <c r="M24" s="327">
        <f>295344+204961.5+145464.5</f>
        <v>645770</v>
      </c>
      <c r="N24" s="328">
        <f>36142+24747+19417</f>
        <v>80306</v>
      </c>
      <c r="O24" s="105">
        <f>M24/N24</f>
        <v>8.04136677209673</v>
      </c>
      <c r="P24" s="318"/>
    </row>
    <row r="25" spans="1:16" ht="15">
      <c r="A25" s="66">
        <v>22</v>
      </c>
      <c r="B25" s="49" t="s">
        <v>445</v>
      </c>
      <c r="C25" s="216">
        <v>39808</v>
      </c>
      <c r="D25" s="65" t="s">
        <v>131</v>
      </c>
      <c r="E25" s="217" t="s">
        <v>111</v>
      </c>
      <c r="F25" s="41">
        <v>112</v>
      </c>
      <c r="G25" s="41">
        <v>89</v>
      </c>
      <c r="H25" s="41">
        <v>4</v>
      </c>
      <c r="I25" s="301">
        <v>141298</v>
      </c>
      <c r="J25" s="138">
        <v>16688</v>
      </c>
      <c r="K25" s="138">
        <f>J25/G25</f>
        <v>187.5056179775281</v>
      </c>
      <c r="L25" s="139">
        <f>+I25/J25</f>
        <v>8.467042186001917</v>
      </c>
      <c r="M25" s="301">
        <v>1769493</v>
      </c>
      <c r="N25" s="138">
        <v>180421</v>
      </c>
      <c r="O25" s="103">
        <f>+M25/N25</f>
        <v>9.807577831848842</v>
      </c>
      <c r="P25" s="318">
        <v>1</v>
      </c>
    </row>
    <row r="26" spans="1:16" ht="15">
      <c r="A26" s="66">
        <v>23</v>
      </c>
      <c r="B26" s="49" t="s">
        <v>26</v>
      </c>
      <c r="C26" s="40">
        <v>39808</v>
      </c>
      <c r="D26" s="45" t="s">
        <v>134</v>
      </c>
      <c r="E26" s="44" t="s">
        <v>133</v>
      </c>
      <c r="F26" s="41">
        <v>75</v>
      </c>
      <c r="G26" s="41">
        <v>70</v>
      </c>
      <c r="H26" s="41">
        <v>4</v>
      </c>
      <c r="I26" s="327">
        <v>141025.5</v>
      </c>
      <c r="J26" s="328">
        <v>16644</v>
      </c>
      <c r="K26" s="140">
        <f>(J26/G26)</f>
        <v>237.77142857142857</v>
      </c>
      <c r="L26" s="141">
        <f>I26/J26</f>
        <v>8.47305335255948</v>
      </c>
      <c r="M26" s="327">
        <f>681566+578530+317284.5+141025.5</f>
        <v>1718406</v>
      </c>
      <c r="N26" s="328">
        <f>64102+57106+32401+16644</f>
        <v>170253</v>
      </c>
      <c r="O26" s="105">
        <f>M26/N26</f>
        <v>10.093249458159328</v>
      </c>
      <c r="P26" s="318">
        <v>1</v>
      </c>
    </row>
    <row r="27" spans="1:16" ht="15">
      <c r="A27" s="66">
        <v>24</v>
      </c>
      <c r="B27" s="49" t="s">
        <v>445</v>
      </c>
      <c r="C27" s="40">
        <v>39808</v>
      </c>
      <c r="D27" s="226" t="s">
        <v>131</v>
      </c>
      <c r="E27" s="226" t="s">
        <v>111</v>
      </c>
      <c r="F27" s="227">
        <v>112</v>
      </c>
      <c r="G27" s="227">
        <v>49</v>
      </c>
      <c r="H27" s="227">
        <v>5</v>
      </c>
      <c r="I27" s="332">
        <v>120787</v>
      </c>
      <c r="J27" s="230">
        <v>12258</v>
      </c>
      <c r="K27" s="231">
        <f>+J27/G27</f>
        <v>250.16326530612244</v>
      </c>
      <c r="L27" s="137">
        <f>+I27/J27</f>
        <v>9.853728177516723</v>
      </c>
      <c r="M27" s="332">
        <v>1894077</v>
      </c>
      <c r="N27" s="230">
        <v>192963</v>
      </c>
      <c r="O27" s="103">
        <f>+M27/N27</f>
        <v>9.815752242657918</v>
      </c>
      <c r="P27" s="345">
        <v>1</v>
      </c>
    </row>
    <row r="28" spans="1:16" ht="15">
      <c r="A28" s="66">
        <v>25</v>
      </c>
      <c r="B28" s="209" t="s">
        <v>147</v>
      </c>
      <c r="C28" s="205">
        <v>39801</v>
      </c>
      <c r="D28" s="196" t="s">
        <v>134</v>
      </c>
      <c r="E28" s="203" t="s">
        <v>148</v>
      </c>
      <c r="F28" s="204">
        <v>36</v>
      </c>
      <c r="G28" s="204">
        <v>42</v>
      </c>
      <c r="H28" s="204">
        <v>4</v>
      </c>
      <c r="I28" s="321">
        <v>116108.5</v>
      </c>
      <c r="J28" s="322">
        <v>15404</v>
      </c>
      <c r="K28" s="201">
        <f>(J28/G28)</f>
        <v>366.76190476190476</v>
      </c>
      <c r="L28" s="202">
        <f>I28/J28</f>
        <v>7.537555180472604</v>
      </c>
      <c r="M28" s="321">
        <f>295344+204961.5+145464.5+116108.5</f>
        <v>761878.5</v>
      </c>
      <c r="N28" s="322">
        <f>36142+24747+19417+15404</f>
        <v>95710</v>
      </c>
      <c r="O28" s="208">
        <f>M28/N28</f>
        <v>7.960281057360778</v>
      </c>
      <c r="P28" s="345"/>
    </row>
    <row r="29" spans="1:16" ht="15">
      <c r="A29" s="66">
        <v>26</v>
      </c>
      <c r="B29" s="49" t="s">
        <v>142</v>
      </c>
      <c r="C29" s="40">
        <v>39794</v>
      </c>
      <c r="D29" s="45" t="s">
        <v>134</v>
      </c>
      <c r="E29" s="44" t="s">
        <v>133</v>
      </c>
      <c r="F29" s="41">
        <v>100</v>
      </c>
      <c r="G29" s="41">
        <v>73</v>
      </c>
      <c r="H29" s="41">
        <v>4</v>
      </c>
      <c r="I29" s="327">
        <v>112679.5</v>
      </c>
      <c r="J29" s="334">
        <v>14968</v>
      </c>
      <c r="K29" s="140">
        <f>(J29/G29)</f>
        <v>205.04109589041096</v>
      </c>
      <c r="L29" s="141">
        <f>I29/J29</f>
        <v>7.528026456440406</v>
      </c>
      <c r="M29" s="327">
        <f>1276778.5+626123+380324+112679.5</f>
        <v>2395905</v>
      </c>
      <c r="N29" s="328">
        <f>133555+68793+41581+14968</f>
        <v>258897</v>
      </c>
      <c r="O29" s="105">
        <f>M29/N29</f>
        <v>9.254278728606357</v>
      </c>
      <c r="P29" s="345">
        <v>1</v>
      </c>
    </row>
    <row r="30" spans="1:16" ht="15">
      <c r="A30" s="66">
        <v>27</v>
      </c>
      <c r="B30" s="207" t="s">
        <v>144</v>
      </c>
      <c r="C30" s="195">
        <v>39801</v>
      </c>
      <c r="D30" s="196" t="s">
        <v>130</v>
      </c>
      <c r="E30" s="196" t="s">
        <v>122</v>
      </c>
      <c r="F30" s="197">
        <v>69</v>
      </c>
      <c r="G30" s="197">
        <v>53</v>
      </c>
      <c r="H30" s="197">
        <v>4</v>
      </c>
      <c r="I30" s="321">
        <v>112495</v>
      </c>
      <c r="J30" s="322">
        <v>12212</v>
      </c>
      <c r="K30" s="201">
        <f>J30/G30</f>
        <v>230.41509433962264</v>
      </c>
      <c r="L30" s="202">
        <f>I30/J30</f>
        <v>9.211840812315755</v>
      </c>
      <c r="M30" s="321">
        <f>820286+588484+413907+112495</f>
        <v>1935172</v>
      </c>
      <c r="N30" s="322">
        <f>83839+57678+42374+12212</f>
        <v>196103</v>
      </c>
      <c r="O30" s="208">
        <f>+M30/N30</f>
        <v>9.868140721967537</v>
      </c>
      <c r="P30" s="345">
        <v>1</v>
      </c>
    </row>
    <row r="31" spans="1:16" ht="15">
      <c r="A31" s="66">
        <v>28</v>
      </c>
      <c r="B31" s="49" t="s">
        <v>147</v>
      </c>
      <c r="C31" s="40">
        <v>39801</v>
      </c>
      <c r="D31" s="45" t="s">
        <v>134</v>
      </c>
      <c r="E31" s="44" t="s">
        <v>148</v>
      </c>
      <c r="F31" s="41">
        <v>42</v>
      </c>
      <c r="G31" s="41">
        <v>42</v>
      </c>
      <c r="H31" s="41">
        <v>5</v>
      </c>
      <c r="I31" s="327">
        <v>111972.5</v>
      </c>
      <c r="J31" s="328">
        <v>14719</v>
      </c>
      <c r="K31" s="140">
        <f>(J31/G31)</f>
        <v>350.45238095238096</v>
      </c>
      <c r="L31" s="141">
        <f>I31/J31</f>
        <v>7.607344248929954</v>
      </c>
      <c r="M31" s="327">
        <f>295344+204961.5+145464.5+116108.5+111972.5</f>
        <v>873851</v>
      </c>
      <c r="N31" s="328">
        <f>36142+24747+19417+15404+14719</f>
        <v>110429</v>
      </c>
      <c r="O31" s="105">
        <f>M31/N31</f>
        <v>7.9132383703556135</v>
      </c>
      <c r="P31" s="345"/>
    </row>
    <row r="32" spans="1:16" ht="15">
      <c r="A32" s="66">
        <v>29</v>
      </c>
      <c r="B32" s="49" t="s">
        <v>28</v>
      </c>
      <c r="C32" s="40">
        <v>39808</v>
      </c>
      <c r="D32" s="44" t="s">
        <v>132</v>
      </c>
      <c r="E32" s="44" t="s">
        <v>29</v>
      </c>
      <c r="F32" s="41">
        <v>89</v>
      </c>
      <c r="G32" s="41">
        <v>88</v>
      </c>
      <c r="H32" s="41">
        <v>2</v>
      </c>
      <c r="I32" s="301">
        <v>101994</v>
      </c>
      <c r="J32" s="138">
        <v>15166</v>
      </c>
      <c r="K32" s="136">
        <f>+J32/G32</f>
        <v>172.3409090909091</v>
      </c>
      <c r="L32" s="137">
        <f>+I32/J32</f>
        <v>6.725174732955295</v>
      </c>
      <c r="M32" s="301">
        <f>173290.5+101994</f>
        <v>275284.5</v>
      </c>
      <c r="N32" s="138">
        <f>23989+15166</f>
        <v>39155</v>
      </c>
      <c r="O32" s="104">
        <f>+M32/N32</f>
        <v>7.030634657131912</v>
      </c>
      <c r="P32" s="345">
        <v>1</v>
      </c>
    </row>
    <row r="33" spans="1:16" ht="15">
      <c r="A33" s="66">
        <v>30</v>
      </c>
      <c r="B33" s="49" t="s">
        <v>139</v>
      </c>
      <c r="C33" s="40">
        <v>39787</v>
      </c>
      <c r="D33" s="44" t="s">
        <v>132</v>
      </c>
      <c r="E33" s="44" t="s">
        <v>140</v>
      </c>
      <c r="F33" s="41">
        <v>241</v>
      </c>
      <c r="G33" s="41">
        <v>37</v>
      </c>
      <c r="H33" s="41">
        <v>7</v>
      </c>
      <c r="I33" s="301">
        <v>100229.5</v>
      </c>
      <c r="J33" s="138">
        <v>17736</v>
      </c>
      <c r="K33" s="140">
        <f>(J33/G33)</f>
        <v>479.35135135135135</v>
      </c>
      <c r="L33" s="141">
        <f>I33/J33</f>
        <v>5.651189670726207</v>
      </c>
      <c r="M33" s="301">
        <f>9280968+4694050.5+1992628+1117778+528440.5+225948.5+100229.5</f>
        <v>17940043</v>
      </c>
      <c r="N33" s="138">
        <f>1147876+614752+261380+141495+73035+33259+17736</f>
        <v>2289533</v>
      </c>
      <c r="O33" s="105">
        <f>M33/N33</f>
        <v>7.835677843472883</v>
      </c>
      <c r="P33" s="345"/>
    </row>
    <row r="34" spans="1:16" ht="15">
      <c r="A34" s="66">
        <v>31</v>
      </c>
      <c r="B34" s="49" t="s">
        <v>445</v>
      </c>
      <c r="C34" s="236">
        <v>39808</v>
      </c>
      <c r="D34" s="235" t="s">
        <v>131</v>
      </c>
      <c r="E34" s="235" t="s">
        <v>111</v>
      </c>
      <c r="F34" s="237">
        <v>112</v>
      </c>
      <c r="G34" s="237">
        <v>45</v>
      </c>
      <c r="H34" s="237">
        <v>6</v>
      </c>
      <c r="I34" s="331">
        <v>94031</v>
      </c>
      <c r="J34" s="238">
        <v>10781</v>
      </c>
      <c r="K34" s="238">
        <f>J34/G34</f>
        <v>239.57777777777778</v>
      </c>
      <c r="L34" s="239">
        <f>I34/J34</f>
        <v>8.72191818940729</v>
      </c>
      <c r="M34" s="331">
        <v>1995783</v>
      </c>
      <c r="N34" s="238">
        <v>204725</v>
      </c>
      <c r="O34" s="241">
        <f>+M34/N34</f>
        <v>9.74860422518012</v>
      </c>
      <c r="P34" s="345">
        <v>1</v>
      </c>
    </row>
    <row r="35" spans="1:16" ht="15">
      <c r="A35" s="66">
        <v>32</v>
      </c>
      <c r="B35" s="210" t="s">
        <v>27</v>
      </c>
      <c r="C35" s="205">
        <v>39808</v>
      </c>
      <c r="D35" s="203" t="s">
        <v>131</v>
      </c>
      <c r="E35" s="203" t="s">
        <v>124</v>
      </c>
      <c r="F35" s="204">
        <v>34</v>
      </c>
      <c r="G35" s="204">
        <v>34</v>
      </c>
      <c r="H35" s="204">
        <v>3</v>
      </c>
      <c r="I35" s="330">
        <v>91888</v>
      </c>
      <c r="J35" s="200">
        <v>10997</v>
      </c>
      <c r="K35" s="200">
        <f>J35/G35</f>
        <v>323.44117647058823</v>
      </c>
      <c r="L35" s="206">
        <f>+I35/J35</f>
        <v>8.355733381831408</v>
      </c>
      <c r="M35" s="330">
        <v>742801</v>
      </c>
      <c r="N35" s="200">
        <v>79742</v>
      </c>
      <c r="O35" s="211">
        <f>+M35/N35</f>
        <v>9.315053547691305</v>
      </c>
      <c r="P35" s="345">
        <v>1</v>
      </c>
    </row>
    <row r="36" spans="1:16" ht="15">
      <c r="A36" s="66">
        <v>33</v>
      </c>
      <c r="B36" s="275" t="s">
        <v>58</v>
      </c>
      <c r="C36" s="39">
        <v>39745</v>
      </c>
      <c r="D36" s="44" t="s">
        <v>4</v>
      </c>
      <c r="E36" s="44" t="s">
        <v>59</v>
      </c>
      <c r="F36" s="41">
        <v>72</v>
      </c>
      <c r="G36" s="41">
        <v>67</v>
      </c>
      <c r="H36" s="41">
        <v>29</v>
      </c>
      <c r="I36" s="332">
        <v>84899</v>
      </c>
      <c r="J36" s="138">
        <v>9703</v>
      </c>
      <c r="K36" s="138">
        <f>+J36/G36</f>
        <v>144.82089552238807</v>
      </c>
      <c r="L36" s="273">
        <f>+I36/J36</f>
        <v>8.749768112954756</v>
      </c>
      <c r="M36" s="332">
        <v>1592974</v>
      </c>
      <c r="N36" s="138">
        <v>178588</v>
      </c>
      <c r="O36" s="274">
        <f>+M36/N36</f>
        <v>8.9198266400878</v>
      </c>
      <c r="P36" s="318">
        <v>1</v>
      </c>
    </row>
    <row r="37" spans="1:16" ht="15">
      <c r="A37" s="66">
        <v>34</v>
      </c>
      <c r="B37" s="48" t="s">
        <v>23</v>
      </c>
      <c r="C37" s="39">
        <v>39808</v>
      </c>
      <c r="D37" s="42" t="s">
        <v>136</v>
      </c>
      <c r="E37" s="215" t="s">
        <v>24</v>
      </c>
      <c r="F37" s="54">
        <v>198</v>
      </c>
      <c r="G37" s="54">
        <v>117</v>
      </c>
      <c r="H37" s="54">
        <v>4</v>
      </c>
      <c r="I37" s="329">
        <v>64908</v>
      </c>
      <c r="J37" s="140">
        <v>10700</v>
      </c>
      <c r="K37" s="136">
        <f>IF(I37&lt;&gt;0,J37/G37,"")</f>
        <v>91.45299145299145</v>
      </c>
      <c r="L37" s="137">
        <f>IF(I37&lt;&gt;0,I37/J37,"")</f>
        <v>6.066168224299066</v>
      </c>
      <c r="M37" s="329">
        <f>909072+532572.5+214521.5+64908</f>
        <v>1721074</v>
      </c>
      <c r="N37" s="138">
        <f>112486+67146+29772+10700</f>
        <v>220104</v>
      </c>
      <c r="O37" s="104">
        <f>IF(M37&lt;&gt;0,M37/N37,"")</f>
        <v>7.8193672082288375</v>
      </c>
      <c r="P37" s="318"/>
    </row>
    <row r="38" spans="1:16" ht="15">
      <c r="A38" s="66">
        <v>35</v>
      </c>
      <c r="B38" s="240" t="s">
        <v>64</v>
      </c>
      <c r="C38" s="236">
        <v>39759</v>
      </c>
      <c r="D38" s="235" t="s">
        <v>65</v>
      </c>
      <c r="E38" s="235" t="s">
        <v>66</v>
      </c>
      <c r="F38" s="237">
        <v>56</v>
      </c>
      <c r="G38" s="237">
        <v>56</v>
      </c>
      <c r="H38" s="237">
        <v>15</v>
      </c>
      <c r="I38" s="331">
        <v>63097</v>
      </c>
      <c r="J38" s="238">
        <v>10541</v>
      </c>
      <c r="K38" s="238">
        <f>J38/G38</f>
        <v>188.23214285714286</v>
      </c>
      <c r="L38" s="239">
        <f>I38/J38</f>
        <v>5.985864718717389</v>
      </c>
      <c r="M38" s="331">
        <v>23277790.5</v>
      </c>
      <c r="N38" s="238">
        <v>2763898</v>
      </c>
      <c r="O38" s="241">
        <f>+M38/N38</f>
        <v>8.422087392515932</v>
      </c>
      <c r="P38" s="318"/>
    </row>
    <row r="39" spans="1:16" ht="15">
      <c r="A39" s="66">
        <v>36</v>
      </c>
      <c r="B39" s="233" t="s">
        <v>139</v>
      </c>
      <c r="C39" s="40">
        <v>39787</v>
      </c>
      <c r="D39" s="226" t="s">
        <v>132</v>
      </c>
      <c r="E39" s="226" t="s">
        <v>140</v>
      </c>
      <c r="F39" s="227">
        <v>25</v>
      </c>
      <c r="G39" s="227">
        <v>25</v>
      </c>
      <c r="H39" s="227">
        <v>8</v>
      </c>
      <c r="I39" s="332">
        <v>60712.5</v>
      </c>
      <c r="J39" s="230">
        <v>11735</v>
      </c>
      <c r="K39" s="231">
        <f>+J39/G39</f>
        <v>469.4</v>
      </c>
      <c r="L39" s="137">
        <f>+I39/J39</f>
        <v>5.173625905411163</v>
      </c>
      <c r="M39" s="332">
        <f>9280968+4694050.5+1992628+1117778+528440.5+225948.5+100229.5+60712.5</f>
        <v>18000755.5</v>
      </c>
      <c r="N39" s="230">
        <f>1147876+614752+261380+141495+73035+33259+17736+11735</f>
        <v>2301268</v>
      </c>
      <c r="O39" s="104">
        <f>+M39/N39</f>
        <v>7.822103075348026</v>
      </c>
      <c r="P39" s="318"/>
    </row>
    <row r="40" spans="1:16" ht="15">
      <c r="A40" s="66">
        <v>37</v>
      </c>
      <c r="B40" s="209" t="s">
        <v>142</v>
      </c>
      <c r="C40" s="205">
        <v>39794</v>
      </c>
      <c r="D40" s="196" t="s">
        <v>134</v>
      </c>
      <c r="E40" s="203" t="s">
        <v>133</v>
      </c>
      <c r="F40" s="204">
        <v>100</v>
      </c>
      <c r="G40" s="204">
        <v>39</v>
      </c>
      <c r="H40" s="204">
        <v>5</v>
      </c>
      <c r="I40" s="321">
        <v>54533</v>
      </c>
      <c r="J40" s="322">
        <v>8873</v>
      </c>
      <c r="K40" s="201">
        <f>(J40/G40)</f>
        <v>227.51282051282053</v>
      </c>
      <c r="L40" s="202">
        <f>I40/J40</f>
        <v>6.1459483827341375</v>
      </c>
      <c r="M40" s="321">
        <f>1276778.5+626123+380324+112679.5+54533</f>
        <v>2450438</v>
      </c>
      <c r="N40" s="322">
        <f>133555+68793+41581+14968+8873</f>
        <v>267770</v>
      </c>
      <c r="O40" s="208">
        <f>M40/N40</f>
        <v>9.151279082794936</v>
      </c>
      <c r="P40" s="318"/>
    </row>
    <row r="41" spans="1:16" ht="15">
      <c r="A41" s="66">
        <v>38</v>
      </c>
      <c r="B41" s="209" t="s">
        <v>28</v>
      </c>
      <c r="C41" s="205">
        <v>39808</v>
      </c>
      <c r="D41" s="203" t="s">
        <v>132</v>
      </c>
      <c r="E41" s="203" t="s">
        <v>29</v>
      </c>
      <c r="F41" s="204">
        <v>89</v>
      </c>
      <c r="G41" s="204">
        <v>82</v>
      </c>
      <c r="H41" s="204">
        <v>3</v>
      </c>
      <c r="I41" s="330">
        <v>52183.5</v>
      </c>
      <c r="J41" s="200">
        <v>8100</v>
      </c>
      <c r="K41" s="201">
        <f>J41/G41</f>
        <v>98.78048780487805</v>
      </c>
      <c r="L41" s="202">
        <f>I41/J41</f>
        <v>6.442407407407408</v>
      </c>
      <c r="M41" s="330">
        <f>173290.5+101994+52183.5</f>
        <v>327468</v>
      </c>
      <c r="N41" s="200">
        <f>23989+15166+8100</f>
        <v>47255</v>
      </c>
      <c r="O41" s="208">
        <f>+M41/N41</f>
        <v>6.929806369696329</v>
      </c>
      <c r="P41" s="318"/>
    </row>
    <row r="42" spans="1:16" ht="15">
      <c r="A42" s="66">
        <v>39</v>
      </c>
      <c r="B42" s="233" t="s">
        <v>147</v>
      </c>
      <c r="C42" s="40">
        <v>39801</v>
      </c>
      <c r="D42" s="126" t="s">
        <v>134</v>
      </c>
      <c r="E42" s="226" t="s">
        <v>148</v>
      </c>
      <c r="F42" s="227">
        <v>42</v>
      </c>
      <c r="G42" s="227">
        <v>35</v>
      </c>
      <c r="H42" s="227">
        <v>6</v>
      </c>
      <c r="I42" s="325">
        <v>49984</v>
      </c>
      <c r="J42" s="326">
        <v>7567</v>
      </c>
      <c r="K42" s="232">
        <f>(J42/G42)</f>
        <v>216.2</v>
      </c>
      <c r="L42" s="141">
        <f>I42/J42</f>
        <v>6.605523985727501</v>
      </c>
      <c r="M42" s="325">
        <f>295344+204961.5+145464.5+116108.5+111972.5+49984</f>
        <v>923835</v>
      </c>
      <c r="N42" s="326">
        <f>36142+24747+19417+15404+14719+7567</f>
        <v>117996</v>
      </c>
      <c r="O42" s="105">
        <f>M42/N42</f>
        <v>7.82937557205329</v>
      </c>
      <c r="P42" s="318">
        <v>1</v>
      </c>
    </row>
    <row r="43" spans="1:16" ht="15">
      <c r="A43" s="66">
        <v>40</v>
      </c>
      <c r="B43" s="48" t="s">
        <v>145</v>
      </c>
      <c r="C43" s="39">
        <v>39801</v>
      </c>
      <c r="D43" s="42" t="s">
        <v>136</v>
      </c>
      <c r="E43" s="42" t="s">
        <v>146</v>
      </c>
      <c r="F43" s="54">
        <v>84</v>
      </c>
      <c r="G43" s="54">
        <v>48</v>
      </c>
      <c r="H43" s="54">
        <v>3</v>
      </c>
      <c r="I43" s="329">
        <v>43813</v>
      </c>
      <c r="J43" s="140">
        <v>6346</v>
      </c>
      <c r="K43" s="136">
        <f>IF(I43&lt;&gt;0,J43/G43,"")</f>
        <v>132.20833333333334</v>
      </c>
      <c r="L43" s="137">
        <f>IF(I43&lt;&gt;0,I43/J43,"")</f>
        <v>6.90403403718878</v>
      </c>
      <c r="M43" s="329">
        <f>369313.5+145108.5+43813</f>
        <v>558235</v>
      </c>
      <c r="N43" s="138">
        <f>41017+16460+6346</f>
        <v>63823</v>
      </c>
      <c r="O43" s="104">
        <f>IF(M43&lt;&gt;0,M43/N43,"")</f>
        <v>8.74661172304655</v>
      </c>
      <c r="P43" s="318">
        <v>1</v>
      </c>
    </row>
    <row r="44" spans="1:16" ht="15">
      <c r="A44" s="66">
        <v>41</v>
      </c>
      <c r="B44" s="48" t="s">
        <v>144</v>
      </c>
      <c r="C44" s="39">
        <v>39801</v>
      </c>
      <c r="D44" s="43" t="s">
        <v>130</v>
      </c>
      <c r="E44" s="42" t="s">
        <v>122</v>
      </c>
      <c r="F44" s="54">
        <v>69</v>
      </c>
      <c r="G44" s="54">
        <v>26</v>
      </c>
      <c r="H44" s="54">
        <v>5</v>
      </c>
      <c r="I44" s="327">
        <f>41441-111</f>
        <v>41330</v>
      </c>
      <c r="J44" s="328">
        <f>5722-11</f>
        <v>5711</v>
      </c>
      <c r="K44" s="140">
        <f>J44/G44</f>
        <v>219.65384615384616</v>
      </c>
      <c r="L44" s="141">
        <f>I44/J44</f>
        <v>7.236911223953774</v>
      </c>
      <c r="M44" s="327">
        <f>820286+588484+413907+112495+41441-111</f>
        <v>1976502</v>
      </c>
      <c r="N44" s="328">
        <f>83839+57678+42374+12212+5722-11</f>
        <v>201814</v>
      </c>
      <c r="O44" s="105">
        <f>+M44/N44</f>
        <v>9.79368131051364</v>
      </c>
      <c r="P44" s="255">
        <v>1</v>
      </c>
    </row>
    <row r="45" spans="1:16" ht="15">
      <c r="A45" s="66">
        <v>42</v>
      </c>
      <c r="B45" s="240" t="s">
        <v>64</v>
      </c>
      <c r="C45" s="236">
        <v>39759</v>
      </c>
      <c r="D45" s="235" t="s">
        <v>65</v>
      </c>
      <c r="E45" s="235" t="s">
        <v>66</v>
      </c>
      <c r="F45" s="237">
        <v>41</v>
      </c>
      <c r="G45" s="237">
        <v>41</v>
      </c>
      <c r="H45" s="237">
        <v>16</v>
      </c>
      <c r="I45" s="331">
        <v>38577</v>
      </c>
      <c r="J45" s="238">
        <v>6435</v>
      </c>
      <c r="K45" s="238">
        <f>J45/G45</f>
        <v>156.9512195121951</v>
      </c>
      <c r="L45" s="239">
        <f>I45/J45</f>
        <v>5.994871794871795</v>
      </c>
      <c r="M45" s="331">
        <v>23314058</v>
      </c>
      <c r="N45" s="238">
        <v>2770333</v>
      </c>
      <c r="O45" s="241">
        <f>+M45/N45</f>
        <v>8.415615740057243</v>
      </c>
      <c r="P45" s="255">
        <v>1</v>
      </c>
    </row>
    <row r="46" spans="1:16" ht="15">
      <c r="A46" s="66">
        <v>43</v>
      </c>
      <c r="B46" s="49" t="s">
        <v>142</v>
      </c>
      <c r="C46" s="40">
        <v>39794</v>
      </c>
      <c r="D46" s="45" t="s">
        <v>134</v>
      </c>
      <c r="E46" s="44" t="s">
        <v>133</v>
      </c>
      <c r="F46" s="41">
        <v>100</v>
      </c>
      <c r="G46" s="41">
        <v>25</v>
      </c>
      <c r="H46" s="41">
        <v>6</v>
      </c>
      <c r="I46" s="327">
        <v>36086</v>
      </c>
      <c r="J46" s="328">
        <v>6454</v>
      </c>
      <c r="K46" s="140">
        <f>(J46/G46)</f>
        <v>258.16</v>
      </c>
      <c r="L46" s="141">
        <f>I46/J46</f>
        <v>5.591261233343663</v>
      </c>
      <c r="M46" s="327">
        <f>1276778.5+626123+380324+112679.5+54533+36086</f>
        <v>2486524</v>
      </c>
      <c r="N46" s="328">
        <f>133555+68793+41581+14968+8873+6454</f>
        <v>274224</v>
      </c>
      <c r="O46" s="105">
        <f>M46/N46</f>
        <v>9.06749226909388</v>
      </c>
      <c r="P46" s="255">
        <v>1</v>
      </c>
    </row>
    <row r="47" spans="1:16" ht="15">
      <c r="A47" s="66">
        <v>44</v>
      </c>
      <c r="B47" s="233" t="s">
        <v>26</v>
      </c>
      <c r="C47" s="40">
        <v>39808</v>
      </c>
      <c r="D47" s="126" t="s">
        <v>134</v>
      </c>
      <c r="E47" s="226" t="s">
        <v>133</v>
      </c>
      <c r="F47" s="227">
        <v>75</v>
      </c>
      <c r="G47" s="227">
        <v>29</v>
      </c>
      <c r="H47" s="227">
        <v>5</v>
      </c>
      <c r="I47" s="325">
        <v>34373.5</v>
      </c>
      <c r="J47" s="326">
        <v>4655</v>
      </c>
      <c r="K47" s="232">
        <f>(J47/G47)</f>
        <v>160.51724137931035</v>
      </c>
      <c r="L47" s="141">
        <f>I47/J47</f>
        <v>7.38421052631579</v>
      </c>
      <c r="M47" s="325">
        <f>681566+578530+317284.5+141025.5+34373.5</f>
        <v>1752779.5</v>
      </c>
      <c r="N47" s="326">
        <f>64102+57106+32401+16644+4655</f>
        <v>174908</v>
      </c>
      <c r="O47" s="105">
        <f>M47/N47</f>
        <v>10.021151119445651</v>
      </c>
      <c r="P47" s="255">
        <v>1</v>
      </c>
    </row>
    <row r="48" spans="1:16" ht="15">
      <c r="A48" s="66">
        <v>45</v>
      </c>
      <c r="B48" s="49" t="s">
        <v>72</v>
      </c>
      <c r="C48" s="40">
        <v>39773</v>
      </c>
      <c r="D48" s="65" t="s">
        <v>131</v>
      </c>
      <c r="E48" s="44" t="s">
        <v>126</v>
      </c>
      <c r="F48" s="41">
        <v>204</v>
      </c>
      <c r="G48" s="41">
        <v>30</v>
      </c>
      <c r="H48" s="41">
        <v>7</v>
      </c>
      <c r="I48" s="301">
        <v>33453</v>
      </c>
      <c r="J48" s="138">
        <v>5727</v>
      </c>
      <c r="K48" s="138">
        <f>J48/G48</f>
        <v>190.9</v>
      </c>
      <c r="L48" s="139">
        <f>+I48/J48</f>
        <v>5.841278156102671</v>
      </c>
      <c r="M48" s="301">
        <v>11399323</v>
      </c>
      <c r="N48" s="138">
        <v>1407230</v>
      </c>
      <c r="O48" s="103">
        <f>+M48/N48</f>
        <v>8.100540068077002</v>
      </c>
      <c r="P48" s="255">
        <v>1</v>
      </c>
    </row>
    <row r="49" spans="1:16" ht="15">
      <c r="A49" s="66">
        <v>46</v>
      </c>
      <c r="B49" s="275" t="s">
        <v>58</v>
      </c>
      <c r="C49" s="39">
        <v>39745</v>
      </c>
      <c r="D49" s="44" t="s">
        <v>4</v>
      </c>
      <c r="E49" s="44" t="s">
        <v>59</v>
      </c>
      <c r="F49" s="41">
        <v>72</v>
      </c>
      <c r="G49" s="41">
        <v>37</v>
      </c>
      <c r="H49" s="41">
        <v>30</v>
      </c>
      <c r="I49" s="332">
        <v>32997</v>
      </c>
      <c r="J49" s="138">
        <v>4561</v>
      </c>
      <c r="K49" s="138">
        <f>+J49/G49</f>
        <v>123.27027027027027</v>
      </c>
      <c r="L49" s="273">
        <f>+I49/J49</f>
        <v>7.234597675948257</v>
      </c>
      <c r="M49" s="332">
        <v>1625970</v>
      </c>
      <c r="N49" s="138">
        <v>183149</v>
      </c>
      <c r="O49" s="274">
        <f>+M49/N49</f>
        <v>8.877853550933938</v>
      </c>
      <c r="P49" s="297"/>
    </row>
    <row r="50" spans="1:16" ht="15">
      <c r="A50" s="66">
        <v>47</v>
      </c>
      <c r="B50" s="240" t="s">
        <v>25</v>
      </c>
      <c r="C50" s="236">
        <v>39808</v>
      </c>
      <c r="D50" s="235" t="s">
        <v>131</v>
      </c>
      <c r="E50" s="235" t="s">
        <v>111</v>
      </c>
      <c r="F50" s="237">
        <v>112</v>
      </c>
      <c r="G50" s="237">
        <v>31</v>
      </c>
      <c r="H50" s="237">
        <v>7</v>
      </c>
      <c r="I50" s="331">
        <v>32857</v>
      </c>
      <c r="J50" s="238">
        <v>3082</v>
      </c>
      <c r="K50" s="238">
        <f>J50/G50</f>
        <v>99.41935483870968</v>
      </c>
      <c r="L50" s="239">
        <f>I50/J50</f>
        <v>10.660934458144062</v>
      </c>
      <c r="M50" s="331">
        <v>2028640</v>
      </c>
      <c r="N50" s="238">
        <v>207807</v>
      </c>
      <c r="O50" s="241">
        <f>+M50/N50</f>
        <v>9.762135058010557</v>
      </c>
      <c r="P50" s="297"/>
    </row>
    <row r="51" spans="1:16" ht="15">
      <c r="A51" s="66">
        <v>48</v>
      </c>
      <c r="B51" s="240" t="s">
        <v>147</v>
      </c>
      <c r="C51" s="236">
        <v>39801</v>
      </c>
      <c r="D51" s="235" t="s">
        <v>134</v>
      </c>
      <c r="E51" s="235" t="s">
        <v>148</v>
      </c>
      <c r="F51" s="237">
        <v>42</v>
      </c>
      <c r="G51" s="237">
        <v>28</v>
      </c>
      <c r="H51" s="237">
        <v>8</v>
      </c>
      <c r="I51" s="331">
        <v>32042</v>
      </c>
      <c r="J51" s="238">
        <v>5289</v>
      </c>
      <c r="K51" s="238">
        <f>(J51/G51)</f>
        <v>188.89285714285714</v>
      </c>
      <c r="L51" s="239">
        <f>I51/J51</f>
        <v>6.0582340707128</v>
      </c>
      <c r="M51" s="331">
        <f>295344+204961.5+145464.5+116108.5+111972.5+49984+26327+32042</f>
        <v>982204</v>
      </c>
      <c r="N51" s="238">
        <f>36142+24747+19417+15404+14719+7567+3314+5289</f>
        <v>126599</v>
      </c>
      <c r="O51" s="241">
        <f>M51/N51</f>
        <v>7.758386717114669</v>
      </c>
      <c r="P51" s="297">
        <v>1</v>
      </c>
    </row>
    <row r="52" spans="1:16" ht="15">
      <c r="A52" s="66">
        <v>49</v>
      </c>
      <c r="B52" s="207" t="s">
        <v>145</v>
      </c>
      <c r="C52" s="195">
        <v>39801</v>
      </c>
      <c r="D52" s="196" t="s">
        <v>136</v>
      </c>
      <c r="E52" s="196" t="s">
        <v>146</v>
      </c>
      <c r="F52" s="197">
        <v>84</v>
      </c>
      <c r="G52" s="197">
        <v>38</v>
      </c>
      <c r="H52" s="197">
        <v>4</v>
      </c>
      <c r="I52" s="333">
        <v>31258</v>
      </c>
      <c r="J52" s="201">
        <v>5364</v>
      </c>
      <c r="K52" s="198">
        <f>IF(I52&lt;&gt;0,J52/G52,"")</f>
        <v>141.1578947368421</v>
      </c>
      <c r="L52" s="199">
        <f>IF(I52&lt;&gt;0,I52/J52,"")</f>
        <v>5.827367636092468</v>
      </c>
      <c r="M52" s="333">
        <f>369313.5+145108.5+43813+31258</f>
        <v>589493</v>
      </c>
      <c r="N52" s="200">
        <f>41017+16460+6346+5364</f>
        <v>69187</v>
      </c>
      <c r="O52" s="212">
        <f>IF(M52&lt;&gt;0,M52/N52,"")</f>
        <v>8.52028560278665</v>
      </c>
      <c r="P52" s="297"/>
    </row>
    <row r="53" spans="1:16" ht="15">
      <c r="A53" s="66">
        <v>50</v>
      </c>
      <c r="B53" s="240" t="s">
        <v>147</v>
      </c>
      <c r="C53" s="236">
        <v>39801</v>
      </c>
      <c r="D53" s="235" t="s">
        <v>134</v>
      </c>
      <c r="E53" s="235" t="s">
        <v>148</v>
      </c>
      <c r="F53" s="237">
        <v>42</v>
      </c>
      <c r="G53" s="237">
        <v>20</v>
      </c>
      <c r="H53" s="237">
        <v>7</v>
      </c>
      <c r="I53" s="331">
        <v>26327</v>
      </c>
      <c r="J53" s="238">
        <v>3314</v>
      </c>
      <c r="K53" s="238">
        <f>(J53/G53)</f>
        <v>165.7</v>
      </c>
      <c r="L53" s="239">
        <f>I53/J53</f>
        <v>7.944176222088111</v>
      </c>
      <c r="M53" s="331">
        <f>295344+204961.5+145464.5+116108.5+111972.5+49984+26327</f>
        <v>950162</v>
      </c>
      <c r="N53" s="238">
        <f>36142+24747+19417+15404+14719+7567+3314</f>
        <v>121310</v>
      </c>
      <c r="O53" s="241">
        <f>+M53/N53</f>
        <v>7.832511746764488</v>
      </c>
      <c r="P53" s="297">
        <v>1</v>
      </c>
    </row>
    <row r="54" spans="1:16" ht="15">
      <c r="A54" s="66">
        <v>51</v>
      </c>
      <c r="B54" s="49" t="s">
        <v>44</v>
      </c>
      <c r="C54" s="40">
        <v>39780</v>
      </c>
      <c r="D54" s="65" t="s">
        <v>131</v>
      </c>
      <c r="E54" s="44" t="s">
        <v>127</v>
      </c>
      <c r="F54" s="41">
        <v>121</v>
      </c>
      <c r="G54" s="41">
        <v>34</v>
      </c>
      <c r="H54" s="41">
        <v>6</v>
      </c>
      <c r="I54" s="301">
        <v>24200</v>
      </c>
      <c r="J54" s="138">
        <v>4086</v>
      </c>
      <c r="K54" s="138">
        <f>J54/G54</f>
        <v>120.17647058823529</v>
      </c>
      <c r="L54" s="139">
        <f>+I54/J54</f>
        <v>5.922662750856584</v>
      </c>
      <c r="M54" s="301">
        <v>3379638</v>
      </c>
      <c r="N54" s="138">
        <v>389905</v>
      </c>
      <c r="O54" s="103">
        <f>+M54/N54</f>
        <v>8.667849860863544</v>
      </c>
      <c r="P54" s="297">
        <v>1</v>
      </c>
    </row>
    <row r="55" spans="1:16" ht="15">
      <c r="A55" s="66">
        <v>52</v>
      </c>
      <c r="B55" s="233" t="s">
        <v>139</v>
      </c>
      <c r="C55" s="236">
        <v>39787</v>
      </c>
      <c r="D55" s="235" t="s">
        <v>132</v>
      </c>
      <c r="E55" s="235" t="s">
        <v>140</v>
      </c>
      <c r="F55" s="237">
        <v>15</v>
      </c>
      <c r="G55" s="237">
        <v>15</v>
      </c>
      <c r="H55" s="237">
        <v>9</v>
      </c>
      <c r="I55" s="331">
        <v>23747.5</v>
      </c>
      <c r="J55" s="238">
        <v>4194</v>
      </c>
      <c r="K55" s="238">
        <f>J55/G55</f>
        <v>279.6</v>
      </c>
      <c r="L55" s="239">
        <f>I55/J55</f>
        <v>5.662255603242728</v>
      </c>
      <c r="M55" s="331">
        <f>9280968+4694050.5+1992628+1117778+528440.5+225948.5+100229.5+60712.5+23747.5</f>
        <v>18024503</v>
      </c>
      <c r="N55" s="238">
        <f>1147876+614752+261380+141495+73035+33259+17736+11735+4194</f>
        <v>2305462</v>
      </c>
      <c r="O55" s="241">
        <f>+M55/N55</f>
        <v>7.818173971204036</v>
      </c>
      <c r="P55" s="297">
        <v>1</v>
      </c>
    </row>
    <row r="56" spans="1:16" ht="15">
      <c r="A56" s="66">
        <v>53</v>
      </c>
      <c r="B56" s="49" t="s">
        <v>72</v>
      </c>
      <c r="C56" s="39">
        <v>39773</v>
      </c>
      <c r="D56" s="44" t="s">
        <v>131</v>
      </c>
      <c r="E56" s="44" t="s">
        <v>449</v>
      </c>
      <c r="F56" s="41">
        <v>204</v>
      </c>
      <c r="G56" s="41">
        <v>50</v>
      </c>
      <c r="H56" s="41">
        <v>35</v>
      </c>
      <c r="I56" s="301">
        <v>23389</v>
      </c>
      <c r="J56" s="138">
        <v>3302</v>
      </c>
      <c r="K56" s="138">
        <f>J56/G56</f>
        <v>66.04</v>
      </c>
      <c r="L56" s="139">
        <f>I56/J56</f>
        <v>7.08328285887341</v>
      </c>
      <c r="M56" s="301">
        <v>11467608</v>
      </c>
      <c r="N56" s="138">
        <v>1421658</v>
      </c>
      <c r="O56" s="103">
        <f>+M56/N56</f>
        <v>8.066361952030658</v>
      </c>
      <c r="P56" s="297">
        <v>1</v>
      </c>
    </row>
    <row r="57" spans="1:16" ht="15">
      <c r="A57" s="66">
        <v>54</v>
      </c>
      <c r="B57" s="220" t="s">
        <v>14</v>
      </c>
      <c r="C57" s="216">
        <v>39808</v>
      </c>
      <c r="D57" s="65" t="s">
        <v>131</v>
      </c>
      <c r="E57" s="217" t="s">
        <v>124</v>
      </c>
      <c r="F57" s="41">
        <v>34</v>
      </c>
      <c r="G57" s="41">
        <v>20</v>
      </c>
      <c r="H57" s="41">
        <v>4</v>
      </c>
      <c r="I57" s="301">
        <v>22932</v>
      </c>
      <c r="J57" s="138">
        <v>3741</v>
      </c>
      <c r="K57" s="138">
        <f>J57/G57</f>
        <v>187.05</v>
      </c>
      <c r="L57" s="139">
        <f>+I57/J57</f>
        <v>6.129911788291901</v>
      </c>
      <c r="M57" s="301">
        <v>765733</v>
      </c>
      <c r="N57" s="138">
        <v>83483</v>
      </c>
      <c r="O57" s="103">
        <f>+M57/N57</f>
        <v>9.172322508774242</v>
      </c>
      <c r="P57" s="297"/>
    </row>
    <row r="58" spans="1:16" ht="15">
      <c r="A58" s="66">
        <v>55</v>
      </c>
      <c r="B58" s="240" t="s">
        <v>147</v>
      </c>
      <c r="C58" s="236">
        <v>39801</v>
      </c>
      <c r="D58" s="235" t="s">
        <v>134</v>
      </c>
      <c r="E58" s="235" t="s">
        <v>148</v>
      </c>
      <c r="F58" s="237">
        <v>42</v>
      </c>
      <c r="G58" s="237">
        <v>12</v>
      </c>
      <c r="H58" s="237">
        <v>10</v>
      </c>
      <c r="I58" s="331">
        <v>20005</v>
      </c>
      <c r="J58" s="238">
        <v>3275</v>
      </c>
      <c r="K58" s="238">
        <f>(J58/G58)</f>
        <v>272.9166666666667</v>
      </c>
      <c r="L58" s="239">
        <f>I58/J58</f>
        <v>6.108396946564885</v>
      </c>
      <c r="M58" s="331">
        <f>295344+204961.5+145464.5+116108.5+111972.5+49984+26327+32042+18579+20005</f>
        <v>1020788</v>
      </c>
      <c r="N58" s="238">
        <f>36142+24747+19417+15404+14719+7567+3314+5289+3173+3275</f>
        <v>133047</v>
      </c>
      <c r="O58" s="241">
        <f>M58/N58</f>
        <v>7.672386449901163</v>
      </c>
      <c r="P58" s="297">
        <v>1</v>
      </c>
    </row>
    <row r="59" spans="1:16" ht="15">
      <c r="A59" s="66">
        <v>56</v>
      </c>
      <c r="B59" s="49" t="s">
        <v>70</v>
      </c>
      <c r="C59" s="40">
        <v>39766</v>
      </c>
      <c r="D59" s="44" t="s">
        <v>132</v>
      </c>
      <c r="E59" s="44" t="s">
        <v>71</v>
      </c>
      <c r="F59" s="41">
        <v>24</v>
      </c>
      <c r="G59" s="41">
        <v>5</v>
      </c>
      <c r="H59" s="41">
        <v>8</v>
      </c>
      <c r="I59" s="301">
        <v>19699.5</v>
      </c>
      <c r="J59" s="138">
        <v>2958</v>
      </c>
      <c r="K59" s="136">
        <f>+J59/G59</f>
        <v>591.6</v>
      </c>
      <c r="L59" s="137">
        <f>+I59/J59</f>
        <v>6.65973630831643</v>
      </c>
      <c r="M59" s="301">
        <f>191668+16358.5+8305+0.5+19699.5</f>
        <v>236031.5</v>
      </c>
      <c r="N59" s="138">
        <f>10324+8249+7871+7121+4755+3362+1751+2958</f>
        <v>46391</v>
      </c>
      <c r="O59" s="104">
        <f>+M59/N59</f>
        <v>5.087872647711841</v>
      </c>
      <c r="P59" s="297">
        <v>1</v>
      </c>
    </row>
    <row r="60" spans="1:16" ht="15">
      <c r="A60" s="66">
        <v>57</v>
      </c>
      <c r="B60" s="210" t="s">
        <v>44</v>
      </c>
      <c r="C60" s="205">
        <v>39780</v>
      </c>
      <c r="D60" s="203" t="s">
        <v>131</v>
      </c>
      <c r="E60" s="203" t="s">
        <v>127</v>
      </c>
      <c r="F60" s="204">
        <v>121</v>
      </c>
      <c r="G60" s="204">
        <v>32</v>
      </c>
      <c r="H60" s="204">
        <v>7</v>
      </c>
      <c r="I60" s="330">
        <v>19269</v>
      </c>
      <c r="J60" s="200">
        <v>3470</v>
      </c>
      <c r="K60" s="200">
        <f>J60/G60</f>
        <v>108.4375</v>
      </c>
      <c r="L60" s="206">
        <f>+I60/J60</f>
        <v>5.553025936599424</v>
      </c>
      <c r="M60" s="330">
        <v>3399520</v>
      </c>
      <c r="N60" s="200">
        <v>393715</v>
      </c>
      <c r="O60" s="211">
        <f>+M60/N60</f>
        <v>8.634469095665647</v>
      </c>
      <c r="P60" s="297"/>
    </row>
    <row r="61" spans="1:16" ht="15">
      <c r="A61" s="66">
        <v>58</v>
      </c>
      <c r="B61" s="240" t="s">
        <v>147</v>
      </c>
      <c r="C61" s="236">
        <v>39801</v>
      </c>
      <c r="D61" s="235" t="s">
        <v>134</v>
      </c>
      <c r="E61" s="235" t="s">
        <v>148</v>
      </c>
      <c r="F61" s="237">
        <v>42</v>
      </c>
      <c r="G61" s="237">
        <v>16</v>
      </c>
      <c r="H61" s="237">
        <v>11</v>
      </c>
      <c r="I61" s="331">
        <v>19180</v>
      </c>
      <c r="J61" s="238">
        <v>3534</v>
      </c>
      <c r="K61" s="238">
        <f>(J61/G61)</f>
        <v>220.875</v>
      </c>
      <c r="L61" s="239">
        <f>I61/J61</f>
        <v>5.427277872099604</v>
      </c>
      <c r="M61" s="331">
        <f>295344+204961.5+145464.5+116108.5+111972.5+49984+26327+32042+18579+20005+19180</f>
        <v>1039968</v>
      </c>
      <c r="N61" s="238">
        <f>36142+24747+19417+15404+14719+7567+3314+5289+3173+3275+3534</f>
        <v>136581</v>
      </c>
      <c r="O61" s="241">
        <f>M61/N61</f>
        <v>7.614294814066378</v>
      </c>
      <c r="P61" s="297">
        <v>1</v>
      </c>
    </row>
    <row r="62" spans="1:16" ht="15">
      <c r="A62" s="66">
        <v>59</v>
      </c>
      <c r="B62" s="240" t="s">
        <v>147</v>
      </c>
      <c r="C62" s="236">
        <v>39801</v>
      </c>
      <c r="D62" s="235" t="s">
        <v>134</v>
      </c>
      <c r="E62" s="235" t="s">
        <v>196</v>
      </c>
      <c r="F62" s="237">
        <v>42</v>
      </c>
      <c r="G62" s="237">
        <v>12</v>
      </c>
      <c r="H62" s="237">
        <v>9</v>
      </c>
      <c r="I62" s="331">
        <v>18579</v>
      </c>
      <c r="J62" s="238">
        <v>3173</v>
      </c>
      <c r="K62" s="238">
        <f>(J62/G62)</f>
        <v>264.4166666666667</v>
      </c>
      <c r="L62" s="239">
        <f>I62/J62</f>
        <v>5.855341947683581</v>
      </c>
      <c r="M62" s="331">
        <f>295344+204961.5+145464.5+116108.5+111972.5+49984+26327+32042+18579</f>
        <v>1000783</v>
      </c>
      <c r="N62" s="238">
        <f>36142+24747+19417+15404+14719+7567+3314+5289+3173</f>
        <v>129772</v>
      </c>
      <c r="O62" s="241">
        <f>+M62/N62</f>
        <v>7.711856178528496</v>
      </c>
      <c r="P62" s="297"/>
    </row>
    <row r="63" spans="1:16" ht="15">
      <c r="A63" s="66">
        <v>60</v>
      </c>
      <c r="B63" s="240" t="s">
        <v>139</v>
      </c>
      <c r="C63" s="236">
        <v>39787</v>
      </c>
      <c r="D63" s="235" t="s">
        <v>132</v>
      </c>
      <c r="E63" s="235" t="s">
        <v>140</v>
      </c>
      <c r="F63" s="237">
        <v>13</v>
      </c>
      <c r="G63" s="237">
        <v>13</v>
      </c>
      <c r="H63" s="237">
        <v>10</v>
      </c>
      <c r="I63" s="331">
        <v>18022</v>
      </c>
      <c r="J63" s="238">
        <v>3845</v>
      </c>
      <c r="K63" s="238">
        <f>J63/G63</f>
        <v>295.7692307692308</v>
      </c>
      <c r="L63" s="239">
        <f>I63/J63</f>
        <v>4.687126137841353</v>
      </c>
      <c r="M63" s="331">
        <f>9280968+4694050.5+1992628+1117778+528440.5+225948.5+100229.5+60712.5+23747.5+18022-1837</f>
        <v>18040688</v>
      </c>
      <c r="N63" s="238">
        <f>1147876+614752+261380+141495+73035+33259+17736+11735+4194+3845-458</f>
        <v>2308849</v>
      </c>
      <c r="O63" s="241">
        <f>+M63/N63</f>
        <v>7.813714972265402</v>
      </c>
      <c r="P63" s="297"/>
    </row>
    <row r="64" spans="1:16" ht="15">
      <c r="A64" s="66">
        <v>61</v>
      </c>
      <c r="B64" s="209" t="s">
        <v>70</v>
      </c>
      <c r="C64" s="205">
        <v>39766</v>
      </c>
      <c r="D64" s="203" t="s">
        <v>132</v>
      </c>
      <c r="E64" s="203" t="s">
        <v>71</v>
      </c>
      <c r="F64" s="204">
        <v>24</v>
      </c>
      <c r="G64" s="204">
        <v>8</v>
      </c>
      <c r="H64" s="204">
        <v>9</v>
      </c>
      <c r="I64" s="330">
        <v>16705.5</v>
      </c>
      <c r="J64" s="200">
        <v>2636</v>
      </c>
      <c r="K64" s="201">
        <f>J64/G64</f>
        <v>329.5</v>
      </c>
      <c r="L64" s="202">
        <f>I64/J64</f>
        <v>6.337443095599393</v>
      </c>
      <c r="M64" s="330">
        <f>191668+16358.5+8305+0.5+19699.5+16705.5</f>
        <v>252737</v>
      </c>
      <c r="N64" s="200">
        <f>10324+8249+7871+7121+4755+3362+1751+2958+2636</f>
        <v>49027</v>
      </c>
      <c r="O64" s="208">
        <f>+M64/N64</f>
        <v>5.155057417341465</v>
      </c>
      <c r="P64" s="297"/>
    </row>
    <row r="65" spans="1:16" ht="15">
      <c r="A65" s="66">
        <v>62</v>
      </c>
      <c r="B65" s="240" t="s">
        <v>139</v>
      </c>
      <c r="C65" s="236">
        <v>39787</v>
      </c>
      <c r="D65" s="235" t="s">
        <v>132</v>
      </c>
      <c r="E65" s="235" t="s">
        <v>140</v>
      </c>
      <c r="F65" s="237">
        <v>2</v>
      </c>
      <c r="G65" s="237">
        <v>2</v>
      </c>
      <c r="H65" s="237">
        <v>14</v>
      </c>
      <c r="I65" s="331">
        <v>16460.5</v>
      </c>
      <c r="J65" s="238">
        <v>3333</v>
      </c>
      <c r="K65" s="238">
        <f>J65/G65</f>
        <v>1666.5</v>
      </c>
      <c r="L65" s="239">
        <f>I65/J65</f>
        <v>4.938643864386439</v>
      </c>
      <c r="M65" s="331">
        <f>9280968+4694050.5+1992628+1117778+528440.5+225948.5+100229.5+60712.5+23747.5+18022-1837+3858+1591+1095+16460.5</f>
        <v>18063692.5</v>
      </c>
      <c r="N65" s="238">
        <f>1147876+614752+261380+141495+73035+33259+17736+11735+4194+3845-458+781+321+218+3333</f>
        <v>2313502</v>
      </c>
      <c r="O65" s="241">
        <f>+M65/N65</f>
        <v>7.80794332574599</v>
      </c>
      <c r="P65" s="297"/>
    </row>
    <row r="66" spans="1:16" ht="15">
      <c r="A66" s="66">
        <v>63</v>
      </c>
      <c r="B66" s="233" t="s">
        <v>44</v>
      </c>
      <c r="C66" s="40">
        <v>39780</v>
      </c>
      <c r="D66" s="226" t="s">
        <v>131</v>
      </c>
      <c r="E66" s="226" t="s">
        <v>127</v>
      </c>
      <c r="F66" s="227">
        <v>121</v>
      </c>
      <c r="G66" s="227">
        <v>16</v>
      </c>
      <c r="H66" s="227">
        <v>9</v>
      </c>
      <c r="I66" s="332">
        <v>16294</v>
      </c>
      <c r="J66" s="230">
        <v>3898</v>
      </c>
      <c r="K66" s="230">
        <f>J66/G66</f>
        <v>243.625</v>
      </c>
      <c r="L66" s="139">
        <f>+I66/J66</f>
        <v>4.1800923550538736</v>
      </c>
      <c r="M66" s="332">
        <v>3429888</v>
      </c>
      <c r="N66" s="230">
        <v>400341</v>
      </c>
      <c r="O66" s="103">
        <f>+M66/N66</f>
        <v>8.567416277623327</v>
      </c>
      <c r="P66" s="297"/>
    </row>
    <row r="67" spans="1:16" ht="15">
      <c r="A67" s="66">
        <v>64</v>
      </c>
      <c r="B67" s="240" t="s">
        <v>147</v>
      </c>
      <c r="C67" s="236">
        <v>39801</v>
      </c>
      <c r="D67" s="235" t="s">
        <v>134</v>
      </c>
      <c r="E67" s="235" t="s">
        <v>148</v>
      </c>
      <c r="F67" s="237">
        <v>42</v>
      </c>
      <c r="G67" s="237">
        <v>21</v>
      </c>
      <c r="H67" s="237">
        <v>12</v>
      </c>
      <c r="I67" s="331">
        <v>15980</v>
      </c>
      <c r="J67" s="238">
        <v>2826</v>
      </c>
      <c r="K67" s="238">
        <f>(J67/G67)</f>
        <v>134.57142857142858</v>
      </c>
      <c r="L67" s="239">
        <f>I67/J67</f>
        <v>5.654635527246993</v>
      </c>
      <c r="M67" s="331">
        <f>295344+204961.5+145464.5+116108.5+111972.5+49984+26327+32042+18579+20005+19180+15980</f>
        <v>1055948</v>
      </c>
      <c r="N67" s="238">
        <f>36142+24747+19417+15404+14719+7567+3314+5289+3173+3275+3534+2826</f>
        <v>139407</v>
      </c>
      <c r="O67" s="241">
        <f>M67/N67</f>
        <v>7.574569426212457</v>
      </c>
      <c r="P67" s="297"/>
    </row>
    <row r="68" spans="1:16" ht="15">
      <c r="A68" s="66">
        <v>65</v>
      </c>
      <c r="B68" s="240" t="s">
        <v>64</v>
      </c>
      <c r="C68" s="236">
        <v>39759</v>
      </c>
      <c r="D68" s="235" t="s">
        <v>65</v>
      </c>
      <c r="E68" s="235" t="s">
        <v>66</v>
      </c>
      <c r="F68" s="237">
        <v>23</v>
      </c>
      <c r="G68" s="237">
        <v>23</v>
      </c>
      <c r="H68" s="237">
        <v>18</v>
      </c>
      <c r="I68" s="331">
        <v>15900.5</v>
      </c>
      <c r="J68" s="238">
        <v>2635</v>
      </c>
      <c r="K68" s="238">
        <f>J68/G68</f>
        <v>114.56521739130434</v>
      </c>
      <c r="L68" s="239">
        <f>I68/J68</f>
        <v>6.034345351043643</v>
      </c>
      <c r="M68" s="331">
        <v>23356687.5</v>
      </c>
      <c r="N68" s="238">
        <v>2777253</v>
      </c>
      <c r="O68" s="241">
        <f>+M68/N68</f>
        <v>8.409996316504113</v>
      </c>
      <c r="P68" s="297">
        <v>1</v>
      </c>
    </row>
    <row r="69" spans="1:16" ht="15">
      <c r="A69" s="66">
        <v>66</v>
      </c>
      <c r="B69" s="240" t="s">
        <v>44</v>
      </c>
      <c r="C69" s="236">
        <v>39780</v>
      </c>
      <c r="D69" s="235" t="s">
        <v>131</v>
      </c>
      <c r="E69" s="235" t="s">
        <v>127</v>
      </c>
      <c r="F69" s="237">
        <v>121</v>
      </c>
      <c r="G69" s="237">
        <v>13</v>
      </c>
      <c r="H69" s="237">
        <v>10</v>
      </c>
      <c r="I69" s="331">
        <v>15819</v>
      </c>
      <c r="J69" s="238">
        <v>2946</v>
      </c>
      <c r="K69" s="238">
        <f>J69/G69</f>
        <v>226.6153846153846</v>
      </c>
      <c r="L69" s="239">
        <f>I69/J69</f>
        <v>5.369653767820774</v>
      </c>
      <c r="M69" s="331">
        <v>3445707</v>
      </c>
      <c r="N69" s="238">
        <v>403287</v>
      </c>
      <c r="O69" s="241">
        <f>+M69/N69</f>
        <v>8.54405671395309</v>
      </c>
      <c r="P69" s="297">
        <v>1</v>
      </c>
    </row>
    <row r="70" spans="1:16" ht="15">
      <c r="A70" s="66">
        <v>67</v>
      </c>
      <c r="B70" s="53" t="s">
        <v>23</v>
      </c>
      <c r="C70" s="39">
        <v>39808</v>
      </c>
      <c r="D70" s="126" t="s">
        <v>136</v>
      </c>
      <c r="E70" s="126" t="s">
        <v>24</v>
      </c>
      <c r="F70" s="50">
        <v>198</v>
      </c>
      <c r="G70" s="50">
        <v>30</v>
      </c>
      <c r="H70" s="50">
        <v>5</v>
      </c>
      <c r="I70" s="335">
        <v>15178.5</v>
      </c>
      <c r="J70" s="232">
        <v>3086</v>
      </c>
      <c r="K70" s="231">
        <f>IF(I70&lt;&gt;0,J70/G70,"")</f>
        <v>102.86666666666666</v>
      </c>
      <c r="L70" s="137">
        <f>IF(I70&lt;&gt;0,I70/J70,"")</f>
        <v>4.91850291639663</v>
      </c>
      <c r="M70" s="335">
        <f>909072+532572.5+214521.5+64908+15178.5</f>
        <v>1736252.5</v>
      </c>
      <c r="N70" s="230">
        <f>112486+67146+29772+10700+3086</f>
        <v>223190</v>
      </c>
      <c r="O70" s="104">
        <f>IF(M70&lt;&gt;0,M70/N70,"")</f>
        <v>7.779257583225055</v>
      </c>
      <c r="P70" s="255"/>
    </row>
    <row r="71" spans="1:16" ht="15">
      <c r="A71" s="66">
        <v>68</v>
      </c>
      <c r="B71" s="49" t="s">
        <v>191</v>
      </c>
      <c r="C71" s="39">
        <v>39787</v>
      </c>
      <c r="D71" s="44" t="s">
        <v>131</v>
      </c>
      <c r="E71" s="44" t="s">
        <v>138</v>
      </c>
      <c r="F71" s="41">
        <v>406</v>
      </c>
      <c r="G71" s="41">
        <v>2</v>
      </c>
      <c r="H71" s="41">
        <v>36</v>
      </c>
      <c r="I71" s="301">
        <v>14131</v>
      </c>
      <c r="J71" s="138">
        <v>1106</v>
      </c>
      <c r="K71" s="138">
        <f>J71/G71</f>
        <v>553</v>
      </c>
      <c r="L71" s="139">
        <f>+I71/J71</f>
        <v>12.776672694394213</v>
      </c>
      <c r="M71" s="301">
        <v>30423758</v>
      </c>
      <c r="N71" s="138">
        <v>3707014</v>
      </c>
      <c r="O71" s="103">
        <f>+M71/N71</f>
        <v>8.207079336630507</v>
      </c>
      <c r="P71" s="255"/>
    </row>
    <row r="72" spans="1:16" ht="15">
      <c r="A72" s="66">
        <v>69</v>
      </c>
      <c r="B72" s="220" t="s">
        <v>44</v>
      </c>
      <c r="C72" s="216">
        <v>39780</v>
      </c>
      <c r="D72" s="65" t="s">
        <v>131</v>
      </c>
      <c r="E72" s="217" t="s">
        <v>127</v>
      </c>
      <c r="F72" s="41">
        <v>121</v>
      </c>
      <c r="G72" s="41">
        <v>23</v>
      </c>
      <c r="H72" s="41">
        <v>8</v>
      </c>
      <c r="I72" s="301">
        <v>13754</v>
      </c>
      <c r="J72" s="138">
        <v>2686</v>
      </c>
      <c r="K72" s="138">
        <f>J72/G72</f>
        <v>116.78260869565217</v>
      </c>
      <c r="L72" s="139">
        <f>+I72/J72</f>
        <v>5.1206254653760235</v>
      </c>
      <c r="M72" s="301">
        <v>3413274</v>
      </c>
      <c r="N72" s="138">
        <v>396401</v>
      </c>
      <c r="O72" s="103">
        <f>+M72/N72</f>
        <v>8.610659408023693</v>
      </c>
      <c r="P72" s="255"/>
    </row>
    <row r="73" spans="1:16" ht="15">
      <c r="A73" s="66">
        <v>70</v>
      </c>
      <c r="B73" s="240" t="s">
        <v>147</v>
      </c>
      <c r="C73" s="236">
        <v>39801</v>
      </c>
      <c r="D73" s="235" t="s">
        <v>134</v>
      </c>
      <c r="E73" s="235" t="s">
        <v>148</v>
      </c>
      <c r="F73" s="237">
        <v>42</v>
      </c>
      <c r="G73" s="237">
        <v>9</v>
      </c>
      <c r="H73" s="237">
        <v>16</v>
      </c>
      <c r="I73" s="331">
        <v>13433</v>
      </c>
      <c r="J73" s="238">
        <v>2536</v>
      </c>
      <c r="K73" s="238">
        <f>(J73/G73)</f>
        <v>281.77777777777777</v>
      </c>
      <c r="L73" s="239">
        <f>I73/J73</f>
        <v>5.2969242902208205</v>
      </c>
      <c r="M73" s="331">
        <f>295344+204961.5+145464.5+116108.5+111972.5+49984+26327+32042+18579+20005+19180+15980+2686.5+3166.5+366+13433</f>
        <v>1075600</v>
      </c>
      <c r="N73" s="238">
        <f>36142+24747+19417+15404+14719+7567+3314+5289+3173+3275+3534+2826+540+724+52+2536</f>
        <v>143259</v>
      </c>
      <c r="O73" s="241">
        <f>M73/N73</f>
        <v>7.508079771602482</v>
      </c>
      <c r="P73" s="255"/>
    </row>
    <row r="74" spans="1:16" ht="15">
      <c r="A74" s="66">
        <v>71</v>
      </c>
      <c r="B74" s="240" t="s">
        <v>14</v>
      </c>
      <c r="C74" s="236">
        <v>39808</v>
      </c>
      <c r="D74" s="235" t="s">
        <v>131</v>
      </c>
      <c r="E74" s="235" t="s">
        <v>124</v>
      </c>
      <c r="F74" s="237">
        <v>34</v>
      </c>
      <c r="G74" s="237">
        <v>12</v>
      </c>
      <c r="H74" s="237">
        <v>6</v>
      </c>
      <c r="I74" s="331">
        <v>13097</v>
      </c>
      <c r="J74" s="238">
        <v>2497</v>
      </c>
      <c r="K74" s="238">
        <f>J74/G74</f>
        <v>208.08333333333334</v>
      </c>
      <c r="L74" s="239">
        <f>I74/J74</f>
        <v>5.245094112935522</v>
      </c>
      <c r="M74" s="331">
        <v>791666</v>
      </c>
      <c r="N74" s="238">
        <v>88294</v>
      </c>
      <c r="O74" s="241">
        <f>+M74/N74</f>
        <v>8.966249122250662</v>
      </c>
      <c r="P74" s="255"/>
    </row>
    <row r="75" spans="1:16" ht="15">
      <c r="A75" s="66">
        <v>72</v>
      </c>
      <c r="B75" s="233" t="s">
        <v>14</v>
      </c>
      <c r="C75" s="40">
        <v>39808</v>
      </c>
      <c r="D75" s="226" t="s">
        <v>131</v>
      </c>
      <c r="E75" s="226" t="s">
        <v>124</v>
      </c>
      <c r="F75" s="227">
        <v>34</v>
      </c>
      <c r="G75" s="227">
        <v>14</v>
      </c>
      <c r="H75" s="227">
        <v>5</v>
      </c>
      <c r="I75" s="332">
        <v>12836</v>
      </c>
      <c r="J75" s="230">
        <v>2314</v>
      </c>
      <c r="K75" s="230">
        <f>J75/G75</f>
        <v>165.28571428571428</v>
      </c>
      <c r="L75" s="139">
        <f>+I75/J75</f>
        <v>5.547104580812446</v>
      </c>
      <c r="M75" s="332">
        <v>778569</v>
      </c>
      <c r="N75" s="230">
        <v>85797</v>
      </c>
      <c r="O75" s="103">
        <f>+M75/N75</f>
        <v>9.074548061121018</v>
      </c>
      <c r="P75" s="255">
        <v>1</v>
      </c>
    </row>
    <row r="76" spans="1:16" ht="15">
      <c r="A76" s="66">
        <v>73</v>
      </c>
      <c r="B76" s="275" t="s">
        <v>58</v>
      </c>
      <c r="C76" s="39">
        <v>39745</v>
      </c>
      <c r="D76" s="44" t="s">
        <v>4</v>
      </c>
      <c r="E76" s="44" t="s">
        <v>59</v>
      </c>
      <c r="F76" s="41">
        <v>72</v>
      </c>
      <c r="G76" s="41">
        <v>30</v>
      </c>
      <c r="H76" s="41">
        <v>31</v>
      </c>
      <c r="I76" s="332">
        <v>11994</v>
      </c>
      <c r="J76" s="138">
        <v>1754</v>
      </c>
      <c r="K76" s="138">
        <f>J76/G76</f>
        <v>58.46666666666667</v>
      </c>
      <c r="L76" s="273">
        <f>I76/J76</f>
        <v>6.838084378563284</v>
      </c>
      <c r="M76" s="332">
        <v>1637964</v>
      </c>
      <c r="N76" s="138">
        <v>184903</v>
      </c>
      <c r="O76" s="274">
        <f>+M76/N76</f>
        <v>8.858504188682716</v>
      </c>
      <c r="P76" s="255"/>
    </row>
    <row r="77" spans="1:16" ht="15">
      <c r="A77" s="66">
        <v>74</v>
      </c>
      <c r="B77" s="49" t="s">
        <v>161</v>
      </c>
      <c r="C77" s="39">
        <v>39766</v>
      </c>
      <c r="D77" s="44" t="s">
        <v>197</v>
      </c>
      <c r="E77" s="44" t="s">
        <v>198</v>
      </c>
      <c r="F77" s="41">
        <v>50</v>
      </c>
      <c r="G77" s="41">
        <v>39</v>
      </c>
      <c r="H77" s="41">
        <v>27</v>
      </c>
      <c r="I77" s="301">
        <v>11946</v>
      </c>
      <c r="J77" s="138">
        <v>1338</v>
      </c>
      <c r="K77" s="138">
        <f>J77/G77</f>
        <v>34.30769230769231</v>
      </c>
      <c r="L77" s="139">
        <f>I77/J77</f>
        <v>8.928251121076233</v>
      </c>
      <c r="M77" s="301">
        <v>257881</v>
      </c>
      <c r="N77" s="138">
        <v>38689</v>
      </c>
      <c r="O77" s="103">
        <f>+M77/N77</f>
        <v>6.665486313939363</v>
      </c>
      <c r="P77" s="255"/>
    </row>
    <row r="78" spans="1:16" ht="15">
      <c r="A78" s="66">
        <v>75</v>
      </c>
      <c r="B78" s="240" t="s">
        <v>23</v>
      </c>
      <c r="C78" s="236">
        <v>39808</v>
      </c>
      <c r="D78" s="235" t="s">
        <v>136</v>
      </c>
      <c r="E78" s="235" t="s">
        <v>24</v>
      </c>
      <c r="F78" s="237">
        <v>198</v>
      </c>
      <c r="G78" s="237">
        <v>3</v>
      </c>
      <c r="H78" s="237">
        <v>11</v>
      </c>
      <c r="I78" s="331">
        <v>11832</v>
      </c>
      <c r="J78" s="238">
        <v>2477</v>
      </c>
      <c r="K78" s="238">
        <f>J78/G78</f>
        <v>825.6666666666666</v>
      </c>
      <c r="L78" s="239">
        <f>I78/J78</f>
        <v>4.776746063786839</v>
      </c>
      <c r="M78" s="331">
        <v>1757395</v>
      </c>
      <c r="N78" s="238">
        <v>227473</v>
      </c>
      <c r="O78" s="241">
        <f>+M78/N78</f>
        <v>7.725730086647646</v>
      </c>
      <c r="P78" s="255">
        <v>1</v>
      </c>
    </row>
    <row r="79" spans="1:16" ht="15">
      <c r="A79" s="66">
        <v>76</v>
      </c>
      <c r="B79" s="48" t="s">
        <v>145</v>
      </c>
      <c r="C79" s="39">
        <v>39801</v>
      </c>
      <c r="D79" s="42" t="s">
        <v>136</v>
      </c>
      <c r="E79" s="215" t="s">
        <v>146</v>
      </c>
      <c r="F79" s="54">
        <v>84</v>
      </c>
      <c r="G79" s="54">
        <v>19</v>
      </c>
      <c r="H79" s="54">
        <v>5</v>
      </c>
      <c r="I79" s="329">
        <v>11772.5</v>
      </c>
      <c r="J79" s="140">
        <v>2357</v>
      </c>
      <c r="K79" s="136">
        <f>IF(I79&lt;&gt;0,J79/G79,"")</f>
        <v>124.05263157894737</v>
      </c>
      <c r="L79" s="137">
        <f>IF(I79&lt;&gt;0,I79/J79,"")</f>
        <v>4.994696648281714</v>
      </c>
      <c r="M79" s="329">
        <f>369313.5+145108.5+43813+31258+11772.5</f>
        <v>601265.5</v>
      </c>
      <c r="N79" s="138">
        <f>41017+16460+6346+5364+2357</f>
        <v>71544</v>
      </c>
      <c r="O79" s="104">
        <f>IF(M79&lt;&gt;0,M79/N79,"")</f>
        <v>8.404135916359163</v>
      </c>
      <c r="P79" s="255"/>
    </row>
    <row r="80" spans="1:16" ht="15">
      <c r="A80" s="66">
        <v>77</v>
      </c>
      <c r="B80" s="49" t="s">
        <v>28</v>
      </c>
      <c r="C80" s="40">
        <v>39808</v>
      </c>
      <c r="D80" s="44" t="s">
        <v>132</v>
      </c>
      <c r="E80" s="44" t="s">
        <v>29</v>
      </c>
      <c r="F80" s="41">
        <v>89</v>
      </c>
      <c r="G80" s="41">
        <v>12</v>
      </c>
      <c r="H80" s="41">
        <v>4</v>
      </c>
      <c r="I80" s="301">
        <v>11344</v>
      </c>
      <c r="J80" s="138">
        <v>1911</v>
      </c>
      <c r="K80" s="140">
        <f>(J80/G80)</f>
        <v>159.25</v>
      </c>
      <c r="L80" s="141">
        <f>I80/J80</f>
        <v>5.936159079016222</v>
      </c>
      <c r="M80" s="301">
        <f>173290.5+101994+52183.5+11344</f>
        <v>338812</v>
      </c>
      <c r="N80" s="138">
        <f>23989+15166+8100+1911</f>
        <v>49166</v>
      </c>
      <c r="O80" s="105">
        <f>M80/N80</f>
        <v>6.891184965219868</v>
      </c>
      <c r="P80" s="255"/>
    </row>
    <row r="81" spans="1:16" ht="15">
      <c r="A81" s="66">
        <v>78</v>
      </c>
      <c r="B81" s="220" t="s">
        <v>72</v>
      </c>
      <c r="C81" s="216">
        <v>39773</v>
      </c>
      <c r="D81" s="65" t="s">
        <v>131</v>
      </c>
      <c r="E81" s="217" t="s">
        <v>126</v>
      </c>
      <c r="F81" s="41">
        <v>204</v>
      </c>
      <c r="G81" s="41">
        <v>7</v>
      </c>
      <c r="H81" s="41">
        <v>9</v>
      </c>
      <c r="I81" s="301">
        <v>11114</v>
      </c>
      <c r="J81" s="138">
        <v>2009</v>
      </c>
      <c r="K81" s="138">
        <f>J81/G81</f>
        <v>287</v>
      </c>
      <c r="L81" s="139">
        <f>+I81/J81</f>
        <v>5.532105525136884</v>
      </c>
      <c r="M81" s="301">
        <v>11421502</v>
      </c>
      <c r="N81" s="138">
        <v>1411494</v>
      </c>
      <c r="O81" s="103">
        <f>+M81/N81</f>
        <v>8.09178218256684</v>
      </c>
      <c r="P81" s="255">
        <v>1</v>
      </c>
    </row>
    <row r="82" spans="1:16" ht="15">
      <c r="A82" s="66">
        <v>79</v>
      </c>
      <c r="B82" s="210" t="s">
        <v>72</v>
      </c>
      <c r="C82" s="205">
        <v>39773</v>
      </c>
      <c r="D82" s="203" t="s">
        <v>131</v>
      </c>
      <c r="E82" s="203" t="s">
        <v>126</v>
      </c>
      <c r="F82" s="204">
        <v>204</v>
      </c>
      <c r="G82" s="204">
        <v>14</v>
      </c>
      <c r="H82" s="204">
        <v>8</v>
      </c>
      <c r="I82" s="330">
        <v>11065</v>
      </c>
      <c r="J82" s="200">
        <v>2255</v>
      </c>
      <c r="K82" s="200">
        <f>J82/G82</f>
        <v>161.07142857142858</v>
      </c>
      <c r="L82" s="206">
        <f>+I82/J82</f>
        <v>4.906873614190688</v>
      </c>
      <c r="M82" s="330">
        <v>11410388</v>
      </c>
      <c r="N82" s="200">
        <v>1409485</v>
      </c>
      <c r="O82" s="211">
        <f>+M82/N82</f>
        <v>8.095430600538494</v>
      </c>
      <c r="P82" s="255">
        <v>1</v>
      </c>
    </row>
    <row r="83" spans="1:16" ht="15">
      <c r="A83" s="66">
        <v>80</v>
      </c>
      <c r="B83" s="240" t="s">
        <v>14</v>
      </c>
      <c r="C83" s="236">
        <v>39808</v>
      </c>
      <c r="D83" s="235" t="s">
        <v>131</v>
      </c>
      <c r="E83" s="235" t="s">
        <v>124</v>
      </c>
      <c r="F83" s="237">
        <v>34</v>
      </c>
      <c r="G83" s="237">
        <v>8</v>
      </c>
      <c r="H83" s="237">
        <v>7</v>
      </c>
      <c r="I83" s="331">
        <v>10308</v>
      </c>
      <c r="J83" s="238">
        <v>1735</v>
      </c>
      <c r="K83" s="238">
        <f>J83/G83</f>
        <v>216.875</v>
      </c>
      <c r="L83" s="239">
        <f>I83/J83</f>
        <v>5.94121037463977</v>
      </c>
      <c r="M83" s="331">
        <v>901974</v>
      </c>
      <c r="N83" s="238">
        <v>90029</v>
      </c>
      <c r="O83" s="241">
        <f>+M83/N83</f>
        <v>10.018705083917405</v>
      </c>
      <c r="P83" s="255"/>
    </row>
    <row r="84" spans="1:16" ht="15">
      <c r="A84" s="66">
        <v>81</v>
      </c>
      <c r="B84" s="233" t="s">
        <v>158</v>
      </c>
      <c r="C84" s="40">
        <v>39787</v>
      </c>
      <c r="D84" s="226" t="s">
        <v>131</v>
      </c>
      <c r="E84" s="226" t="s">
        <v>138</v>
      </c>
      <c r="F84" s="227">
        <v>406</v>
      </c>
      <c r="G84" s="227">
        <v>10</v>
      </c>
      <c r="H84" s="227">
        <v>8</v>
      </c>
      <c r="I84" s="332">
        <v>9717</v>
      </c>
      <c r="J84" s="230">
        <v>1459</v>
      </c>
      <c r="K84" s="230">
        <f>J84/G84</f>
        <v>145.9</v>
      </c>
      <c r="L84" s="139">
        <f>+I84/J84</f>
        <v>6.660041124057574</v>
      </c>
      <c r="M84" s="332">
        <v>30385549</v>
      </c>
      <c r="N84" s="230">
        <v>3699205</v>
      </c>
      <c r="O84" s="103">
        <f>+M84/N84</f>
        <v>8.214075456753546</v>
      </c>
      <c r="P84" s="255">
        <v>1</v>
      </c>
    </row>
    <row r="85" spans="1:16" ht="15">
      <c r="A85" s="66">
        <v>82</v>
      </c>
      <c r="B85" s="233" t="s">
        <v>53</v>
      </c>
      <c r="C85" s="40">
        <v>39738</v>
      </c>
      <c r="D85" s="126" t="s">
        <v>134</v>
      </c>
      <c r="E85" s="226" t="s">
        <v>54</v>
      </c>
      <c r="F85" s="227">
        <v>67</v>
      </c>
      <c r="G85" s="227">
        <v>11</v>
      </c>
      <c r="H85" s="227">
        <v>15</v>
      </c>
      <c r="I85" s="325">
        <v>9422</v>
      </c>
      <c r="J85" s="326">
        <v>2170</v>
      </c>
      <c r="K85" s="232">
        <f>(J85/G85)</f>
        <v>197.27272727272728</v>
      </c>
      <c r="L85" s="141">
        <f>I85/J85</f>
        <v>4.341935483870968</v>
      </c>
      <c r="M85" s="325">
        <f>167196+176809+54428+37340+38330.5+23467+11581+5867+4382+2577+3552+2137+545+4006+9422</f>
        <v>541639.5</v>
      </c>
      <c r="N85" s="326">
        <f>19168+21164+7719+6215+6404+4964+2339+1306+907+580+859+440+127+905+2170</f>
        <v>75267</v>
      </c>
      <c r="O85" s="105">
        <f>M85/N85</f>
        <v>7.1962413806847625</v>
      </c>
      <c r="P85" s="255"/>
    </row>
    <row r="86" spans="1:16" ht="15">
      <c r="A86" s="66">
        <v>83</v>
      </c>
      <c r="B86" s="49" t="s">
        <v>69</v>
      </c>
      <c r="C86" s="40">
        <v>39766</v>
      </c>
      <c r="D86" s="45" t="s">
        <v>134</v>
      </c>
      <c r="E86" s="44" t="s">
        <v>50</v>
      </c>
      <c r="F86" s="41">
        <v>20</v>
      </c>
      <c r="G86" s="41">
        <v>13</v>
      </c>
      <c r="H86" s="41">
        <v>8</v>
      </c>
      <c r="I86" s="327">
        <v>9410</v>
      </c>
      <c r="J86" s="328">
        <v>1542</v>
      </c>
      <c r="K86" s="140">
        <f>(J86/G86)</f>
        <v>118.61538461538461</v>
      </c>
      <c r="L86" s="141">
        <f>I86/J86</f>
        <v>6.102464332036316</v>
      </c>
      <c r="M86" s="327">
        <f>109364.5+38539+31287+12101+5368+8640.5+12331+9410</f>
        <v>227041</v>
      </c>
      <c r="N86" s="328">
        <f>11866+4674+4443+2133+1061+1670+2334+1542</f>
        <v>29723</v>
      </c>
      <c r="O86" s="105">
        <f>M86/N86</f>
        <v>7.638562729199609</v>
      </c>
      <c r="P86" s="255"/>
    </row>
    <row r="87" spans="1:16" ht="15">
      <c r="A87" s="66">
        <v>84</v>
      </c>
      <c r="B87" s="53" t="s">
        <v>144</v>
      </c>
      <c r="C87" s="39">
        <v>39801</v>
      </c>
      <c r="D87" s="126" t="s">
        <v>130</v>
      </c>
      <c r="E87" s="126" t="s">
        <v>122</v>
      </c>
      <c r="F87" s="50">
        <v>69</v>
      </c>
      <c r="G87" s="50">
        <v>12</v>
      </c>
      <c r="H87" s="50">
        <v>6</v>
      </c>
      <c r="I87" s="325">
        <v>9385</v>
      </c>
      <c r="J87" s="326">
        <v>2124</v>
      </c>
      <c r="K87" s="232">
        <f>J87/G87</f>
        <v>177</v>
      </c>
      <c r="L87" s="141">
        <f>I87/J87</f>
        <v>4.4185499058380415</v>
      </c>
      <c r="M87" s="325">
        <f>820286+588484+413907+112495+41441-111+9385</f>
        <v>1985887</v>
      </c>
      <c r="N87" s="326">
        <f>83839+57678+42374+12212+5722-11+2124</f>
        <v>203938</v>
      </c>
      <c r="O87" s="105">
        <f>+M87/N87</f>
        <v>9.737699693043965</v>
      </c>
      <c r="P87" s="255"/>
    </row>
    <row r="88" spans="1:16" ht="15">
      <c r="A88" s="66">
        <v>85</v>
      </c>
      <c r="B88" s="49" t="s">
        <v>73</v>
      </c>
      <c r="C88" s="40">
        <v>39772</v>
      </c>
      <c r="D88" s="45" t="s">
        <v>134</v>
      </c>
      <c r="E88" s="44" t="s">
        <v>105</v>
      </c>
      <c r="F88" s="41">
        <v>195</v>
      </c>
      <c r="G88" s="41">
        <v>8</v>
      </c>
      <c r="H88" s="41">
        <v>7</v>
      </c>
      <c r="I88" s="327">
        <v>9376.5</v>
      </c>
      <c r="J88" s="328">
        <v>2234</v>
      </c>
      <c r="K88" s="140">
        <f>(J88/G88)</f>
        <v>279.25</v>
      </c>
      <c r="L88" s="141">
        <f>I88/J88</f>
        <v>4.197179946284691</v>
      </c>
      <c r="M88" s="327">
        <f>1011017+512350.5+217314+64545+38656.5+8087+9376.5</f>
        <v>1861346.5</v>
      </c>
      <c r="N88" s="328">
        <f>136878+68007+31396+9807+8372+1564+2234</f>
        <v>258258</v>
      </c>
      <c r="O88" s="105">
        <f>M88/N88</f>
        <v>7.207314003825632</v>
      </c>
      <c r="P88" s="255">
        <v>1</v>
      </c>
    </row>
    <row r="89" spans="1:16" ht="15">
      <c r="A89" s="66">
        <v>86</v>
      </c>
      <c r="B89" s="240" t="s">
        <v>70</v>
      </c>
      <c r="C89" s="236">
        <v>39766</v>
      </c>
      <c r="D89" s="235" t="s">
        <v>132</v>
      </c>
      <c r="E89" s="235" t="s">
        <v>71</v>
      </c>
      <c r="F89" s="237">
        <v>3</v>
      </c>
      <c r="G89" s="237">
        <v>3</v>
      </c>
      <c r="H89" s="237">
        <v>16</v>
      </c>
      <c r="I89" s="331">
        <v>9273</v>
      </c>
      <c r="J89" s="238">
        <v>1648</v>
      </c>
      <c r="K89" s="238">
        <f>J89/G89</f>
        <v>549.3333333333334</v>
      </c>
      <c r="L89" s="239">
        <f>IF(I89&lt;&gt;0,I89/J89,"")</f>
        <v>5.626820388349515</v>
      </c>
      <c r="M89" s="331">
        <v>287689</v>
      </c>
      <c r="N89" s="238">
        <v>54922</v>
      </c>
      <c r="O89" s="241">
        <f>+M89/N89</f>
        <v>5.238137722588398</v>
      </c>
      <c r="P89" s="255">
        <v>1</v>
      </c>
    </row>
    <row r="90" spans="1:16" ht="15">
      <c r="A90" s="66">
        <v>87</v>
      </c>
      <c r="B90" s="209" t="s">
        <v>69</v>
      </c>
      <c r="C90" s="205">
        <v>39766</v>
      </c>
      <c r="D90" s="196" t="s">
        <v>134</v>
      </c>
      <c r="E90" s="203" t="s">
        <v>50</v>
      </c>
      <c r="F90" s="204">
        <v>20</v>
      </c>
      <c r="G90" s="204">
        <v>9</v>
      </c>
      <c r="H90" s="204">
        <v>9</v>
      </c>
      <c r="I90" s="321">
        <v>9143</v>
      </c>
      <c r="J90" s="322">
        <v>1728</v>
      </c>
      <c r="K90" s="201">
        <f>(J90/G90)</f>
        <v>192</v>
      </c>
      <c r="L90" s="202">
        <f aca="true" t="shared" si="2" ref="L90:L111">I90/J90</f>
        <v>5.291087962962963</v>
      </c>
      <c r="M90" s="321">
        <f>109364.5+38539+31287+12101+5368+8640.5+12331+9410+9143</f>
        <v>236184</v>
      </c>
      <c r="N90" s="322">
        <f>11866+4674+4443+2133+1061+1670+2334+1542+1728</f>
        <v>31451</v>
      </c>
      <c r="O90" s="208">
        <f>M90/N90</f>
        <v>7.509586340656895</v>
      </c>
      <c r="P90" s="255"/>
    </row>
    <row r="91" spans="1:16" ht="15">
      <c r="A91" s="66">
        <v>88</v>
      </c>
      <c r="B91" s="240" t="s">
        <v>144</v>
      </c>
      <c r="C91" s="236">
        <v>39801</v>
      </c>
      <c r="D91" s="235" t="s">
        <v>130</v>
      </c>
      <c r="E91" s="235" t="s">
        <v>122</v>
      </c>
      <c r="F91" s="237">
        <v>69</v>
      </c>
      <c r="G91" s="237">
        <v>5</v>
      </c>
      <c r="H91" s="237">
        <v>8</v>
      </c>
      <c r="I91" s="331">
        <v>8718</v>
      </c>
      <c r="J91" s="238">
        <v>1256</v>
      </c>
      <c r="K91" s="238">
        <f>J91/G91</f>
        <v>251.2</v>
      </c>
      <c r="L91" s="239">
        <f t="shared" si="2"/>
        <v>6.941082802547771</v>
      </c>
      <c r="M91" s="331">
        <f>820286+588484+413907+112495+41441-111+9385+4586+8718</f>
        <v>1999191</v>
      </c>
      <c r="N91" s="238">
        <f>83839+57678+42374+12212+5722-11+2124+1350+1256</f>
        <v>206544</v>
      </c>
      <c r="O91" s="241">
        <f aca="true" t="shared" si="3" ref="O91:O96">+M91/N91</f>
        <v>9.679249941900999</v>
      </c>
      <c r="P91" s="255"/>
    </row>
    <row r="92" spans="1:16" ht="15">
      <c r="A92" s="66">
        <v>89</v>
      </c>
      <c r="B92" s="49" t="s">
        <v>64</v>
      </c>
      <c r="C92" s="39">
        <v>39759</v>
      </c>
      <c r="D92" s="44" t="s">
        <v>65</v>
      </c>
      <c r="E92" s="44" t="s">
        <v>66</v>
      </c>
      <c r="F92" s="41">
        <v>156</v>
      </c>
      <c r="G92" s="41">
        <v>25</v>
      </c>
      <c r="H92" s="41">
        <v>36</v>
      </c>
      <c r="I92" s="301">
        <v>8580.5</v>
      </c>
      <c r="J92" s="138">
        <v>1327</v>
      </c>
      <c r="K92" s="138">
        <f>J92/G92</f>
        <v>53.08</v>
      </c>
      <c r="L92" s="139">
        <f t="shared" si="2"/>
        <v>6.466088922381311</v>
      </c>
      <c r="M92" s="301">
        <v>23402843</v>
      </c>
      <c r="N92" s="138">
        <v>2785029</v>
      </c>
      <c r="O92" s="103">
        <f t="shared" si="3"/>
        <v>8.40308772368259</v>
      </c>
      <c r="P92" s="255"/>
    </row>
    <row r="93" spans="1:16" ht="15">
      <c r="A93" s="66">
        <v>90</v>
      </c>
      <c r="B93" s="49" t="s">
        <v>64</v>
      </c>
      <c r="C93" s="39">
        <v>39759</v>
      </c>
      <c r="D93" s="44" t="s">
        <v>65</v>
      </c>
      <c r="E93" s="44" t="s">
        <v>66</v>
      </c>
      <c r="F93" s="41">
        <v>156</v>
      </c>
      <c r="G93" s="41">
        <v>21</v>
      </c>
      <c r="H93" s="41">
        <v>37</v>
      </c>
      <c r="I93" s="301">
        <v>8269</v>
      </c>
      <c r="J93" s="138">
        <v>1592</v>
      </c>
      <c r="K93" s="138">
        <f>J93/G93</f>
        <v>75.80952380952381</v>
      </c>
      <c r="L93" s="139">
        <f t="shared" si="2"/>
        <v>5.194095477386934</v>
      </c>
      <c r="M93" s="301">
        <v>23411270</v>
      </c>
      <c r="N93" s="138">
        <v>2786652</v>
      </c>
      <c r="O93" s="103">
        <f t="shared" si="3"/>
        <v>8.40121766191114</v>
      </c>
      <c r="P93" s="255"/>
    </row>
    <row r="94" spans="1:16" ht="15">
      <c r="A94" s="66">
        <v>91</v>
      </c>
      <c r="B94" s="240" t="s">
        <v>53</v>
      </c>
      <c r="C94" s="236">
        <v>39738</v>
      </c>
      <c r="D94" s="235" t="s">
        <v>134</v>
      </c>
      <c r="E94" s="235" t="s">
        <v>54</v>
      </c>
      <c r="F94" s="237">
        <v>67</v>
      </c>
      <c r="G94" s="237">
        <v>8</v>
      </c>
      <c r="H94" s="237">
        <v>16</v>
      </c>
      <c r="I94" s="331">
        <v>7992</v>
      </c>
      <c r="J94" s="238">
        <v>1822</v>
      </c>
      <c r="K94" s="238">
        <f>(J94/G94)</f>
        <v>227.75</v>
      </c>
      <c r="L94" s="239">
        <f t="shared" si="2"/>
        <v>4.386388583973655</v>
      </c>
      <c r="M94" s="331">
        <f>167196+176809+54428+37340+38330.5+23467+11581+5867+4382+2577+3552+2137+545+4006+9422+7992</f>
        <v>549631.5</v>
      </c>
      <c r="N94" s="238">
        <f>19168+21164+7719+6215+6404+4964+2339+1306+907+580+859+440+127+905+2170+1822</f>
        <v>77089</v>
      </c>
      <c r="O94" s="241">
        <f t="shared" si="3"/>
        <v>7.12983045570704</v>
      </c>
      <c r="P94" s="255">
        <v>1</v>
      </c>
    </row>
    <row r="95" spans="1:16" ht="15">
      <c r="A95" s="66">
        <v>92</v>
      </c>
      <c r="B95" s="240" t="s">
        <v>64</v>
      </c>
      <c r="C95" s="236">
        <v>39759</v>
      </c>
      <c r="D95" s="235" t="s">
        <v>65</v>
      </c>
      <c r="E95" s="235" t="s">
        <v>66</v>
      </c>
      <c r="F95" s="237">
        <v>7</v>
      </c>
      <c r="G95" s="237">
        <v>7</v>
      </c>
      <c r="H95" s="237">
        <v>21</v>
      </c>
      <c r="I95" s="331">
        <v>7428.5</v>
      </c>
      <c r="J95" s="238">
        <v>1361</v>
      </c>
      <c r="K95" s="238">
        <f>J95/G95</f>
        <v>194.42857142857142</v>
      </c>
      <c r="L95" s="239">
        <f t="shared" si="2"/>
        <v>5.458119030124908</v>
      </c>
      <c r="M95" s="331">
        <v>23371346.5</v>
      </c>
      <c r="N95" s="238">
        <v>2779817</v>
      </c>
      <c r="O95" s="241">
        <f t="shared" si="3"/>
        <v>8.407512616837726</v>
      </c>
      <c r="P95" s="255">
        <v>1</v>
      </c>
    </row>
    <row r="96" spans="1:16" ht="15">
      <c r="A96" s="66">
        <v>93</v>
      </c>
      <c r="B96" s="240" t="s">
        <v>26</v>
      </c>
      <c r="C96" s="236">
        <v>39808</v>
      </c>
      <c r="D96" s="235" t="s">
        <v>134</v>
      </c>
      <c r="E96" s="235" t="s">
        <v>133</v>
      </c>
      <c r="F96" s="237">
        <v>75</v>
      </c>
      <c r="G96" s="237">
        <v>6</v>
      </c>
      <c r="H96" s="237">
        <v>8</v>
      </c>
      <c r="I96" s="331">
        <v>7402.5</v>
      </c>
      <c r="J96" s="238">
        <v>1623</v>
      </c>
      <c r="K96" s="238">
        <f>(J96/G96)</f>
        <v>270.5</v>
      </c>
      <c r="L96" s="239">
        <f t="shared" si="2"/>
        <v>4.560998151571164</v>
      </c>
      <c r="M96" s="331">
        <f>681566+578530+317284.5+141025.5+34373.5+6375+4225+7402.5</f>
        <v>1770782</v>
      </c>
      <c r="N96" s="238">
        <f>64102+57106+32401+16644+4655+1030+644+1623</f>
        <v>178205</v>
      </c>
      <c r="O96" s="241">
        <f t="shared" si="3"/>
        <v>9.936769450913275</v>
      </c>
      <c r="P96" s="255">
        <v>1</v>
      </c>
    </row>
    <row r="97" spans="1:16" ht="15">
      <c r="A97" s="66">
        <v>94</v>
      </c>
      <c r="B97" s="49" t="s">
        <v>70</v>
      </c>
      <c r="C97" s="40">
        <v>39766</v>
      </c>
      <c r="D97" s="44" t="s">
        <v>132</v>
      </c>
      <c r="E97" s="44" t="s">
        <v>71</v>
      </c>
      <c r="F97" s="41">
        <v>24</v>
      </c>
      <c r="G97" s="41">
        <v>6</v>
      </c>
      <c r="H97" s="41">
        <v>10</v>
      </c>
      <c r="I97" s="301">
        <v>7289</v>
      </c>
      <c r="J97" s="138">
        <v>1185</v>
      </c>
      <c r="K97" s="140">
        <f>(J97/G97)</f>
        <v>197.5</v>
      </c>
      <c r="L97" s="141">
        <f t="shared" si="2"/>
        <v>6.151054852320675</v>
      </c>
      <c r="M97" s="301">
        <f>191668+16358.5+8305+0.5+19699.5+16705.5+7289</f>
        <v>260026</v>
      </c>
      <c r="N97" s="138">
        <f>10324+8249+7871+7121+4755+3362+1751+2958+2636+1185</f>
        <v>50212</v>
      </c>
      <c r="O97" s="105">
        <f>M97/N97</f>
        <v>5.178562893332272</v>
      </c>
      <c r="P97" s="255"/>
    </row>
    <row r="98" spans="1:16" ht="15">
      <c r="A98" s="66">
        <v>95</v>
      </c>
      <c r="B98" s="240" t="s">
        <v>44</v>
      </c>
      <c r="C98" s="236">
        <v>39780</v>
      </c>
      <c r="D98" s="235" t="s">
        <v>131</v>
      </c>
      <c r="E98" s="235" t="s">
        <v>127</v>
      </c>
      <c r="F98" s="237">
        <v>121</v>
      </c>
      <c r="G98" s="237">
        <v>11</v>
      </c>
      <c r="H98" s="237">
        <v>11</v>
      </c>
      <c r="I98" s="331">
        <v>7142</v>
      </c>
      <c r="J98" s="238">
        <v>1658</v>
      </c>
      <c r="K98" s="238">
        <f>J98/G98</f>
        <v>150.72727272727272</v>
      </c>
      <c r="L98" s="239">
        <f t="shared" si="2"/>
        <v>4.307599517490953</v>
      </c>
      <c r="M98" s="331">
        <v>3452849</v>
      </c>
      <c r="N98" s="238">
        <v>404945</v>
      </c>
      <c r="O98" s="241">
        <f>+M98/N98</f>
        <v>8.52671103483189</v>
      </c>
      <c r="P98" s="255"/>
    </row>
    <row r="99" spans="1:16" ht="15">
      <c r="A99" s="66">
        <v>96</v>
      </c>
      <c r="B99" s="240" t="s">
        <v>186</v>
      </c>
      <c r="C99" s="236">
        <v>37995</v>
      </c>
      <c r="D99" s="235" t="s">
        <v>92</v>
      </c>
      <c r="E99" s="235" t="s">
        <v>93</v>
      </c>
      <c r="F99" s="237">
        <v>66</v>
      </c>
      <c r="G99" s="237">
        <v>3</v>
      </c>
      <c r="H99" s="237">
        <v>19</v>
      </c>
      <c r="I99" s="331">
        <v>7128</v>
      </c>
      <c r="J99" s="238">
        <v>1782</v>
      </c>
      <c r="K99" s="238">
        <f>J99/G99</f>
        <v>594</v>
      </c>
      <c r="L99" s="239">
        <f t="shared" si="2"/>
        <v>4</v>
      </c>
      <c r="M99" s="331">
        <v>514860</v>
      </c>
      <c r="N99" s="238">
        <v>80093</v>
      </c>
      <c r="O99" s="241">
        <f>+M99/N99</f>
        <v>6.4282771278388875</v>
      </c>
      <c r="P99" s="255"/>
    </row>
    <row r="100" spans="1:16" ht="15">
      <c r="A100" s="66">
        <v>97</v>
      </c>
      <c r="B100" s="240" t="s">
        <v>187</v>
      </c>
      <c r="C100" s="236">
        <v>38478</v>
      </c>
      <c r="D100" s="235" t="s">
        <v>92</v>
      </c>
      <c r="E100" s="235" t="s">
        <v>188</v>
      </c>
      <c r="F100" s="237">
        <v>11</v>
      </c>
      <c r="G100" s="237">
        <v>3</v>
      </c>
      <c r="H100" s="237">
        <v>18</v>
      </c>
      <c r="I100" s="331">
        <v>7128</v>
      </c>
      <c r="J100" s="238">
        <v>1782</v>
      </c>
      <c r="K100" s="238">
        <f>J100/G100</f>
        <v>594</v>
      </c>
      <c r="L100" s="239">
        <f t="shared" si="2"/>
        <v>4</v>
      </c>
      <c r="M100" s="331">
        <v>31473</v>
      </c>
      <c r="N100" s="238">
        <v>6183</v>
      </c>
      <c r="O100" s="241">
        <f>+M100/N100</f>
        <v>5.090247452692868</v>
      </c>
      <c r="P100" s="255"/>
    </row>
    <row r="101" spans="1:16" ht="15">
      <c r="A101" s="66">
        <v>98</v>
      </c>
      <c r="B101" s="240" t="s">
        <v>161</v>
      </c>
      <c r="C101" s="236">
        <v>39766</v>
      </c>
      <c r="D101" s="235" t="s">
        <v>197</v>
      </c>
      <c r="E101" s="235" t="s">
        <v>198</v>
      </c>
      <c r="F101" s="237">
        <v>50</v>
      </c>
      <c r="G101" s="237">
        <v>4</v>
      </c>
      <c r="H101" s="237">
        <v>17</v>
      </c>
      <c r="I101" s="331">
        <v>7116</v>
      </c>
      <c r="J101" s="238">
        <v>1424</v>
      </c>
      <c r="K101" s="238">
        <f>J101/G101</f>
        <v>356</v>
      </c>
      <c r="L101" s="239">
        <f t="shared" si="2"/>
        <v>4.997191011235955</v>
      </c>
      <c r="M101" s="331">
        <v>232653</v>
      </c>
      <c r="N101" s="238">
        <v>34366</v>
      </c>
      <c r="O101" s="241">
        <f>+M101/N101</f>
        <v>6.769859745096898</v>
      </c>
      <c r="P101" s="255"/>
    </row>
    <row r="102" spans="1:16" ht="15">
      <c r="A102" s="66">
        <v>99</v>
      </c>
      <c r="B102" s="240" t="s">
        <v>70</v>
      </c>
      <c r="C102" s="236">
        <v>39766</v>
      </c>
      <c r="D102" s="235" t="s">
        <v>132</v>
      </c>
      <c r="E102" s="235" t="s">
        <v>71</v>
      </c>
      <c r="F102" s="237">
        <v>4</v>
      </c>
      <c r="G102" s="237">
        <v>4</v>
      </c>
      <c r="H102" s="237">
        <v>15</v>
      </c>
      <c r="I102" s="331">
        <v>6536.5</v>
      </c>
      <c r="J102" s="238">
        <v>961</v>
      </c>
      <c r="K102" s="238">
        <f>(J102/G102)</f>
        <v>240.25</v>
      </c>
      <c r="L102" s="239">
        <f t="shared" si="2"/>
        <v>6.801768990634756</v>
      </c>
      <c r="M102" s="331">
        <f>191668+16358.5+8305+0.5+19699.5+16705.5+7289+4467+3138+2267+1882+6536</f>
        <v>278316</v>
      </c>
      <c r="N102" s="238">
        <f>10324+8249+7871+7121+4755+3362+1751+2958+2636+1185+800+596+440+265+961</f>
        <v>53274</v>
      </c>
      <c r="O102" s="241">
        <f>M102/N102</f>
        <v>5.22423696362203</v>
      </c>
      <c r="P102" s="255">
        <v>1</v>
      </c>
    </row>
    <row r="103" spans="1:16" ht="15">
      <c r="A103" s="66">
        <v>100</v>
      </c>
      <c r="B103" s="240" t="s">
        <v>26</v>
      </c>
      <c r="C103" s="236">
        <v>39808</v>
      </c>
      <c r="D103" s="235" t="s">
        <v>134</v>
      </c>
      <c r="E103" s="235" t="s">
        <v>133</v>
      </c>
      <c r="F103" s="237">
        <v>75</v>
      </c>
      <c r="G103" s="237">
        <v>8</v>
      </c>
      <c r="H103" s="237">
        <v>6</v>
      </c>
      <c r="I103" s="331">
        <v>6375</v>
      </c>
      <c r="J103" s="238">
        <v>1030</v>
      </c>
      <c r="K103" s="238">
        <f>(J103/G103)</f>
        <v>128.75</v>
      </c>
      <c r="L103" s="239">
        <f t="shared" si="2"/>
        <v>6.189320388349515</v>
      </c>
      <c r="M103" s="331">
        <f>681566+578530+317284.5+141025.5+34373.5+6375</f>
        <v>1759154.5</v>
      </c>
      <c r="N103" s="238">
        <f>64102+57106+32401+16644+4655+1030</f>
        <v>175938</v>
      </c>
      <c r="O103" s="241">
        <f>+M103/N103</f>
        <v>9.998718298491514</v>
      </c>
      <c r="P103" s="255"/>
    </row>
    <row r="104" spans="1:16" ht="15">
      <c r="A104" s="66">
        <v>101</v>
      </c>
      <c r="B104" s="240" t="s">
        <v>72</v>
      </c>
      <c r="C104" s="236">
        <v>39773</v>
      </c>
      <c r="D104" s="235" t="s">
        <v>131</v>
      </c>
      <c r="E104" s="235" t="s">
        <v>126</v>
      </c>
      <c r="F104" s="237">
        <v>204</v>
      </c>
      <c r="G104" s="237">
        <v>6</v>
      </c>
      <c r="H104" s="237">
        <v>12</v>
      </c>
      <c r="I104" s="331">
        <v>6238</v>
      </c>
      <c r="J104" s="238">
        <v>2271</v>
      </c>
      <c r="K104" s="238">
        <f>J104/G104</f>
        <v>378.5</v>
      </c>
      <c r="L104" s="239">
        <f t="shared" si="2"/>
        <v>2.7468075737560547</v>
      </c>
      <c r="M104" s="331">
        <v>11437045</v>
      </c>
      <c r="N104" s="238">
        <v>1416123</v>
      </c>
      <c r="O104" s="241">
        <f>+M104/N104</f>
        <v>8.076307637119092</v>
      </c>
      <c r="P104" s="255"/>
    </row>
    <row r="105" spans="1:16" ht="15">
      <c r="A105" s="66">
        <v>102</v>
      </c>
      <c r="B105" s="49" t="s">
        <v>47</v>
      </c>
      <c r="C105" s="40">
        <v>39780</v>
      </c>
      <c r="D105" s="45" t="s">
        <v>134</v>
      </c>
      <c r="E105" s="44" t="s">
        <v>33</v>
      </c>
      <c r="F105" s="41">
        <v>6</v>
      </c>
      <c r="G105" s="41">
        <v>2</v>
      </c>
      <c r="H105" s="41">
        <v>7</v>
      </c>
      <c r="I105" s="327">
        <v>6202</v>
      </c>
      <c r="J105" s="328">
        <v>1523</v>
      </c>
      <c r="K105" s="140">
        <f>(J105/G105)</f>
        <v>761.5</v>
      </c>
      <c r="L105" s="141">
        <f t="shared" si="2"/>
        <v>4.072225869993434</v>
      </c>
      <c r="M105" s="327">
        <f>25457+3030+1123+7370+430+997+6202</f>
        <v>44609</v>
      </c>
      <c r="N105" s="328">
        <f>2151+404+165+1079+59+230+1523</f>
        <v>5611</v>
      </c>
      <c r="O105" s="105">
        <f>M105/N105</f>
        <v>7.9502762430939224</v>
      </c>
      <c r="P105" s="255"/>
    </row>
    <row r="106" spans="1:16" ht="15">
      <c r="A106" s="66">
        <v>103</v>
      </c>
      <c r="B106" s="49" t="s">
        <v>64</v>
      </c>
      <c r="C106" s="39">
        <v>39759</v>
      </c>
      <c r="D106" s="44" t="s">
        <v>65</v>
      </c>
      <c r="E106" s="44" t="s">
        <v>66</v>
      </c>
      <c r="F106" s="41">
        <v>156</v>
      </c>
      <c r="G106" s="41">
        <v>16</v>
      </c>
      <c r="H106" s="41">
        <v>34</v>
      </c>
      <c r="I106" s="301">
        <v>6092</v>
      </c>
      <c r="J106" s="138">
        <v>999</v>
      </c>
      <c r="K106" s="138">
        <f>J106/G106</f>
        <v>62.4375</v>
      </c>
      <c r="L106" s="139">
        <f t="shared" si="2"/>
        <v>6.098098098098098</v>
      </c>
      <c r="M106" s="301">
        <v>23391181.5</v>
      </c>
      <c r="N106" s="138">
        <v>2783228</v>
      </c>
      <c r="O106" s="103">
        <f>+M106/N106</f>
        <v>8.404335361673567</v>
      </c>
      <c r="P106" s="255"/>
    </row>
    <row r="107" spans="1:16" ht="15">
      <c r="A107" s="66">
        <v>104</v>
      </c>
      <c r="B107" s="244" t="s">
        <v>139</v>
      </c>
      <c r="C107" s="236">
        <v>39787</v>
      </c>
      <c r="D107" s="235" t="s">
        <v>132</v>
      </c>
      <c r="E107" s="235" t="s">
        <v>140</v>
      </c>
      <c r="F107" s="237">
        <v>242</v>
      </c>
      <c r="G107" s="237">
        <v>1</v>
      </c>
      <c r="H107" s="237">
        <v>17</v>
      </c>
      <c r="I107" s="331">
        <v>6035</v>
      </c>
      <c r="J107" s="238">
        <v>1509</v>
      </c>
      <c r="K107" s="238">
        <f>J107/G107</f>
        <v>1509</v>
      </c>
      <c r="L107" s="239">
        <f t="shared" si="2"/>
        <v>3.9993373094764744</v>
      </c>
      <c r="M107" s="331">
        <f>9280968+4694050.5+1992628+1117778+528440.5+225948.5+100229.5+60712.5+23747.5+18022-1837+3858+1591+1095+16460.5+3147+260+6035</f>
        <v>18073134.5</v>
      </c>
      <c r="N107" s="238">
        <f>1147876+614752+261380+141495+73035+33259+17736+11735+4194+3845-458+781+321+218+3333+770+49+1509</f>
        <v>2315830</v>
      </c>
      <c r="O107" s="241">
        <f>+M107/N107</f>
        <v>7.80417150654409</v>
      </c>
      <c r="P107" s="255">
        <v>1</v>
      </c>
    </row>
    <row r="108" spans="1:16" ht="15">
      <c r="A108" s="66">
        <v>105</v>
      </c>
      <c r="B108" s="240" t="s">
        <v>142</v>
      </c>
      <c r="C108" s="236">
        <v>39794</v>
      </c>
      <c r="D108" s="235" t="s">
        <v>134</v>
      </c>
      <c r="E108" s="235" t="s">
        <v>133</v>
      </c>
      <c r="F108" s="237">
        <v>100</v>
      </c>
      <c r="G108" s="237">
        <v>2</v>
      </c>
      <c r="H108" s="237">
        <v>14</v>
      </c>
      <c r="I108" s="331">
        <v>5940</v>
      </c>
      <c r="J108" s="238">
        <v>1485</v>
      </c>
      <c r="K108" s="238">
        <f>(J108/G108)</f>
        <v>742.5</v>
      </c>
      <c r="L108" s="239">
        <f t="shared" si="2"/>
        <v>4</v>
      </c>
      <c r="M108" s="331">
        <f>1276778.5+626123+380324+112679.5+54533+36086+4129+3620.5+4348+1030+1904+420+1049+5940</f>
        <v>2508964.5</v>
      </c>
      <c r="N108" s="238">
        <f>133555+68793+41581+14968+8873+6454+539+324+976+204+524+65+169+1485</f>
        <v>278510</v>
      </c>
      <c r="O108" s="241">
        <f>M108/N108</f>
        <v>9.008525726185775</v>
      </c>
      <c r="P108" s="255"/>
    </row>
    <row r="109" spans="1:16" ht="15">
      <c r="A109" s="66">
        <v>106</v>
      </c>
      <c r="B109" s="49" t="s">
        <v>22</v>
      </c>
      <c r="C109" s="39">
        <v>39787</v>
      </c>
      <c r="D109" s="44" t="s">
        <v>131</v>
      </c>
      <c r="E109" s="44" t="s">
        <v>35</v>
      </c>
      <c r="F109" s="41">
        <v>406</v>
      </c>
      <c r="G109" s="41">
        <v>1</v>
      </c>
      <c r="H109" s="41">
        <v>35</v>
      </c>
      <c r="I109" s="301">
        <v>5934</v>
      </c>
      <c r="J109" s="138">
        <v>2075</v>
      </c>
      <c r="K109" s="138">
        <f>J109/G109</f>
        <v>2075</v>
      </c>
      <c r="L109" s="139">
        <f t="shared" si="2"/>
        <v>2.8597590361445784</v>
      </c>
      <c r="M109" s="301">
        <v>30409627</v>
      </c>
      <c r="N109" s="138">
        <v>3705908</v>
      </c>
      <c r="O109" s="103">
        <f>+M109/N109</f>
        <v>8.2057155763176</v>
      </c>
      <c r="P109" s="247">
        <v>1</v>
      </c>
    </row>
    <row r="110" spans="1:16" ht="15">
      <c r="A110" s="66">
        <v>107</v>
      </c>
      <c r="B110" s="209" t="s">
        <v>73</v>
      </c>
      <c r="C110" s="205">
        <v>39772</v>
      </c>
      <c r="D110" s="196" t="s">
        <v>134</v>
      </c>
      <c r="E110" s="203" t="s">
        <v>105</v>
      </c>
      <c r="F110" s="204">
        <v>195</v>
      </c>
      <c r="G110" s="204">
        <v>7</v>
      </c>
      <c r="H110" s="204">
        <v>8</v>
      </c>
      <c r="I110" s="321">
        <v>5786</v>
      </c>
      <c r="J110" s="322">
        <v>1216</v>
      </c>
      <c r="K110" s="201">
        <f>(J110/G110)</f>
        <v>173.71428571428572</v>
      </c>
      <c r="L110" s="202">
        <f t="shared" si="2"/>
        <v>4.7582236842105265</v>
      </c>
      <c r="M110" s="321">
        <f>1011017+512350.5+217314+64545+38656.5+8087+9376.5+5786</f>
        <v>1867132.5</v>
      </c>
      <c r="N110" s="322">
        <f>136878+68007+31396+9807+8372+1564+2234+1216</f>
        <v>259474</v>
      </c>
      <c r="O110" s="208">
        <f>M110/N110</f>
        <v>7.19583657707516</v>
      </c>
      <c r="P110" s="255"/>
    </row>
    <row r="111" spans="1:16" ht="15">
      <c r="A111" s="66">
        <v>108</v>
      </c>
      <c r="B111" s="49" t="s">
        <v>69</v>
      </c>
      <c r="C111" s="40">
        <v>39766</v>
      </c>
      <c r="D111" s="45" t="s">
        <v>134</v>
      </c>
      <c r="E111" s="44" t="s">
        <v>50</v>
      </c>
      <c r="F111" s="41">
        <v>20</v>
      </c>
      <c r="G111" s="41">
        <v>5</v>
      </c>
      <c r="H111" s="41">
        <v>10</v>
      </c>
      <c r="I111" s="327">
        <v>5719</v>
      </c>
      <c r="J111" s="328">
        <v>1224</v>
      </c>
      <c r="K111" s="140">
        <f>(J111/G111)</f>
        <v>244.8</v>
      </c>
      <c r="L111" s="141">
        <f t="shared" si="2"/>
        <v>4.6723856209150325</v>
      </c>
      <c r="M111" s="327">
        <f>109364.5+38539+31287+12101+5368+8640.5+12331+9410+9143+5719</f>
        <v>241903</v>
      </c>
      <c r="N111" s="328">
        <f>11866+4674+4443+2133+1061+1670+2334+1542+1728+1224</f>
        <v>32675</v>
      </c>
      <c r="O111" s="105">
        <f>M111/N111</f>
        <v>7.403305279265494</v>
      </c>
      <c r="P111" s="255"/>
    </row>
    <row r="112" spans="1:16" ht="15">
      <c r="A112" s="66">
        <v>109</v>
      </c>
      <c r="B112" s="233" t="s">
        <v>72</v>
      </c>
      <c r="C112" s="40">
        <v>39773</v>
      </c>
      <c r="D112" s="226" t="s">
        <v>131</v>
      </c>
      <c r="E112" s="226" t="s">
        <v>159</v>
      </c>
      <c r="F112" s="227">
        <v>204</v>
      </c>
      <c r="G112" s="227">
        <v>7</v>
      </c>
      <c r="H112" s="227">
        <v>10</v>
      </c>
      <c r="I112" s="332">
        <v>5694</v>
      </c>
      <c r="J112" s="230">
        <v>1248</v>
      </c>
      <c r="K112" s="230">
        <f>J112/G112</f>
        <v>178.28571428571428</v>
      </c>
      <c r="L112" s="139">
        <f>+I112/J112</f>
        <v>4.5625</v>
      </c>
      <c r="M112" s="332">
        <v>11427196</v>
      </c>
      <c r="N112" s="230">
        <v>1412742</v>
      </c>
      <c r="O112" s="103">
        <f>+M112/N112</f>
        <v>8.088664455364107</v>
      </c>
      <c r="P112" s="255"/>
    </row>
    <row r="113" spans="1:16" ht="15">
      <c r="A113" s="66">
        <v>110</v>
      </c>
      <c r="B113" s="240" t="s">
        <v>25</v>
      </c>
      <c r="C113" s="236">
        <v>39808</v>
      </c>
      <c r="D113" s="235" t="s">
        <v>131</v>
      </c>
      <c r="E113" s="235" t="s">
        <v>111</v>
      </c>
      <c r="F113" s="237">
        <v>112</v>
      </c>
      <c r="G113" s="237">
        <v>6</v>
      </c>
      <c r="H113" s="237">
        <v>14</v>
      </c>
      <c r="I113" s="331">
        <v>5668</v>
      </c>
      <c r="J113" s="238">
        <v>957</v>
      </c>
      <c r="K113" s="238">
        <f>J113/G113</f>
        <v>159.5</v>
      </c>
      <c r="L113" s="239">
        <f>+I113/J113</f>
        <v>5.922675026123302</v>
      </c>
      <c r="M113" s="331">
        <v>2048337</v>
      </c>
      <c r="N113" s="238">
        <v>211629</v>
      </c>
      <c r="O113" s="241">
        <f>+M113/N113</f>
        <v>9.678905064995819</v>
      </c>
      <c r="P113" s="255">
        <v>1</v>
      </c>
    </row>
    <row r="114" spans="1:16" ht="15">
      <c r="A114" s="66">
        <v>111</v>
      </c>
      <c r="B114" s="240" t="s">
        <v>69</v>
      </c>
      <c r="C114" s="236">
        <v>39766</v>
      </c>
      <c r="D114" s="235" t="s">
        <v>134</v>
      </c>
      <c r="E114" s="235" t="s">
        <v>50</v>
      </c>
      <c r="F114" s="237">
        <v>20</v>
      </c>
      <c r="G114" s="237">
        <v>6</v>
      </c>
      <c r="H114" s="237">
        <v>16</v>
      </c>
      <c r="I114" s="331">
        <v>5587</v>
      </c>
      <c r="J114" s="238">
        <v>749</v>
      </c>
      <c r="K114" s="238">
        <f>(J114/G114)</f>
        <v>124.83333333333333</v>
      </c>
      <c r="L114" s="239">
        <f>I114/J114</f>
        <v>7.459279038718291</v>
      </c>
      <c r="M114" s="331">
        <f>109364.5+38539+31287+12101+5368+8640.5+12331+9410+9143+5719+2775+1424+1017+338+1223+1447+5587</f>
        <v>255714</v>
      </c>
      <c r="N114" s="238">
        <f>11866+4674+4443+2133+1061+1670+2334+1542+1728+1224+544+356+207+68+185+229+749</f>
        <v>35013</v>
      </c>
      <c r="O114" s="241">
        <f>M114/N114</f>
        <v>7.303401593693771</v>
      </c>
      <c r="P114" s="255"/>
    </row>
    <row r="115" spans="1:16" ht="15">
      <c r="A115" s="66">
        <v>112</v>
      </c>
      <c r="B115" s="53" t="s">
        <v>145</v>
      </c>
      <c r="C115" s="39">
        <v>39801</v>
      </c>
      <c r="D115" s="126" t="s">
        <v>136</v>
      </c>
      <c r="E115" s="126" t="s">
        <v>146</v>
      </c>
      <c r="F115" s="50">
        <v>84</v>
      </c>
      <c r="G115" s="50">
        <v>10</v>
      </c>
      <c r="H115" s="50">
        <v>6</v>
      </c>
      <c r="I115" s="335">
        <v>5392.5</v>
      </c>
      <c r="J115" s="232">
        <v>1094</v>
      </c>
      <c r="K115" s="231">
        <f>IF(I115&lt;&gt;0,J115/G115,"")</f>
        <v>109.4</v>
      </c>
      <c r="L115" s="137">
        <f>IF(I115&lt;&gt;0,I115/J115,"")</f>
        <v>4.9291590493601465</v>
      </c>
      <c r="M115" s="335">
        <f>369313.5+145108.5+43813+31258+11772.5+5392.5</f>
        <v>606658</v>
      </c>
      <c r="N115" s="230">
        <f>41017+16460+6346+5364+2357+1094</f>
        <v>72638</v>
      </c>
      <c r="O115" s="104">
        <f>IF(M115&lt;&gt;0,M115/N115,"")</f>
        <v>8.351799333682095</v>
      </c>
      <c r="P115" s="255">
        <v>1</v>
      </c>
    </row>
    <row r="116" spans="1:16" ht="15">
      <c r="A116" s="66">
        <v>113</v>
      </c>
      <c r="B116" s="49" t="s">
        <v>67</v>
      </c>
      <c r="C116" s="40">
        <v>39759</v>
      </c>
      <c r="D116" s="45" t="s">
        <v>134</v>
      </c>
      <c r="E116" s="44" t="s">
        <v>143</v>
      </c>
      <c r="F116" s="41">
        <v>93</v>
      </c>
      <c r="G116" s="41">
        <v>4</v>
      </c>
      <c r="H116" s="41">
        <v>9</v>
      </c>
      <c r="I116" s="327">
        <v>5279</v>
      </c>
      <c r="J116" s="328">
        <v>685</v>
      </c>
      <c r="K116" s="140">
        <f>(J116/G116)</f>
        <v>171.25</v>
      </c>
      <c r="L116" s="141">
        <f>I116/J116</f>
        <v>7.706569343065693</v>
      </c>
      <c r="M116" s="327">
        <f>224223+136351+27895+24212+1274+3482+7147+2804+5279</f>
        <v>432667</v>
      </c>
      <c r="N116" s="328">
        <f>27969+18593+4268+4646+311+857+1472+745+685</f>
        <v>59546</v>
      </c>
      <c r="O116" s="105">
        <f>M116/N116</f>
        <v>7.26609679911329</v>
      </c>
      <c r="P116" s="255">
        <v>1</v>
      </c>
    </row>
    <row r="117" spans="1:16" ht="15">
      <c r="A117" s="66">
        <v>114</v>
      </c>
      <c r="B117" s="53" t="s">
        <v>58</v>
      </c>
      <c r="C117" s="39">
        <v>39745</v>
      </c>
      <c r="D117" s="45" t="s">
        <v>4</v>
      </c>
      <c r="E117" s="45" t="s">
        <v>59</v>
      </c>
      <c r="F117" s="50">
        <v>72</v>
      </c>
      <c r="G117" s="50">
        <v>14</v>
      </c>
      <c r="H117" s="50">
        <v>33</v>
      </c>
      <c r="I117" s="327">
        <v>5244</v>
      </c>
      <c r="J117" s="328">
        <v>1024</v>
      </c>
      <c r="K117" s="136">
        <f>+J117/G117</f>
        <v>73.14285714285714</v>
      </c>
      <c r="L117" s="137">
        <f>+I117/J117</f>
        <v>5.12109375</v>
      </c>
      <c r="M117" s="327">
        <v>1646541</v>
      </c>
      <c r="N117" s="328">
        <v>186404</v>
      </c>
      <c r="O117" s="104">
        <f>+M117/N117</f>
        <v>8.83318491019506</v>
      </c>
      <c r="P117" s="255"/>
    </row>
    <row r="118" spans="1:16" ht="15">
      <c r="A118" s="66">
        <v>115</v>
      </c>
      <c r="B118" s="240" t="s">
        <v>53</v>
      </c>
      <c r="C118" s="236">
        <v>39738</v>
      </c>
      <c r="D118" s="235" t="s">
        <v>134</v>
      </c>
      <c r="E118" s="235" t="s">
        <v>54</v>
      </c>
      <c r="F118" s="237">
        <v>67</v>
      </c>
      <c r="G118" s="237">
        <v>7</v>
      </c>
      <c r="H118" s="237">
        <v>17</v>
      </c>
      <c r="I118" s="331">
        <v>4936</v>
      </c>
      <c r="J118" s="238">
        <v>1050</v>
      </c>
      <c r="K118" s="238">
        <f>(J118/G118)</f>
        <v>150</v>
      </c>
      <c r="L118" s="239">
        <f>I118/J118</f>
        <v>4.700952380952381</v>
      </c>
      <c r="M118" s="331">
        <f>167196+176809+54428+37340+38330.5+23467+11581+5867+4382+2577+3552+2137+545+4006+9422+7992+4936</f>
        <v>554567.5</v>
      </c>
      <c r="N118" s="238">
        <f>19168+21164+7719+6215+6404+4964+2339+1306+907+580+859+440+127+905+2170+1822+1050</f>
        <v>78139</v>
      </c>
      <c r="O118" s="241">
        <f>M118/N118</f>
        <v>7.097192183160778</v>
      </c>
      <c r="P118" s="255">
        <v>1</v>
      </c>
    </row>
    <row r="119" spans="1:16" ht="15">
      <c r="A119" s="66">
        <v>116</v>
      </c>
      <c r="B119" s="53" t="s">
        <v>149</v>
      </c>
      <c r="C119" s="39">
        <v>39801</v>
      </c>
      <c r="D119" s="45" t="s">
        <v>4</v>
      </c>
      <c r="E119" s="45" t="s">
        <v>77</v>
      </c>
      <c r="F119" s="50">
        <v>19</v>
      </c>
      <c r="G119" s="50">
        <v>9</v>
      </c>
      <c r="H119" s="50">
        <v>3</v>
      </c>
      <c r="I119" s="327">
        <v>4887</v>
      </c>
      <c r="J119" s="328">
        <v>751</v>
      </c>
      <c r="K119" s="136">
        <f>+J119/G119</f>
        <v>83.44444444444444</v>
      </c>
      <c r="L119" s="137">
        <f>+I119/J119</f>
        <v>6.507323568575233</v>
      </c>
      <c r="M119" s="327">
        <v>136638</v>
      </c>
      <c r="N119" s="328">
        <v>12656</v>
      </c>
      <c r="O119" s="104">
        <f>+M119/N119</f>
        <v>10.796302149178256</v>
      </c>
      <c r="P119" s="255">
        <v>1</v>
      </c>
    </row>
    <row r="120" spans="1:16" ht="15">
      <c r="A120" s="66">
        <v>117</v>
      </c>
      <c r="B120" s="49" t="s">
        <v>45</v>
      </c>
      <c r="C120" s="40">
        <v>39780</v>
      </c>
      <c r="D120" s="45" t="s">
        <v>134</v>
      </c>
      <c r="E120" s="44" t="s">
        <v>78</v>
      </c>
      <c r="F120" s="41">
        <v>61</v>
      </c>
      <c r="G120" s="41">
        <v>8</v>
      </c>
      <c r="H120" s="41">
        <v>6</v>
      </c>
      <c r="I120" s="327">
        <v>4772</v>
      </c>
      <c r="J120" s="328">
        <v>944</v>
      </c>
      <c r="K120" s="140">
        <f>(J120/G120)</f>
        <v>118</v>
      </c>
      <c r="L120" s="141">
        <f aca="true" t="shared" si="4" ref="L120:L127">I120/J120</f>
        <v>5.055084745762712</v>
      </c>
      <c r="M120" s="327">
        <f>499000.5+313125.5+89561.5+27980+2002.5+4772</f>
        <v>936442</v>
      </c>
      <c r="N120" s="328">
        <f>48458+27725+9315+4737+330+944</f>
        <v>91509</v>
      </c>
      <c r="O120" s="105">
        <f>M120/N120</f>
        <v>10.233332240544646</v>
      </c>
      <c r="P120" s="255"/>
    </row>
    <row r="121" spans="1:16" ht="15">
      <c r="A121" s="66">
        <v>118</v>
      </c>
      <c r="B121" s="240" t="s">
        <v>144</v>
      </c>
      <c r="C121" s="236">
        <v>39801</v>
      </c>
      <c r="D121" s="235" t="s">
        <v>130</v>
      </c>
      <c r="E121" s="235" t="s">
        <v>122</v>
      </c>
      <c r="F121" s="237">
        <v>69</v>
      </c>
      <c r="G121" s="237">
        <v>6</v>
      </c>
      <c r="H121" s="237">
        <v>7</v>
      </c>
      <c r="I121" s="331">
        <v>4586</v>
      </c>
      <c r="J121" s="238">
        <v>1350</v>
      </c>
      <c r="K121" s="238">
        <f>J121/G121</f>
        <v>225</v>
      </c>
      <c r="L121" s="239">
        <f t="shared" si="4"/>
        <v>3.397037037037037</v>
      </c>
      <c r="M121" s="331">
        <f>820286+588484+413907+112495+41441-111+9385+4586</f>
        <v>1990473</v>
      </c>
      <c r="N121" s="238">
        <f>83839+57678+42374+12212+5722-11+2124+1350</f>
        <v>205288</v>
      </c>
      <c r="O121" s="241">
        <f>+M121/N121</f>
        <v>9.696002688905343</v>
      </c>
      <c r="P121" s="255"/>
    </row>
    <row r="122" spans="1:16" ht="15">
      <c r="A122" s="66">
        <v>119</v>
      </c>
      <c r="B122" s="49" t="s">
        <v>147</v>
      </c>
      <c r="C122" s="39">
        <v>39801</v>
      </c>
      <c r="D122" s="44" t="s">
        <v>134</v>
      </c>
      <c r="E122" s="44" t="s">
        <v>148</v>
      </c>
      <c r="F122" s="41">
        <v>42</v>
      </c>
      <c r="G122" s="41">
        <v>4</v>
      </c>
      <c r="H122" s="41">
        <v>17</v>
      </c>
      <c r="I122" s="301">
        <v>4493</v>
      </c>
      <c r="J122" s="138">
        <v>882</v>
      </c>
      <c r="K122" s="138">
        <f>(J122/G122)</f>
        <v>220.5</v>
      </c>
      <c r="L122" s="139">
        <f t="shared" si="4"/>
        <v>5.094104308390023</v>
      </c>
      <c r="M122" s="301">
        <f>295344+204961.5+145464.5+116108.5+111972.5+49984+26327+32042+18579+20005+19180+15980+2686.5+3166.5+366+13433+4493</f>
        <v>1080093</v>
      </c>
      <c r="N122" s="138">
        <f>36142+24747+19417+15404+14719+7567+3314+5289+3173+3275+3534+2826+540+724+52+2536+882</f>
        <v>144141</v>
      </c>
      <c r="O122" s="103">
        <f>M122/N122</f>
        <v>7.493308635294607</v>
      </c>
      <c r="P122" s="247">
        <v>1</v>
      </c>
    </row>
    <row r="123" spans="1:16" ht="15">
      <c r="A123" s="66">
        <v>120</v>
      </c>
      <c r="B123" s="240" t="s">
        <v>26</v>
      </c>
      <c r="C123" s="236">
        <v>39808</v>
      </c>
      <c r="D123" s="235" t="s">
        <v>134</v>
      </c>
      <c r="E123" s="235" t="s">
        <v>133</v>
      </c>
      <c r="F123" s="237">
        <v>75</v>
      </c>
      <c r="G123" s="237">
        <v>5</v>
      </c>
      <c r="H123" s="237">
        <v>10</v>
      </c>
      <c r="I123" s="331">
        <v>4479</v>
      </c>
      <c r="J123" s="238">
        <v>828</v>
      </c>
      <c r="K123" s="238">
        <f>(J123/G123)</f>
        <v>165.6</v>
      </c>
      <c r="L123" s="239">
        <f t="shared" si="4"/>
        <v>5.409420289855072</v>
      </c>
      <c r="M123" s="331">
        <f>681566+578530+317284.5+141025.5+34373.5+6375+4225+7402.5+1014+4479</f>
        <v>1776275</v>
      </c>
      <c r="N123" s="238">
        <f>64102+57106+32401+16644+4655+1030+644+1623+143+828</f>
        <v>179176</v>
      </c>
      <c r="O123" s="241">
        <f>M123/N123</f>
        <v>9.913576595079698</v>
      </c>
      <c r="P123" s="255"/>
    </row>
    <row r="124" spans="1:16" ht="15">
      <c r="A124" s="66">
        <v>121</v>
      </c>
      <c r="B124" s="233" t="s">
        <v>70</v>
      </c>
      <c r="C124" s="40">
        <v>39766</v>
      </c>
      <c r="D124" s="226" t="s">
        <v>132</v>
      </c>
      <c r="E124" s="226" t="s">
        <v>71</v>
      </c>
      <c r="F124" s="227">
        <v>5</v>
      </c>
      <c r="G124" s="227">
        <v>5</v>
      </c>
      <c r="H124" s="227">
        <v>11</v>
      </c>
      <c r="I124" s="332">
        <v>4467</v>
      </c>
      <c r="J124" s="230">
        <v>800</v>
      </c>
      <c r="K124" s="228">
        <f>J124/G124</f>
        <v>160</v>
      </c>
      <c r="L124" s="229">
        <f t="shared" si="4"/>
        <v>5.58375</v>
      </c>
      <c r="M124" s="332">
        <f>191668+16358.5+8305+0.5+19699.5+16705.5+7289+4467</f>
        <v>264493</v>
      </c>
      <c r="N124" s="230">
        <f>10324+8249+7871+7121+4755+3362+1751+2958+2636+1185+800</f>
        <v>51012</v>
      </c>
      <c r="O124" s="234">
        <f>M124/N124</f>
        <v>5.184917274366816</v>
      </c>
      <c r="P124" s="255">
        <v>1</v>
      </c>
    </row>
    <row r="125" spans="1:16" ht="15">
      <c r="A125" s="66">
        <v>122</v>
      </c>
      <c r="B125" s="240" t="s">
        <v>231</v>
      </c>
      <c r="C125" s="236">
        <v>38800</v>
      </c>
      <c r="D125" s="235" t="s">
        <v>136</v>
      </c>
      <c r="E125" s="235" t="s">
        <v>230</v>
      </c>
      <c r="F125" s="237">
        <v>58</v>
      </c>
      <c r="G125" s="237">
        <v>1</v>
      </c>
      <c r="H125" s="237">
        <v>35</v>
      </c>
      <c r="I125" s="331">
        <v>4398</v>
      </c>
      <c r="J125" s="238">
        <v>880</v>
      </c>
      <c r="K125" s="238">
        <f>J125/G125</f>
        <v>880</v>
      </c>
      <c r="L125" s="239">
        <f t="shared" si="4"/>
        <v>4.997727272727273</v>
      </c>
      <c r="M125" s="331">
        <v>887325.4</v>
      </c>
      <c r="N125" s="238">
        <v>136390</v>
      </c>
      <c r="O125" s="241">
        <f>+M125/N125</f>
        <v>6.505795146271721</v>
      </c>
      <c r="P125" s="255"/>
    </row>
    <row r="126" spans="1:16" ht="15">
      <c r="A126" s="66">
        <v>123</v>
      </c>
      <c r="B126" s="240" t="s">
        <v>229</v>
      </c>
      <c r="C126" s="236">
        <v>39164</v>
      </c>
      <c r="D126" s="235" t="s">
        <v>136</v>
      </c>
      <c r="E126" s="235" t="s">
        <v>230</v>
      </c>
      <c r="F126" s="237">
        <v>118</v>
      </c>
      <c r="G126" s="237">
        <v>1</v>
      </c>
      <c r="H126" s="237">
        <v>31</v>
      </c>
      <c r="I126" s="331">
        <v>4398</v>
      </c>
      <c r="J126" s="238">
        <v>880</v>
      </c>
      <c r="K126" s="238">
        <f>J126/G126</f>
        <v>880</v>
      </c>
      <c r="L126" s="239">
        <f t="shared" si="4"/>
        <v>4.997727272727273</v>
      </c>
      <c r="M126" s="331">
        <v>1513399.5</v>
      </c>
      <c r="N126" s="238">
        <v>202459</v>
      </c>
      <c r="O126" s="241">
        <f>+M126/N126</f>
        <v>7.475091253043826</v>
      </c>
      <c r="P126" s="255">
        <v>1</v>
      </c>
    </row>
    <row r="127" spans="1:16" ht="15">
      <c r="A127" s="66">
        <v>124</v>
      </c>
      <c r="B127" s="240" t="s">
        <v>142</v>
      </c>
      <c r="C127" s="236">
        <v>39794</v>
      </c>
      <c r="D127" s="235" t="s">
        <v>134</v>
      </c>
      <c r="E127" s="235" t="s">
        <v>133</v>
      </c>
      <c r="F127" s="237">
        <v>100</v>
      </c>
      <c r="G127" s="237">
        <v>5</v>
      </c>
      <c r="H127" s="237">
        <v>9</v>
      </c>
      <c r="I127" s="331">
        <v>4348</v>
      </c>
      <c r="J127" s="238">
        <v>976</v>
      </c>
      <c r="K127" s="238">
        <f>(J127/G127)</f>
        <v>195.2</v>
      </c>
      <c r="L127" s="239">
        <f t="shared" si="4"/>
        <v>4.454918032786885</v>
      </c>
      <c r="M127" s="331">
        <f>1276778.5+626123+380324+112679.5+54533+36086+4129+3620.5+4348</f>
        <v>2498621.5</v>
      </c>
      <c r="N127" s="238">
        <f>133555+68793+41581+14968+8873+6454+539+324+976</f>
        <v>276063</v>
      </c>
      <c r="O127" s="241">
        <f>M127/N127</f>
        <v>9.05091048057871</v>
      </c>
      <c r="P127" s="255"/>
    </row>
    <row r="128" spans="1:16" ht="15">
      <c r="A128" s="66">
        <v>125</v>
      </c>
      <c r="B128" s="48" t="s">
        <v>56</v>
      </c>
      <c r="C128" s="39">
        <v>39745</v>
      </c>
      <c r="D128" s="42" t="s">
        <v>136</v>
      </c>
      <c r="E128" s="42" t="s">
        <v>46</v>
      </c>
      <c r="F128" s="54">
        <v>104</v>
      </c>
      <c r="G128" s="54">
        <v>6</v>
      </c>
      <c r="H128" s="54">
        <v>11</v>
      </c>
      <c r="I128" s="329">
        <v>4346</v>
      </c>
      <c r="J128" s="140">
        <v>1003</v>
      </c>
      <c r="K128" s="136">
        <f>IF(I128&lt;&gt;0,J128/G128,"")</f>
        <v>167.16666666666666</v>
      </c>
      <c r="L128" s="137">
        <f>IF(I128&lt;&gt;0,I128/J128,"")</f>
        <v>4.333000997008973</v>
      </c>
      <c r="M128" s="329">
        <f>821522+622841.5+494230+434015.5+185757.5+145248.5+16130+16159+2033+6489+4346</f>
        <v>2748772</v>
      </c>
      <c r="N128" s="138">
        <f>99216+78381+65128+58419+30420+24530+3077+3918+431+1704+1003</f>
        <v>366227</v>
      </c>
      <c r="O128" s="104">
        <f>IF(M128&lt;&gt;0,M128/N128,"")</f>
        <v>7.505650866812114</v>
      </c>
      <c r="P128" s="255"/>
    </row>
    <row r="129" spans="1:16" ht="15">
      <c r="A129" s="66">
        <v>126</v>
      </c>
      <c r="B129" s="275" t="s">
        <v>165</v>
      </c>
      <c r="C129" s="39">
        <v>39766</v>
      </c>
      <c r="D129" s="44" t="s">
        <v>279</v>
      </c>
      <c r="E129" s="44" t="s">
        <v>166</v>
      </c>
      <c r="F129" s="41">
        <v>17</v>
      </c>
      <c r="G129" s="41">
        <v>3</v>
      </c>
      <c r="H129" s="41">
        <v>20</v>
      </c>
      <c r="I129" s="332">
        <v>4306</v>
      </c>
      <c r="J129" s="138">
        <v>837</v>
      </c>
      <c r="K129" s="138">
        <f>J129/G129</f>
        <v>279</v>
      </c>
      <c r="L129" s="273">
        <f aca="true" t="shared" si="5" ref="L129:L135">I129/J129</f>
        <v>5.144563918757467</v>
      </c>
      <c r="M129" s="332">
        <v>83743</v>
      </c>
      <c r="N129" s="138">
        <v>11888</v>
      </c>
      <c r="O129" s="274">
        <f>+M129/N129</f>
        <v>7.044330417227457</v>
      </c>
      <c r="P129" s="255">
        <v>1</v>
      </c>
    </row>
    <row r="130" spans="1:16" ht="15">
      <c r="A130" s="66">
        <v>127</v>
      </c>
      <c r="B130" s="240" t="s">
        <v>26</v>
      </c>
      <c r="C130" s="236">
        <v>39808</v>
      </c>
      <c r="D130" s="235" t="s">
        <v>134</v>
      </c>
      <c r="E130" s="235" t="s">
        <v>133</v>
      </c>
      <c r="F130" s="237">
        <v>75</v>
      </c>
      <c r="G130" s="237">
        <v>8</v>
      </c>
      <c r="H130" s="237">
        <v>7</v>
      </c>
      <c r="I130" s="331">
        <v>4225</v>
      </c>
      <c r="J130" s="238">
        <v>644</v>
      </c>
      <c r="K130" s="238">
        <f>(J130/G130)</f>
        <v>80.5</v>
      </c>
      <c r="L130" s="239">
        <f t="shared" si="5"/>
        <v>6.5605590062111805</v>
      </c>
      <c r="M130" s="331">
        <f>681566+578530+317284.5+141025.5+34373.5+6375+4225</f>
        <v>1763379.5</v>
      </c>
      <c r="N130" s="238">
        <f>64102+57106+32401+16644+4655+1030+644</f>
        <v>176582</v>
      </c>
      <c r="O130" s="241">
        <f>M130/N130</f>
        <v>9.986179225515624</v>
      </c>
      <c r="P130" s="255"/>
    </row>
    <row r="131" spans="1:16" ht="15">
      <c r="A131" s="66">
        <v>128</v>
      </c>
      <c r="B131" s="233" t="s">
        <v>142</v>
      </c>
      <c r="C131" s="40">
        <v>39794</v>
      </c>
      <c r="D131" s="126" t="s">
        <v>134</v>
      </c>
      <c r="E131" s="226" t="s">
        <v>133</v>
      </c>
      <c r="F131" s="227">
        <v>100</v>
      </c>
      <c r="G131" s="227">
        <v>9</v>
      </c>
      <c r="H131" s="227">
        <v>7</v>
      </c>
      <c r="I131" s="325">
        <v>4129</v>
      </c>
      <c r="J131" s="326">
        <v>539</v>
      </c>
      <c r="K131" s="232">
        <f>(J131/G131)</f>
        <v>59.888888888888886</v>
      </c>
      <c r="L131" s="141">
        <f t="shared" si="5"/>
        <v>7.6604823747680895</v>
      </c>
      <c r="M131" s="325">
        <f>1276778.5+626123+380324+112679.5+54533+36086+4129</f>
        <v>2490653</v>
      </c>
      <c r="N131" s="326">
        <f>133555+68793+41581+14968+8873+6454+539</f>
        <v>274763</v>
      </c>
      <c r="O131" s="105">
        <f>M131/N131</f>
        <v>9.064732150981028</v>
      </c>
      <c r="P131" s="255"/>
    </row>
    <row r="132" spans="1:16" ht="15">
      <c r="A132" s="66">
        <v>129</v>
      </c>
      <c r="B132" s="49" t="s">
        <v>53</v>
      </c>
      <c r="C132" s="40">
        <v>39738</v>
      </c>
      <c r="D132" s="45" t="s">
        <v>134</v>
      </c>
      <c r="E132" s="44" t="s">
        <v>54</v>
      </c>
      <c r="F132" s="41">
        <v>67</v>
      </c>
      <c r="G132" s="41">
        <v>10</v>
      </c>
      <c r="H132" s="41">
        <v>14</v>
      </c>
      <c r="I132" s="327">
        <v>4006</v>
      </c>
      <c r="J132" s="328">
        <v>905</v>
      </c>
      <c r="K132" s="140">
        <f>(J132/G132)</f>
        <v>90.5</v>
      </c>
      <c r="L132" s="141">
        <f t="shared" si="5"/>
        <v>4.4265193370165745</v>
      </c>
      <c r="M132" s="327">
        <f>167196+176809+54428+37340+38330.5+23467+11581+5867+4382+2577+3552+2137+545+4006</f>
        <v>532217.5</v>
      </c>
      <c r="N132" s="328">
        <f>19168+21164+7719+6215+6404+4964+2339+1306+907+580+859+440+127+905</f>
        <v>73097</v>
      </c>
      <c r="O132" s="105">
        <f>M132/N132</f>
        <v>7.280975963445832</v>
      </c>
      <c r="P132" s="255"/>
    </row>
    <row r="133" spans="1:16" ht="15">
      <c r="A133" s="66">
        <v>130</v>
      </c>
      <c r="B133" s="49" t="s">
        <v>72</v>
      </c>
      <c r="C133" s="39">
        <v>39773</v>
      </c>
      <c r="D133" s="44" t="s">
        <v>131</v>
      </c>
      <c r="E133" s="44" t="s">
        <v>460</v>
      </c>
      <c r="F133" s="41">
        <v>204</v>
      </c>
      <c r="G133" s="41">
        <v>13</v>
      </c>
      <c r="H133" s="41">
        <v>36</v>
      </c>
      <c r="I133" s="301">
        <v>3993</v>
      </c>
      <c r="J133" s="138">
        <v>781</v>
      </c>
      <c r="K133" s="138">
        <f>J133/G133</f>
        <v>60.07692307692308</v>
      </c>
      <c r="L133" s="139">
        <f t="shared" si="5"/>
        <v>5.112676056338028</v>
      </c>
      <c r="M133" s="301">
        <v>11471601</v>
      </c>
      <c r="N133" s="138">
        <v>1422439</v>
      </c>
      <c r="O133" s="103">
        <f>+M133/N133</f>
        <v>8.064740210300759</v>
      </c>
      <c r="P133" s="255"/>
    </row>
    <row r="134" spans="1:16" ht="15">
      <c r="A134" s="66">
        <v>131</v>
      </c>
      <c r="B134" s="240" t="s">
        <v>64</v>
      </c>
      <c r="C134" s="236">
        <v>39759</v>
      </c>
      <c r="D134" s="235" t="s">
        <v>65</v>
      </c>
      <c r="E134" s="235" t="s">
        <v>66</v>
      </c>
      <c r="F134" s="237">
        <v>5</v>
      </c>
      <c r="G134" s="237">
        <v>5</v>
      </c>
      <c r="H134" s="237">
        <v>20</v>
      </c>
      <c r="I134" s="331">
        <v>3980.5</v>
      </c>
      <c r="J134" s="238">
        <v>760</v>
      </c>
      <c r="K134" s="238">
        <f>J134/G134</f>
        <v>152</v>
      </c>
      <c r="L134" s="239">
        <f t="shared" si="5"/>
        <v>5.2375</v>
      </c>
      <c r="M134" s="331">
        <v>23363918</v>
      </c>
      <c r="N134" s="238">
        <v>2778456</v>
      </c>
      <c r="O134" s="241">
        <f>+M134/N134</f>
        <v>8.408957348973674</v>
      </c>
      <c r="P134" s="255"/>
    </row>
    <row r="135" spans="1:16" ht="15">
      <c r="A135" s="66">
        <v>132</v>
      </c>
      <c r="B135" s="240" t="s">
        <v>139</v>
      </c>
      <c r="C135" s="236">
        <v>39787</v>
      </c>
      <c r="D135" s="235" t="s">
        <v>132</v>
      </c>
      <c r="E135" s="235" t="s">
        <v>140</v>
      </c>
      <c r="F135" s="237">
        <v>2</v>
      </c>
      <c r="G135" s="237">
        <v>2</v>
      </c>
      <c r="H135" s="237">
        <v>11</v>
      </c>
      <c r="I135" s="331">
        <v>3858</v>
      </c>
      <c r="J135" s="238">
        <v>781</v>
      </c>
      <c r="K135" s="238">
        <f>(J135/G135)</f>
        <v>390.5</v>
      </c>
      <c r="L135" s="239">
        <f t="shared" si="5"/>
        <v>4.939820742637644</v>
      </c>
      <c r="M135" s="331">
        <f>9280968+4694050.5+1992628+1117778+528440.5+225948.5+100229.5+60712.5+23747.5+18022-1837+3858</f>
        <v>18044546</v>
      </c>
      <c r="N135" s="238">
        <f>1147876+614752+261380+141495+73035+33259+17736+11735+4194+3845-458+781</f>
        <v>2309630</v>
      </c>
      <c r="O135" s="241">
        <f>+M135/N135</f>
        <v>7.812743166654399</v>
      </c>
      <c r="P135" s="255">
        <v>1</v>
      </c>
    </row>
    <row r="136" spans="1:16" ht="15">
      <c r="A136" s="66">
        <v>133</v>
      </c>
      <c r="B136" s="53" t="s">
        <v>58</v>
      </c>
      <c r="C136" s="39">
        <v>39745</v>
      </c>
      <c r="D136" s="45" t="s">
        <v>4</v>
      </c>
      <c r="E136" s="45" t="s">
        <v>59</v>
      </c>
      <c r="F136" s="50">
        <v>72</v>
      </c>
      <c r="G136" s="50">
        <v>1</v>
      </c>
      <c r="H136" s="50">
        <v>13</v>
      </c>
      <c r="I136" s="327">
        <v>3795</v>
      </c>
      <c r="J136" s="328">
        <v>578</v>
      </c>
      <c r="K136" s="136">
        <f>+J136/G136</f>
        <v>578</v>
      </c>
      <c r="L136" s="137">
        <f>+I136/J136</f>
        <v>6.5657439446366785</v>
      </c>
      <c r="M136" s="327">
        <v>1288149</v>
      </c>
      <c r="N136" s="328">
        <v>145860</v>
      </c>
      <c r="O136" s="104">
        <f>+M136/N136</f>
        <v>8.831406828465653</v>
      </c>
      <c r="P136" s="255"/>
    </row>
    <row r="137" spans="1:16" ht="15">
      <c r="A137" s="66">
        <v>134</v>
      </c>
      <c r="B137" s="48" t="s">
        <v>68</v>
      </c>
      <c r="C137" s="39">
        <v>39759</v>
      </c>
      <c r="D137" s="42" t="s">
        <v>136</v>
      </c>
      <c r="E137" s="215" t="s">
        <v>31</v>
      </c>
      <c r="F137" s="54">
        <v>40</v>
      </c>
      <c r="G137" s="54">
        <v>3</v>
      </c>
      <c r="H137" s="54">
        <v>11</v>
      </c>
      <c r="I137" s="329">
        <v>3725</v>
      </c>
      <c r="J137" s="140">
        <v>659</v>
      </c>
      <c r="K137" s="136">
        <f>IF(I137&lt;&gt;0,J137/G137,"")</f>
        <v>219.66666666666666</v>
      </c>
      <c r="L137" s="137">
        <f>IF(I137&lt;&gt;0,I137/J137,"")</f>
        <v>5.652503793626707</v>
      </c>
      <c r="M137" s="329">
        <f>84918+52341+11404+7823+3207+2014+937+2034+556+1450+3725</f>
        <v>170409</v>
      </c>
      <c r="N137" s="138">
        <f>10694+7043+2046+1560+538+345+174+389+77+318+659</f>
        <v>23843</v>
      </c>
      <c r="O137" s="104">
        <f>IF(M137&lt;&gt;0,M137/N137,"")</f>
        <v>7.147129136434174</v>
      </c>
      <c r="P137" s="255">
        <v>1</v>
      </c>
    </row>
    <row r="138" spans="1:16" ht="15">
      <c r="A138" s="66">
        <v>135</v>
      </c>
      <c r="B138" s="240" t="s">
        <v>49</v>
      </c>
      <c r="C138" s="236">
        <v>39710</v>
      </c>
      <c r="D138" s="235" t="s">
        <v>132</v>
      </c>
      <c r="E138" s="235" t="s">
        <v>177</v>
      </c>
      <c r="F138" s="237">
        <v>1</v>
      </c>
      <c r="G138" s="237">
        <v>1</v>
      </c>
      <c r="H138" s="237">
        <v>19</v>
      </c>
      <c r="I138" s="331">
        <v>3655</v>
      </c>
      <c r="J138" s="238">
        <v>1215</v>
      </c>
      <c r="K138" s="238">
        <f>J138/G138</f>
        <v>1215</v>
      </c>
      <c r="L138" s="239">
        <f>I138/J138</f>
        <v>3.0082304526748973</v>
      </c>
      <c r="M138" s="331">
        <f>152576+127511+68854.5+21974+10111.5+7103+7290+0.5+1014+3149+989+3524+0.5+3768+138+2528+257+351.5+573.5+184+3655</f>
        <v>415552</v>
      </c>
      <c r="N138" s="238">
        <f>50018+825+47+65+137+67+1215</f>
        <v>52374</v>
      </c>
      <c r="O138" s="241">
        <f aca="true" t="shared" si="6" ref="O138:O146">+M138/N138</f>
        <v>7.93431855500821</v>
      </c>
      <c r="P138" s="255"/>
    </row>
    <row r="139" spans="1:16" ht="15">
      <c r="A139" s="66">
        <v>136</v>
      </c>
      <c r="B139" s="240" t="s">
        <v>142</v>
      </c>
      <c r="C139" s="236">
        <v>39794</v>
      </c>
      <c r="D139" s="235" t="s">
        <v>134</v>
      </c>
      <c r="E139" s="235" t="s">
        <v>133</v>
      </c>
      <c r="F139" s="237">
        <v>100</v>
      </c>
      <c r="G139" s="237">
        <v>4</v>
      </c>
      <c r="H139" s="237">
        <v>8</v>
      </c>
      <c r="I139" s="331">
        <v>3620.5</v>
      </c>
      <c r="J139" s="238">
        <v>324</v>
      </c>
      <c r="K139" s="238">
        <f>(J139/G139)</f>
        <v>81</v>
      </c>
      <c r="L139" s="239">
        <f>I139/J139</f>
        <v>11.174382716049383</v>
      </c>
      <c r="M139" s="331">
        <f>1276778.5+626123+380324+112679.5+54533+36086+4129+3620.5</f>
        <v>2494273.5</v>
      </c>
      <c r="N139" s="238">
        <f>133555+68793+41581+14968+8873+6454+539+324</f>
        <v>275087</v>
      </c>
      <c r="O139" s="241">
        <f t="shared" si="6"/>
        <v>9.067216916829949</v>
      </c>
      <c r="P139" s="255"/>
    </row>
    <row r="140" spans="1:16" ht="15">
      <c r="A140" s="66">
        <v>137</v>
      </c>
      <c r="B140" s="240" t="s">
        <v>72</v>
      </c>
      <c r="C140" s="236">
        <v>39773</v>
      </c>
      <c r="D140" s="235" t="s">
        <v>131</v>
      </c>
      <c r="E140" s="235" t="s">
        <v>126</v>
      </c>
      <c r="F140" s="237">
        <v>204</v>
      </c>
      <c r="G140" s="237">
        <v>4</v>
      </c>
      <c r="H140" s="237">
        <v>11</v>
      </c>
      <c r="I140" s="331">
        <v>3611</v>
      </c>
      <c r="J140" s="238">
        <v>1110</v>
      </c>
      <c r="K140" s="238">
        <f aca="true" t="shared" si="7" ref="K140:K146">J140/G140</f>
        <v>277.5</v>
      </c>
      <c r="L140" s="239">
        <f>I140/J140</f>
        <v>3.253153153153153</v>
      </c>
      <c r="M140" s="331">
        <v>11430807</v>
      </c>
      <c r="N140" s="238">
        <v>1413852</v>
      </c>
      <c r="O140" s="241">
        <f t="shared" si="6"/>
        <v>8.084868147444004</v>
      </c>
      <c r="P140" s="255"/>
    </row>
    <row r="141" spans="1:16" ht="15">
      <c r="A141" s="66">
        <v>138</v>
      </c>
      <c r="B141" s="49" t="s">
        <v>49</v>
      </c>
      <c r="C141" s="39">
        <v>39710</v>
      </c>
      <c r="D141" s="44" t="s">
        <v>132</v>
      </c>
      <c r="E141" s="44" t="s">
        <v>177</v>
      </c>
      <c r="F141" s="41">
        <v>65</v>
      </c>
      <c r="G141" s="41">
        <v>1</v>
      </c>
      <c r="H141" s="41">
        <v>27</v>
      </c>
      <c r="I141" s="301">
        <v>3603</v>
      </c>
      <c r="J141" s="138">
        <v>721</v>
      </c>
      <c r="K141" s="138">
        <f t="shared" si="7"/>
        <v>721</v>
      </c>
      <c r="L141" s="139"/>
      <c r="M141" s="301">
        <f>152576+127511+68854.5+21974+10111.5+7103+7290+0.5+1014+3149+989+3524+0.5+3768+138+2528+257+351.5+573.5+184+3655+10+15+10+210+156+3603+3603</f>
        <v>423159</v>
      </c>
      <c r="N141" s="138">
        <f>50018+825+47+65+137+67+1215+2+3+2+35+26+721+720</f>
        <v>53883</v>
      </c>
      <c r="O141" s="103">
        <f t="shared" si="6"/>
        <v>7.853293246478481</v>
      </c>
      <c r="P141" s="255">
        <v>1</v>
      </c>
    </row>
    <row r="142" spans="1:16" ht="15">
      <c r="A142" s="66">
        <v>139</v>
      </c>
      <c r="B142" s="49" t="s">
        <v>15</v>
      </c>
      <c r="C142" s="39">
        <v>39696</v>
      </c>
      <c r="D142" s="44" t="s">
        <v>132</v>
      </c>
      <c r="E142" s="44" t="s">
        <v>16</v>
      </c>
      <c r="F142" s="41">
        <v>75</v>
      </c>
      <c r="G142" s="41">
        <v>1</v>
      </c>
      <c r="H142" s="41">
        <v>13</v>
      </c>
      <c r="I142" s="301">
        <v>3603</v>
      </c>
      <c r="J142" s="138">
        <v>721</v>
      </c>
      <c r="K142" s="138">
        <f t="shared" si="7"/>
        <v>721</v>
      </c>
      <c r="L142" s="139">
        <f>I142/J142</f>
        <v>4.997226074895978</v>
      </c>
      <c r="M142" s="301">
        <f>86230.5+60757+25197.5+7924+1147+850+226+56+3673+3630+2100+3603+3603</f>
        <v>198997</v>
      </c>
      <c r="N142" s="138">
        <f>10350+7537+3961+1406+201+213+26+9+924+1210+350+721+721</f>
        <v>27629</v>
      </c>
      <c r="O142" s="103">
        <f t="shared" si="6"/>
        <v>7.202468420862138</v>
      </c>
      <c r="P142" s="255">
        <v>1</v>
      </c>
    </row>
    <row r="143" spans="1:16" ht="15">
      <c r="A143" s="66">
        <v>140</v>
      </c>
      <c r="B143" s="49">
        <v>120</v>
      </c>
      <c r="C143" s="39">
        <v>39493</v>
      </c>
      <c r="D143" s="44" t="s">
        <v>132</v>
      </c>
      <c r="E143" s="44" t="s">
        <v>94</v>
      </c>
      <c r="F143" s="41">
        <v>179</v>
      </c>
      <c r="G143" s="41">
        <v>1</v>
      </c>
      <c r="H143" s="41">
        <v>43</v>
      </c>
      <c r="I143" s="301">
        <v>3603</v>
      </c>
      <c r="J143" s="138">
        <v>721</v>
      </c>
      <c r="K143" s="138">
        <f t="shared" si="7"/>
        <v>721</v>
      </c>
      <c r="L143" s="139">
        <f>I143/J143</f>
        <v>4.997226074895978</v>
      </c>
      <c r="M143" s="301">
        <f>940515+844172.5+750489+533469+396399.5+362067.5+228159+211115.5+153941.5+48+73076.5+60280+47290.5+46690+13789+13717.5+9809+2709.5+1288.5+22597.5+10821.5+12218+7313+44774.5+111294+3629+0.5+41599.5+20470.5+5217-3719.5+10067+1376+10253+13391+15635+48+500+2820+500+666+1758+12+12+20+3603</f>
        <v>5025903.5</v>
      </c>
      <c r="N143" s="138">
        <f>135921+127724+124508+97493+101422+99063+62455+57586+44490+6+19837+19877+15923+15427+4822+4847+3310+822+280+7405+3528+4050+2428+14923+37098+1709+6180+3303+3114+328+3418+4411+5191+12+100+806+100+222+586+3+3+5+721</f>
        <v>1035457</v>
      </c>
      <c r="O143" s="103">
        <f t="shared" si="6"/>
        <v>4.853802234182588</v>
      </c>
      <c r="P143" s="255"/>
    </row>
    <row r="144" spans="1:16" ht="15">
      <c r="A144" s="66">
        <v>141</v>
      </c>
      <c r="B144" s="49" t="s">
        <v>15</v>
      </c>
      <c r="C144" s="39">
        <v>39696</v>
      </c>
      <c r="D144" s="44" t="s">
        <v>132</v>
      </c>
      <c r="E144" s="44" t="s">
        <v>16</v>
      </c>
      <c r="F144" s="41">
        <v>75</v>
      </c>
      <c r="G144" s="41">
        <v>1</v>
      </c>
      <c r="H144" s="41">
        <v>12</v>
      </c>
      <c r="I144" s="301">
        <v>3603</v>
      </c>
      <c r="J144" s="138">
        <v>721</v>
      </c>
      <c r="K144" s="138">
        <f t="shared" si="7"/>
        <v>721</v>
      </c>
      <c r="L144" s="139">
        <f>I144/J144</f>
        <v>4.997226074895978</v>
      </c>
      <c r="M144" s="301">
        <f>86230.5+60757+25197.5+7924+1147+850+226+56+3673+3630+2100+3603</f>
        <v>195394</v>
      </c>
      <c r="N144" s="138">
        <f>10350+7537+3961+1406+201+213+26+9+924+1210+350+721</f>
        <v>26908</v>
      </c>
      <c r="O144" s="103">
        <f t="shared" si="6"/>
        <v>7.261557900995986</v>
      </c>
      <c r="P144" s="299">
        <v>1</v>
      </c>
    </row>
    <row r="145" spans="1:16" ht="15">
      <c r="A145" s="66">
        <v>142</v>
      </c>
      <c r="B145" s="49" t="s">
        <v>49</v>
      </c>
      <c r="C145" s="39">
        <v>39710</v>
      </c>
      <c r="D145" s="44" t="s">
        <v>132</v>
      </c>
      <c r="E145" s="44" t="s">
        <v>177</v>
      </c>
      <c r="F145" s="41">
        <v>65</v>
      </c>
      <c r="G145" s="41">
        <v>1</v>
      </c>
      <c r="H145" s="41">
        <v>26</v>
      </c>
      <c r="I145" s="301">
        <v>3603</v>
      </c>
      <c r="J145" s="138">
        <v>721</v>
      </c>
      <c r="K145" s="138">
        <f t="shared" si="7"/>
        <v>721</v>
      </c>
      <c r="L145" s="139">
        <f>I145/J145</f>
        <v>4.997226074895978</v>
      </c>
      <c r="M145" s="301">
        <f>152576+127511+68854.5+21974+10111.5+7103+7290+0.5+1014+3149+989+3524+0.5+3768+138+2528+257+351.5+573.5+184+3655+10+15+10+210+156+3603</f>
        <v>419556</v>
      </c>
      <c r="N145" s="138">
        <f>50018+825+47+65+137+67+1215+2+3+2+35+26+721</f>
        <v>53163</v>
      </c>
      <c r="O145" s="103">
        <f t="shared" si="6"/>
        <v>7.891879690762372</v>
      </c>
      <c r="P145" s="255"/>
    </row>
    <row r="146" spans="1:16" ht="15">
      <c r="A146" s="66">
        <v>143</v>
      </c>
      <c r="B146" s="49">
        <v>120</v>
      </c>
      <c r="C146" s="39">
        <v>39493</v>
      </c>
      <c r="D146" s="44" t="s">
        <v>132</v>
      </c>
      <c r="E146" s="44" t="s">
        <v>94</v>
      </c>
      <c r="F146" s="41">
        <v>179</v>
      </c>
      <c r="G146" s="41">
        <v>1</v>
      </c>
      <c r="H146" s="41">
        <v>44</v>
      </c>
      <c r="I146" s="301">
        <v>3603</v>
      </c>
      <c r="J146" s="138">
        <v>720</v>
      </c>
      <c r="K146" s="138">
        <f t="shared" si="7"/>
        <v>720</v>
      </c>
      <c r="L146" s="139">
        <f>+I146/J146</f>
        <v>5.004166666666666</v>
      </c>
      <c r="M146" s="301">
        <f>940515+844172.5+750489+533469+396399.5+362067.5+228159+211115.5+153941.5+48+73076.5+60280+47290.5+46690+13789+13717.5+9809+2709.5+1288.5+22597.5+10821.5+12218+7313+44774.5+111294+3629+0.5+41599.5+20470.5+5217-3719.5+10067+1376+10253+13391+15635+48+500+2820+500+666+1758+12+12+20+3603+3603</f>
        <v>5029506.5</v>
      </c>
      <c r="N146" s="138">
        <f>135921+127724+124508+97493+101422+99063+62455+57586+44490+6+19837+19877+15923+15427+4822+4847+3310+822+280+7405+3528+4050+2428+14923+37098+1709+6180+3303+3114+328+3418+4411+5191+12+100+806+100+222+586+3+3+5+721+720</f>
        <v>1036177</v>
      </c>
      <c r="O146" s="103">
        <f t="shared" si="6"/>
        <v>4.853906716709597</v>
      </c>
      <c r="P146" s="300">
        <v>1</v>
      </c>
    </row>
    <row r="147" spans="1:16" ht="15">
      <c r="A147" s="66">
        <v>144</v>
      </c>
      <c r="B147" s="275" t="s">
        <v>20</v>
      </c>
      <c r="C147" s="39">
        <v>39773</v>
      </c>
      <c r="D147" s="44" t="s">
        <v>132</v>
      </c>
      <c r="E147" s="44" t="s">
        <v>21</v>
      </c>
      <c r="F147" s="41">
        <v>10</v>
      </c>
      <c r="G147" s="41">
        <v>1</v>
      </c>
      <c r="H147" s="41">
        <v>8</v>
      </c>
      <c r="I147" s="332">
        <v>3597</v>
      </c>
      <c r="J147" s="138">
        <v>600</v>
      </c>
      <c r="K147" s="138">
        <f>(J147/G147)</f>
        <v>600</v>
      </c>
      <c r="L147" s="273">
        <f>I147/J147</f>
        <v>5.995</v>
      </c>
      <c r="M147" s="332">
        <f>43532.5+13875+1400+341+344+969+42+3597</f>
        <v>64100.5</v>
      </c>
      <c r="N147" s="138">
        <f>3969+1359+251+52+61+210+7+600</f>
        <v>6509</v>
      </c>
      <c r="O147" s="274">
        <f>M147/N147</f>
        <v>9.847979720387157</v>
      </c>
      <c r="P147" s="255">
        <v>1</v>
      </c>
    </row>
    <row r="148" spans="1:16" ht="15">
      <c r="A148" s="66">
        <v>145</v>
      </c>
      <c r="B148" s="207" t="s">
        <v>56</v>
      </c>
      <c r="C148" s="195">
        <v>39745</v>
      </c>
      <c r="D148" s="196" t="s">
        <v>136</v>
      </c>
      <c r="E148" s="196" t="s">
        <v>46</v>
      </c>
      <c r="F148" s="197">
        <v>104</v>
      </c>
      <c r="G148" s="197">
        <v>6</v>
      </c>
      <c r="H148" s="197">
        <v>12</v>
      </c>
      <c r="I148" s="333">
        <v>3565</v>
      </c>
      <c r="J148" s="201">
        <v>785</v>
      </c>
      <c r="K148" s="198">
        <f>IF(I148&lt;&gt;0,J148/G148,"")</f>
        <v>130.83333333333334</v>
      </c>
      <c r="L148" s="199">
        <f>IF(I148&lt;&gt;0,I148/J148,"")</f>
        <v>4.54140127388535</v>
      </c>
      <c r="M148" s="333">
        <f>821522+622841.5+494230+434015.5+185757.5+145248.5+16130+16159+2033+6489+4346+3565</f>
        <v>2752337</v>
      </c>
      <c r="N148" s="200">
        <f>99216+78381+65128+58419+30420+24530+3077+3918+431+1704+1003+785</f>
        <v>367012</v>
      </c>
      <c r="O148" s="212">
        <f>IF(M148&lt;&gt;0,M148/N148,"")</f>
        <v>7.4993106492430766</v>
      </c>
      <c r="P148" s="255"/>
    </row>
    <row r="149" spans="1:16" ht="15">
      <c r="A149" s="66">
        <v>146</v>
      </c>
      <c r="B149" s="233" t="s">
        <v>22</v>
      </c>
      <c r="C149" s="236">
        <v>39787</v>
      </c>
      <c r="D149" s="235" t="s">
        <v>131</v>
      </c>
      <c r="E149" s="226" t="s">
        <v>138</v>
      </c>
      <c r="F149" s="237">
        <v>406</v>
      </c>
      <c r="G149" s="237">
        <v>7</v>
      </c>
      <c r="H149" s="237">
        <v>9</v>
      </c>
      <c r="I149" s="331">
        <v>3565</v>
      </c>
      <c r="J149" s="238">
        <v>541</v>
      </c>
      <c r="K149" s="238">
        <f aca="true" t="shared" si="8" ref="K149:K154">J149/G149</f>
        <v>77.28571428571429</v>
      </c>
      <c r="L149" s="239">
        <f>I149/J149</f>
        <v>6.589648798521257</v>
      </c>
      <c r="M149" s="331">
        <v>30389114</v>
      </c>
      <c r="N149" s="238">
        <v>3699746</v>
      </c>
      <c r="O149" s="241">
        <f aca="true" t="shared" si="9" ref="O149:O155">+M149/N149</f>
        <v>8.213837922927683</v>
      </c>
      <c r="P149" s="255">
        <v>1</v>
      </c>
    </row>
    <row r="150" spans="1:16" ht="15">
      <c r="A150" s="66">
        <v>147</v>
      </c>
      <c r="B150" s="49" t="s">
        <v>416</v>
      </c>
      <c r="C150" s="39">
        <v>39423</v>
      </c>
      <c r="D150" s="44" t="s">
        <v>136</v>
      </c>
      <c r="E150" s="44" t="s">
        <v>154</v>
      </c>
      <c r="F150" s="41">
        <v>164</v>
      </c>
      <c r="G150" s="41">
        <v>1</v>
      </c>
      <c r="H150" s="41">
        <v>22</v>
      </c>
      <c r="I150" s="301">
        <v>3564</v>
      </c>
      <c r="J150" s="138">
        <v>713</v>
      </c>
      <c r="K150" s="138">
        <f t="shared" si="8"/>
        <v>713</v>
      </c>
      <c r="L150" s="139">
        <f>I150/J150</f>
        <v>4.998597475455821</v>
      </c>
      <c r="M150" s="301">
        <v>3568606</v>
      </c>
      <c r="N150" s="138">
        <v>441738</v>
      </c>
      <c r="O150" s="103">
        <f t="shared" si="9"/>
        <v>8.078557878199295</v>
      </c>
      <c r="P150" s="247">
        <v>1</v>
      </c>
    </row>
    <row r="151" spans="1:16" ht="15">
      <c r="A151" s="66">
        <v>148</v>
      </c>
      <c r="B151" s="49" t="s">
        <v>56</v>
      </c>
      <c r="C151" s="39">
        <v>39745</v>
      </c>
      <c r="D151" s="44" t="s">
        <v>136</v>
      </c>
      <c r="E151" s="44" t="s">
        <v>46</v>
      </c>
      <c r="F151" s="41">
        <v>104</v>
      </c>
      <c r="G151" s="41">
        <v>2</v>
      </c>
      <c r="H151" s="41">
        <v>21</v>
      </c>
      <c r="I151" s="301">
        <v>3564</v>
      </c>
      <c r="J151" s="138">
        <v>624</v>
      </c>
      <c r="K151" s="138">
        <f t="shared" si="8"/>
        <v>312</v>
      </c>
      <c r="L151" s="139">
        <f>I151/J151</f>
        <v>5.711538461538462</v>
      </c>
      <c r="M151" s="301">
        <v>2764392</v>
      </c>
      <c r="N151" s="138">
        <v>369184</v>
      </c>
      <c r="O151" s="103">
        <f t="shared" si="9"/>
        <v>7.4878434601716215</v>
      </c>
      <c r="P151" s="255"/>
    </row>
    <row r="152" spans="1:16" ht="15">
      <c r="A152" s="66">
        <v>149</v>
      </c>
      <c r="B152" s="240" t="s">
        <v>44</v>
      </c>
      <c r="C152" s="236">
        <v>39780</v>
      </c>
      <c r="D152" s="235" t="s">
        <v>131</v>
      </c>
      <c r="E152" s="235" t="s">
        <v>127</v>
      </c>
      <c r="F152" s="237">
        <v>121</v>
      </c>
      <c r="G152" s="237">
        <v>4</v>
      </c>
      <c r="H152" s="237">
        <v>18</v>
      </c>
      <c r="I152" s="331">
        <v>3563</v>
      </c>
      <c r="J152" s="238">
        <v>697</v>
      </c>
      <c r="K152" s="238">
        <f t="shared" si="8"/>
        <v>174.25</v>
      </c>
      <c r="L152" s="239">
        <f>+I152/J152</f>
        <v>5.111908177905309</v>
      </c>
      <c r="M152" s="331">
        <v>3461806</v>
      </c>
      <c r="N152" s="238">
        <v>407238</v>
      </c>
      <c r="O152" s="241">
        <f t="shared" si="9"/>
        <v>8.500694925326222</v>
      </c>
      <c r="P152" s="255">
        <v>1</v>
      </c>
    </row>
    <row r="153" spans="1:16" ht="15">
      <c r="A153" s="66">
        <v>150</v>
      </c>
      <c r="B153" s="53" t="s">
        <v>62</v>
      </c>
      <c r="C153" s="39">
        <v>39689</v>
      </c>
      <c r="D153" s="126" t="s">
        <v>130</v>
      </c>
      <c r="E153" s="126" t="s">
        <v>63</v>
      </c>
      <c r="F153" s="50">
        <v>100</v>
      </c>
      <c r="G153" s="50">
        <v>4</v>
      </c>
      <c r="H153" s="50">
        <v>12</v>
      </c>
      <c r="I153" s="325">
        <v>3423</v>
      </c>
      <c r="J153" s="326">
        <v>1037</v>
      </c>
      <c r="K153" s="232">
        <f t="shared" si="8"/>
        <v>259.25</v>
      </c>
      <c r="L153" s="141">
        <f>I153/J153</f>
        <v>3.3008678881388622</v>
      </c>
      <c r="M153" s="325">
        <f>17818+1364876+864151+384239+240974+16635+2871+5064-50+5187+276+2654+1278+3423</f>
        <v>2909396</v>
      </c>
      <c r="N153" s="326">
        <f>1487+139515+89937+39711+26370+2302+499+787-9+1471+55+1243+206+1037</f>
        <v>304611</v>
      </c>
      <c r="O153" s="105">
        <f t="shared" si="9"/>
        <v>9.551184953924842</v>
      </c>
      <c r="P153" s="255"/>
    </row>
    <row r="154" spans="1:16" ht="15">
      <c r="A154" s="66">
        <v>151</v>
      </c>
      <c r="B154" s="240" t="s">
        <v>200</v>
      </c>
      <c r="C154" s="236">
        <v>39808</v>
      </c>
      <c r="D154" s="235" t="s">
        <v>131</v>
      </c>
      <c r="E154" s="235" t="s">
        <v>111</v>
      </c>
      <c r="F154" s="237">
        <v>112</v>
      </c>
      <c r="G154" s="237">
        <v>2</v>
      </c>
      <c r="H154" s="237">
        <v>12</v>
      </c>
      <c r="I154" s="331">
        <v>3376</v>
      </c>
      <c r="J154" s="238">
        <v>555</v>
      </c>
      <c r="K154" s="238">
        <f t="shared" si="8"/>
        <v>277.5</v>
      </c>
      <c r="L154" s="239">
        <f>+I154/J154</f>
        <v>6.082882882882883</v>
      </c>
      <c r="M154" s="331">
        <v>2041864</v>
      </c>
      <c r="N154" s="238">
        <v>210512</v>
      </c>
      <c r="O154" s="241">
        <f t="shared" si="9"/>
        <v>9.699513566922551</v>
      </c>
      <c r="P154" s="255"/>
    </row>
    <row r="155" spans="1:16" ht="15">
      <c r="A155" s="66">
        <v>152</v>
      </c>
      <c r="B155" s="275" t="s">
        <v>58</v>
      </c>
      <c r="C155" s="39">
        <v>39745</v>
      </c>
      <c r="D155" s="44" t="s">
        <v>4</v>
      </c>
      <c r="E155" s="44" t="s">
        <v>59</v>
      </c>
      <c r="F155" s="41">
        <v>72</v>
      </c>
      <c r="G155" s="41">
        <v>16</v>
      </c>
      <c r="H155" s="41">
        <v>32</v>
      </c>
      <c r="I155" s="332">
        <v>3333</v>
      </c>
      <c r="J155" s="138">
        <v>477</v>
      </c>
      <c r="K155" s="138">
        <f>+J155/G155</f>
        <v>29.8125</v>
      </c>
      <c r="L155" s="273">
        <f>+I155/J155</f>
        <v>6.987421383647798</v>
      </c>
      <c r="M155" s="332">
        <v>1641297</v>
      </c>
      <c r="N155" s="138">
        <v>185380</v>
      </c>
      <c r="O155" s="274">
        <f t="shared" si="9"/>
        <v>8.853689718416225</v>
      </c>
      <c r="P155" s="266"/>
    </row>
    <row r="156" spans="1:16" ht="15">
      <c r="A156" s="66">
        <v>153</v>
      </c>
      <c r="B156" s="49" t="s">
        <v>53</v>
      </c>
      <c r="C156" s="39">
        <v>39738</v>
      </c>
      <c r="D156" s="44" t="s">
        <v>134</v>
      </c>
      <c r="E156" s="44" t="s">
        <v>54</v>
      </c>
      <c r="F156" s="41">
        <v>67</v>
      </c>
      <c r="G156" s="41">
        <v>2</v>
      </c>
      <c r="H156" s="41">
        <v>28</v>
      </c>
      <c r="I156" s="301">
        <v>3292</v>
      </c>
      <c r="J156" s="138">
        <v>807</v>
      </c>
      <c r="K156" s="138">
        <f>(J156/G156)</f>
        <v>403.5</v>
      </c>
      <c r="L156" s="139">
        <f>I156/J156</f>
        <v>4.079306071871128</v>
      </c>
      <c r="M156" s="301">
        <f>167196+176809+54428+37340+38330.5+23467+11581+5867+4382+2577+3552+2137+545+4006+9422+7992+4936+1547+1147+288+371+2842+1282+168+610+1948+150+3292</f>
        <v>568212.5</v>
      </c>
      <c r="N156" s="138">
        <f>19168+21164+7719+6215+6404+4964+2339+1306+907+580+859+440+127+905+2170+1822+1050+392+333+56+73+734+411+21+61+466+30+807</f>
        <v>81523</v>
      </c>
      <c r="O156" s="103">
        <f>M156/N156</f>
        <v>6.969965531199784</v>
      </c>
      <c r="P156" s="266">
        <v>1</v>
      </c>
    </row>
    <row r="157" spans="1:16" ht="15">
      <c r="A157" s="66">
        <v>154</v>
      </c>
      <c r="B157" s="240" t="s">
        <v>25</v>
      </c>
      <c r="C157" s="236">
        <v>39808</v>
      </c>
      <c r="D157" s="235" t="s">
        <v>131</v>
      </c>
      <c r="E157" s="235" t="s">
        <v>111</v>
      </c>
      <c r="F157" s="237">
        <v>112</v>
      </c>
      <c r="G157" s="237">
        <v>5</v>
      </c>
      <c r="H157" s="237">
        <v>10</v>
      </c>
      <c r="I157" s="331">
        <v>3272</v>
      </c>
      <c r="J157" s="238">
        <v>611</v>
      </c>
      <c r="K157" s="238">
        <f>J157/G157</f>
        <v>122.2</v>
      </c>
      <c r="L157" s="239">
        <f>+I157/J157</f>
        <v>5.355155482815057</v>
      </c>
      <c r="M157" s="331">
        <v>2035193</v>
      </c>
      <c r="N157" s="238">
        <v>209290</v>
      </c>
      <c r="O157" s="241">
        <f>+M157/N157</f>
        <v>9.72427254049405</v>
      </c>
      <c r="P157" s="266">
        <v>1</v>
      </c>
    </row>
    <row r="158" spans="1:16" ht="15">
      <c r="A158" s="66">
        <v>155</v>
      </c>
      <c r="B158" s="240" t="s">
        <v>145</v>
      </c>
      <c r="C158" s="236">
        <v>39801</v>
      </c>
      <c r="D158" s="235" t="s">
        <v>136</v>
      </c>
      <c r="E158" s="235" t="s">
        <v>146</v>
      </c>
      <c r="F158" s="237">
        <v>84</v>
      </c>
      <c r="G158" s="237">
        <v>2</v>
      </c>
      <c r="H158" s="237">
        <v>12</v>
      </c>
      <c r="I158" s="331">
        <v>3267</v>
      </c>
      <c r="J158" s="238">
        <v>653</v>
      </c>
      <c r="K158" s="238">
        <f>J158/G158</f>
        <v>326.5</v>
      </c>
      <c r="L158" s="239">
        <f>I158/J158</f>
        <v>5.003062787136294</v>
      </c>
      <c r="M158" s="331">
        <v>616632</v>
      </c>
      <c r="N158" s="238">
        <v>74493</v>
      </c>
      <c r="O158" s="241">
        <f>+M158/N158</f>
        <v>8.27771736941726</v>
      </c>
      <c r="P158" s="266"/>
    </row>
    <row r="159" spans="1:16" ht="15">
      <c r="A159" s="66">
        <v>156</v>
      </c>
      <c r="B159" s="49" t="s">
        <v>56</v>
      </c>
      <c r="C159" s="39">
        <v>39745</v>
      </c>
      <c r="D159" s="44" t="s">
        <v>136</v>
      </c>
      <c r="E159" s="44" t="s">
        <v>46</v>
      </c>
      <c r="F159" s="41">
        <v>104</v>
      </c>
      <c r="G159" s="41">
        <v>3</v>
      </c>
      <c r="H159" s="41">
        <v>28</v>
      </c>
      <c r="I159" s="301">
        <v>3252</v>
      </c>
      <c r="J159" s="138">
        <v>637</v>
      </c>
      <c r="K159" s="138">
        <f>IF(I159&lt;&gt;0,J159/G159,"")</f>
        <v>212.33333333333334</v>
      </c>
      <c r="L159" s="139">
        <f>IF(I159&lt;&gt;0,I159/J159,"")</f>
        <v>5.1051805337519625</v>
      </c>
      <c r="M159" s="301">
        <v>2774129.25</v>
      </c>
      <c r="N159" s="138">
        <v>370914</v>
      </c>
      <c r="O159" s="103">
        <f>IF(M159&lt;&gt;0,M159/N159,"")</f>
        <v>7.479171047736133</v>
      </c>
      <c r="P159" s="266">
        <v>1</v>
      </c>
    </row>
    <row r="160" spans="1:16" ht="15">
      <c r="A160" s="66">
        <v>157</v>
      </c>
      <c r="B160" s="240" t="s">
        <v>145</v>
      </c>
      <c r="C160" s="236">
        <v>39801</v>
      </c>
      <c r="D160" s="235" t="s">
        <v>136</v>
      </c>
      <c r="E160" s="235" t="s">
        <v>146</v>
      </c>
      <c r="F160" s="237">
        <v>84</v>
      </c>
      <c r="G160" s="237">
        <v>8</v>
      </c>
      <c r="H160" s="237">
        <v>8</v>
      </c>
      <c r="I160" s="331">
        <v>3225</v>
      </c>
      <c r="J160" s="238">
        <v>545</v>
      </c>
      <c r="K160" s="238">
        <f>IF(I160&lt;&gt;0,J160/G160,"")</f>
        <v>68.125</v>
      </c>
      <c r="L160" s="239">
        <f>I160/J160</f>
        <v>5.91743119266055</v>
      </c>
      <c r="M160" s="331">
        <f>369313.5+145108.5+43813+31258+11772.5+5392.5+2080+3225</f>
        <v>611963</v>
      </c>
      <c r="N160" s="238">
        <f>41017+16460+6346+5364+2357+1094+419+545</f>
        <v>73602</v>
      </c>
      <c r="O160" s="241">
        <f>+M160/N160</f>
        <v>8.314488736719111</v>
      </c>
      <c r="P160" s="266"/>
    </row>
    <row r="161" spans="1:16" ht="15">
      <c r="A161" s="66">
        <v>158</v>
      </c>
      <c r="B161" s="240" t="s">
        <v>147</v>
      </c>
      <c r="C161" s="236">
        <v>39801</v>
      </c>
      <c r="D161" s="235" t="s">
        <v>134</v>
      </c>
      <c r="E161" s="235" t="s">
        <v>148</v>
      </c>
      <c r="F161" s="237">
        <v>42</v>
      </c>
      <c r="G161" s="237">
        <v>4</v>
      </c>
      <c r="H161" s="237">
        <v>14</v>
      </c>
      <c r="I161" s="331">
        <v>3166.5</v>
      </c>
      <c r="J161" s="238">
        <v>724</v>
      </c>
      <c r="K161" s="238">
        <f>(J161/G161)</f>
        <v>181</v>
      </c>
      <c r="L161" s="239">
        <f>I161/J161</f>
        <v>4.373618784530387</v>
      </c>
      <c r="M161" s="331">
        <f>295344+204961.5+145464.5+116108.5+111972.5+49984+26327+32042+18579+20005+19180+15980+2686.5+3166.5</f>
        <v>1061801</v>
      </c>
      <c r="N161" s="238">
        <f>36142+24747+19417+15404+14719+7567+3314+5289+3173+3275+3534+2826+540+724</f>
        <v>140671</v>
      </c>
      <c r="O161" s="241">
        <f>M161/N161</f>
        <v>7.548115816337411</v>
      </c>
      <c r="P161" s="266">
        <v>1</v>
      </c>
    </row>
    <row r="162" spans="1:16" ht="15">
      <c r="A162" s="66">
        <v>159</v>
      </c>
      <c r="B162" s="244" t="s">
        <v>139</v>
      </c>
      <c r="C162" s="236">
        <v>39787</v>
      </c>
      <c r="D162" s="235" t="s">
        <v>132</v>
      </c>
      <c r="E162" s="235" t="s">
        <v>140</v>
      </c>
      <c r="F162" s="237">
        <v>2</v>
      </c>
      <c r="G162" s="237">
        <v>2</v>
      </c>
      <c r="H162" s="237">
        <v>15</v>
      </c>
      <c r="I162" s="331">
        <v>3147</v>
      </c>
      <c r="J162" s="238">
        <v>770</v>
      </c>
      <c r="K162" s="238">
        <f>J162/G162</f>
        <v>385</v>
      </c>
      <c r="L162" s="239">
        <f>I162/J162</f>
        <v>4.087012987012987</v>
      </c>
      <c r="M162" s="331">
        <f>9280968+4694050.5+1992628+1117778+528440.5+225948.5+100229.5+60712.5+23747.5+18022-1837+3858+1591+1095+16460.5+3147</f>
        <v>18066839.5</v>
      </c>
      <c r="N162" s="238">
        <f>1147876+614752+261380+141495+73035+33259+17736+11735+4194+3845-458+781+321+218+3333+770</f>
        <v>2314272</v>
      </c>
      <c r="O162" s="241">
        <f aca="true" t="shared" si="10" ref="O162:O167">+M162/N162</f>
        <v>7.806705305167241</v>
      </c>
      <c r="P162" s="266">
        <v>1</v>
      </c>
    </row>
    <row r="163" spans="1:16" ht="15">
      <c r="A163" s="66">
        <v>160</v>
      </c>
      <c r="B163" s="240" t="s">
        <v>70</v>
      </c>
      <c r="C163" s="236">
        <v>39766</v>
      </c>
      <c r="D163" s="235" t="s">
        <v>132</v>
      </c>
      <c r="E163" s="235" t="s">
        <v>71</v>
      </c>
      <c r="F163" s="237">
        <v>3</v>
      </c>
      <c r="G163" s="237">
        <v>3</v>
      </c>
      <c r="H163" s="237">
        <v>12</v>
      </c>
      <c r="I163" s="331">
        <v>3138</v>
      </c>
      <c r="J163" s="238">
        <v>596</v>
      </c>
      <c r="K163" s="238">
        <f>J163/G163</f>
        <v>198.66666666666666</v>
      </c>
      <c r="L163" s="239">
        <f>I163/J163</f>
        <v>5.26510067114094</v>
      </c>
      <c r="M163" s="331">
        <f>191668+16358.5+8305+0.5+19699.5+16705.5+7289+4467+3138</f>
        <v>267631</v>
      </c>
      <c r="N163" s="238">
        <f>10324+8249+7871+7121+4755+3362+1751+2958+2636+1185+800+596</f>
        <v>51608</v>
      </c>
      <c r="O163" s="241">
        <f t="shared" si="10"/>
        <v>5.1858432801116106</v>
      </c>
      <c r="P163" s="266"/>
    </row>
    <row r="164" spans="1:16" ht="15">
      <c r="A164" s="66">
        <v>161</v>
      </c>
      <c r="B164" s="49" t="s">
        <v>64</v>
      </c>
      <c r="C164" s="39">
        <v>39759</v>
      </c>
      <c r="D164" s="44" t="s">
        <v>65</v>
      </c>
      <c r="E164" s="44" t="s">
        <v>478</v>
      </c>
      <c r="F164" s="41">
        <v>156</v>
      </c>
      <c r="G164" s="41">
        <v>9</v>
      </c>
      <c r="H164" s="41">
        <v>35</v>
      </c>
      <c r="I164" s="301">
        <v>3081</v>
      </c>
      <c r="J164" s="138">
        <v>474</v>
      </c>
      <c r="K164" s="138">
        <f>J164/G164</f>
        <v>52.666666666666664</v>
      </c>
      <c r="L164" s="139">
        <f>I164/J164</f>
        <v>6.5</v>
      </c>
      <c r="M164" s="301">
        <v>23394262.5</v>
      </c>
      <c r="N164" s="138">
        <v>2783702</v>
      </c>
      <c r="O164" s="103">
        <f t="shared" si="10"/>
        <v>8.404011097452242</v>
      </c>
      <c r="P164" s="266"/>
    </row>
    <row r="165" spans="1:16" ht="15">
      <c r="A165" s="66">
        <v>162</v>
      </c>
      <c r="B165" s="240" t="s">
        <v>72</v>
      </c>
      <c r="C165" s="236">
        <v>39773</v>
      </c>
      <c r="D165" s="235" t="s">
        <v>131</v>
      </c>
      <c r="E165" s="235" t="s">
        <v>126</v>
      </c>
      <c r="F165" s="237">
        <v>204</v>
      </c>
      <c r="G165" s="237">
        <v>2</v>
      </c>
      <c r="H165" s="237">
        <v>13</v>
      </c>
      <c r="I165" s="331">
        <v>3039</v>
      </c>
      <c r="J165" s="238">
        <v>1034</v>
      </c>
      <c r="K165" s="238">
        <f>J165/G165</f>
        <v>517</v>
      </c>
      <c r="L165" s="239">
        <f>+I165/J165</f>
        <v>2.9390715667311413</v>
      </c>
      <c r="M165" s="331">
        <v>11440084</v>
      </c>
      <c r="N165" s="238">
        <v>1417157</v>
      </c>
      <c r="O165" s="241">
        <f t="shared" si="10"/>
        <v>8.072559356514486</v>
      </c>
      <c r="P165" s="266">
        <v>1</v>
      </c>
    </row>
    <row r="166" spans="1:16" ht="15">
      <c r="A166" s="66">
        <v>163</v>
      </c>
      <c r="B166" s="49" t="s">
        <v>149</v>
      </c>
      <c r="C166" s="39">
        <v>39801</v>
      </c>
      <c r="D166" s="44" t="s">
        <v>4</v>
      </c>
      <c r="E166" s="44" t="s">
        <v>77</v>
      </c>
      <c r="F166" s="41">
        <v>19</v>
      </c>
      <c r="G166" s="41">
        <v>4</v>
      </c>
      <c r="H166" s="41">
        <v>38</v>
      </c>
      <c r="I166" s="301">
        <v>3022</v>
      </c>
      <c r="J166" s="138">
        <v>508</v>
      </c>
      <c r="K166" s="138">
        <f>+J166/G166</f>
        <v>127</v>
      </c>
      <c r="L166" s="139">
        <f>+I166/J166</f>
        <v>5.948818897637795</v>
      </c>
      <c r="M166" s="301">
        <v>154433</v>
      </c>
      <c r="N166" s="138">
        <v>15571</v>
      </c>
      <c r="O166" s="103">
        <f t="shared" si="10"/>
        <v>9.91798856849271</v>
      </c>
      <c r="P166" s="255">
        <v>1</v>
      </c>
    </row>
    <row r="167" spans="1:16" ht="15">
      <c r="A167" s="66">
        <v>164</v>
      </c>
      <c r="B167" s="49" t="s">
        <v>450</v>
      </c>
      <c r="C167" s="39">
        <v>39472</v>
      </c>
      <c r="D167" s="44" t="s">
        <v>197</v>
      </c>
      <c r="E167" s="44" t="s">
        <v>451</v>
      </c>
      <c r="F167" s="41">
        <v>70</v>
      </c>
      <c r="G167" s="41">
        <v>1</v>
      </c>
      <c r="H167" s="41">
        <v>30</v>
      </c>
      <c r="I167" s="301">
        <v>2965</v>
      </c>
      <c r="J167" s="138">
        <v>593</v>
      </c>
      <c r="K167" s="138">
        <f>J167/G167</f>
        <v>593</v>
      </c>
      <c r="L167" s="139">
        <f>I167/J167</f>
        <v>5</v>
      </c>
      <c r="M167" s="301">
        <v>882275</v>
      </c>
      <c r="N167" s="138">
        <v>111910</v>
      </c>
      <c r="O167" s="103">
        <f t="shared" si="10"/>
        <v>7.883790545974444</v>
      </c>
      <c r="P167" s="255">
        <v>1</v>
      </c>
    </row>
    <row r="168" spans="1:16" ht="15">
      <c r="A168" s="66">
        <v>165</v>
      </c>
      <c r="B168" s="53" t="s">
        <v>141</v>
      </c>
      <c r="C168" s="39">
        <v>39780</v>
      </c>
      <c r="D168" s="126" t="s">
        <v>79</v>
      </c>
      <c r="E168" s="126" t="s">
        <v>48</v>
      </c>
      <c r="F168" s="54">
        <v>3</v>
      </c>
      <c r="G168" s="54">
        <v>3</v>
      </c>
      <c r="H168" s="54">
        <v>6</v>
      </c>
      <c r="I168" s="336">
        <v>2890</v>
      </c>
      <c r="J168" s="142">
        <v>437</v>
      </c>
      <c r="K168" s="140">
        <f>(J168/G168)</f>
        <v>145.66666666666666</v>
      </c>
      <c r="L168" s="141">
        <f>I168/J168</f>
        <v>6.613272311212815</v>
      </c>
      <c r="M168" s="336">
        <v>45175.5</v>
      </c>
      <c r="N168" s="142">
        <v>4356</v>
      </c>
      <c r="O168" s="105">
        <f>M168/N168</f>
        <v>10.37086776859504</v>
      </c>
      <c r="P168" s="255">
        <v>1</v>
      </c>
    </row>
    <row r="169" spans="1:16" ht="15">
      <c r="A169" s="66">
        <v>166</v>
      </c>
      <c r="B169" s="240" t="s">
        <v>53</v>
      </c>
      <c r="C169" s="236">
        <v>39738</v>
      </c>
      <c r="D169" s="235" t="s">
        <v>134</v>
      </c>
      <c r="E169" s="235" t="s">
        <v>54</v>
      </c>
      <c r="F169" s="237">
        <v>67</v>
      </c>
      <c r="G169" s="237">
        <v>3</v>
      </c>
      <c r="H169" s="237">
        <v>22</v>
      </c>
      <c r="I169" s="331">
        <v>2842</v>
      </c>
      <c r="J169" s="238">
        <v>734</v>
      </c>
      <c r="K169" s="238">
        <f>(J169/G169)</f>
        <v>244.66666666666666</v>
      </c>
      <c r="L169" s="239">
        <f>I169/J169</f>
        <v>3.871934604904632</v>
      </c>
      <c r="M169" s="331">
        <f>167196+176809+54428+37340+38330.5+23467+11581+5867+4382+2577+3552+2137+545+4006+9422+7992+4936+1547+1147+288+371+2842</f>
        <v>560762.5</v>
      </c>
      <c r="N169" s="238">
        <f>19168+21164+7719+6215+6404+4964+2339+1306+907+580+859+440+127+905+2170+1822+1050+392+333+56+73+734</f>
        <v>79727</v>
      </c>
      <c r="O169" s="241">
        <f>M169/N169</f>
        <v>7.033533181983519</v>
      </c>
      <c r="P169" s="255"/>
    </row>
    <row r="170" spans="1:16" ht="15">
      <c r="A170" s="66">
        <v>167</v>
      </c>
      <c r="B170" s="49" t="s">
        <v>416</v>
      </c>
      <c r="C170" s="39">
        <v>39423</v>
      </c>
      <c r="D170" s="44" t="s">
        <v>136</v>
      </c>
      <c r="E170" s="44" t="s">
        <v>154</v>
      </c>
      <c r="F170" s="41">
        <v>164</v>
      </c>
      <c r="G170" s="41">
        <v>1</v>
      </c>
      <c r="H170" s="41">
        <v>23</v>
      </c>
      <c r="I170" s="301">
        <v>2822</v>
      </c>
      <c r="J170" s="138">
        <v>470</v>
      </c>
      <c r="K170" s="138">
        <f>IF(I170&lt;&gt;0,J170/G170,"")</f>
        <v>470</v>
      </c>
      <c r="L170" s="139">
        <f>IF(I170&lt;&gt;0,I170/J170,"")</f>
        <v>6.004255319148936</v>
      </c>
      <c r="M170" s="301">
        <v>3571428</v>
      </c>
      <c r="N170" s="138">
        <v>442208</v>
      </c>
      <c r="O170" s="103">
        <f>IF(M170&lt;&gt;0,M170/N170,"")</f>
        <v>8.076353209349447</v>
      </c>
      <c r="P170" s="247"/>
    </row>
    <row r="171" spans="1:16" ht="15">
      <c r="A171" s="66">
        <v>168</v>
      </c>
      <c r="B171" s="207" t="s">
        <v>55</v>
      </c>
      <c r="C171" s="195">
        <v>39750</v>
      </c>
      <c r="D171" s="196" t="s">
        <v>130</v>
      </c>
      <c r="E171" s="196" t="s">
        <v>30</v>
      </c>
      <c r="F171" s="197">
        <v>198</v>
      </c>
      <c r="G171" s="197">
        <v>2</v>
      </c>
      <c r="H171" s="197">
        <v>12</v>
      </c>
      <c r="I171" s="321">
        <v>2787</v>
      </c>
      <c r="J171" s="322">
        <v>717</v>
      </c>
      <c r="K171" s="201">
        <f>J171/G171</f>
        <v>358.5</v>
      </c>
      <c r="L171" s="202">
        <f>I171/J171</f>
        <v>3.8870292887029287</v>
      </c>
      <c r="M171" s="321">
        <f>4975832+1882135+1034271+412191+151618-1635+10999+12408+14293+6423+2375+2787</f>
        <v>8503697</v>
      </c>
      <c r="N171" s="322">
        <f>642956+245951+129523+51207+21082-161+1623+2391+2711+1404+495+717</f>
        <v>1099899</v>
      </c>
      <c r="O171" s="208">
        <f>+M171/N171</f>
        <v>7.731343514268128</v>
      </c>
      <c r="P171" s="247"/>
    </row>
    <row r="172" spans="1:16" ht="15">
      <c r="A172" s="66">
        <v>169</v>
      </c>
      <c r="B172" s="233" t="s">
        <v>69</v>
      </c>
      <c r="C172" s="40">
        <v>39766</v>
      </c>
      <c r="D172" s="126" t="s">
        <v>134</v>
      </c>
      <c r="E172" s="226" t="s">
        <v>50</v>
      </c>
      <c r="F172" s="227">
        <v>20</v>
      </c>
      <c r="G172" s="227">
        <v>4</v>
      </c>
      <c r="H172" s="227">
        <v>11</v>
      </c>
      <c r="I172" s="325">
        <v>2775</v>
      </c>
      <c r="J172" s="326">
        <v>544</v>
      </c>
      <c r="K172" s="232">
        <f>(J172/G172)</f>
        <v>136</v>
      </c>
      <c r="L172" s="141">
        <f>I172/J172</f>
        <v>5.101102941176471</v>
      </c>
      <c r="M172" s="325">
        <f>109364.5+38539+31287+12101+5368+8640.5+12331+9410+9143+5719+2775</f>
        <v>244678</v>
      </c>
      <c r="N172" s="326">
        <f>11866+4674+4443+2133+1061+1670+2334+1542+1728+1224+544</f>
        <v>33219</v>
      </c>
      <c r="O172" s="105">
        <f>M172/N172</f>
        <v>7.365604021794756</v>
      </c>
      <c r="P172" s="247"/>
    </row>
    <row r="173" spans="1:16" ht="15">
      <c r="A173" s="66">
        <v>170</v>
      </c>
      <c r="B173" s="49" t="s">
        <v>73</v>
      </c>
      <c r="C173" s="40">
        <v>39772</v>
      </c>
      <c r="D173" s="45" t="s">
        <v>134</v>
      </c>
      <c r="E173" s="44" t="s">
        <v>105</v>
      </c>
      <c r="F173" s="41">
        <v>195</v>
      </c>
      <c r="G173" s="41">
        <v>5</v>
      </c>
      <c r="H173" s="41">
        <v>9</v>
      </c>
      <c r="I173" s="327">
        <v>2692</v>
      </c>
      <c r="J173" s="328">
        <v>553</v>
      </c>
      <c r="K173" s="140">
        <f>(J173/G173)</f>
        <v>110.6</v>
      </c>
      <c r="L173" s="141">
        <f>I173/J173</f>
        <v>4.867992766726944</v>
      </c>
      <c r="M173" s="327">
        <f>1011017+512350.5+217314+64545+38656.5+8087+9376.5+5786+2692</f>
        <v>1869824.5</v>
      </c>
      <c r="N173" s="328">
        <f>136878+68007+31396+9807+8372+1564+2234+1216+553</f>
        <v>260027</v>
      </c>
      <c r="O173" s="105">
        <f>M173/N173</f>
        <v>7.190885946459406</v>
      </c>
      <c r="P173" s="247">
        <v>1</v>
      </c>
    </row>
    <row r="174" spans="1:16" ht="15">
      <c r="A174" s="66">
        <v>171</v>
      </c>
      <c r="B174" s="240" t="s">
        <v>149</v>
      </c>
      <c r="C174" s="236">
        <v>39801</v>
      </c>
      <c r="D174" s="235" t="s">
        <v>4</v>
      </c>
      <c r="E174" s="235" t="s">
        <v>77</v>
      </c>
      <c r="F174" s="237">
        <v>19</v>
      </c>
      <c r="G174" s="237">
        <v>5</v>
      </c>
      <c r="H174" s="237">
        <v>16</v>
      </c>
      <c r="I174" s="331">
        <v>2689</v>
      </c>
      <c r="J174" s="238">
        <v>388</v>
      </c>
      <c r="K174" s="238">
        <f>+J174/G174</f>
        <v>77.6</v>
      </c>
      <c r="L174" s="239">
        <f>+I174/J174</f>
        <v>6.930412371134021</v>
      </c>
      <c r="M174" s="331">
        <v>147629</v>
      </c>
      <c r="N174" s="238">
        <v>14511</v>
      </c>
      <c r="O174" s="241">
        <f>+M174/N174</f>
        <v>10.17359244710909</v>
      </c>
      <c r="P174" s="247"/>
    </row>
    <row r="175" spans="1:16" ht="15">
      <c r="A175" s="66">
        <v>172</v>
      </c>
      <c r="B175" s="240" t="s">
        <v>26</v>
      </c>
      <c r="C175" s="236">
        <v>39808</v>
      </c>
      <c r="D175" s="235" t="s">
        <v>134</v>
      </c>
      <c r="E175" s="235" t="s">
        <v>133</v>
      </c>
      <c r="F175" s="237">
        <v>75</v>
      </c>
      <c r="G175" s="237">
        <v>3</v>
      </c>
      <c r="H175" s="237">
        <v>11</v>
      </c>
      <c r="I175" s="331">
        <v>2688</v>
      </c>
      <c r="J175" s="238">
        <v>480</v>
      </c>
      <c r="K175" s="238">
        <f>(J175/G175)</f>
        <v>160</v>
      </c>
      <c r="L175" s="239">
        <f>I175/J175</f>
        <v>5.6</v>
      </c>
      <c r="M175" s="331">
        <f>681566+578530+317284.5+141025.5+34373.5+6375+4225+7402.5+1014+4479+2688</f>
        <v>1778963</v>
      </c>
      <c r="N175" s="238">
        <f>64102+57106+32401+16644+4655+1030+644+1623+143+828+480</f>
        <v>179656</v>
      </c>
      <c r="O175" s="241">
        <f>M175/N175</f>
        <v>9.902051698802156</v>
      </c>
      <c r="P175" s="247"/>
    </row>
    <row r="176" spans="1:16" ht="15">
      <c r="A176" s="66">
        <v>173</v>
      </c>
      <c r="B176" s="49" t="s">
        <v>58</v>
      </c>
      <c r="C176" s="39">
        <v>39745</v>
      </c>
      <c r="D176" s="44" t="s">
        <v>4</v>
      </c>
      <c r="E176" s="44" t="s">
        <v>59</v>
      </c>
      <c r="F176" s="41">
        <v>72</v>
      </c>
      <c r="G176" s="41">
        <v>10</v>
      </c>
      <c r="H176" s="41">
        <v>34</v>
      </c>
      <c r="I176" s="301">
        <v>2669</v>
      </c>
      <c r="J176" s="138">
        <v>425</v>
      </c>
      <c r="K176" s="138">
        <f>J176/G176</f>
        <v>42.5</v>
      </c>
      <c r="L176" s="139">
        <f>I176/J176</f>
        <v>6.28</v>
      </c>
      <c r="M176" s="301">
        <v>1649210</v>
      </c>
      <c r="N176" s="138">
        <v>186829</v>
      </c>
      <c r="O176" s="103">
        <f>+M176/N176</f>
        <v>8.827376906154827</v>
      </c>
      <c r="P176" s="247">
        <v>1</v>
      </c>
    </row>
    <row r="177" spans="1:16" ht="15">
      <c r="A177" s="66">
        <v>174</v>
      </c>
      <c r="B177" s="207" t="s">
        <v>62</v>
      </c>
      <c r="C177" s="195">
        <v>39689</v>
      </c>
      <c r="D177" s="196" t="s">
        <v>130</v>
      </c>
      <c r="E177" s="196" t="s">
        <v>63</v>
      </c>
      <c r="F177" s="197">
        <v>100</v>
      </c>
      <c r="G177" s="197">
        <v>2</v>
      </c>
      <c r="H177" s="197">
        <v>10</v>
      </c>
      <c r="I177" s="321">
        <v>2654</v>
      </c>
      <c r="J177" s="322">
        <v>1243</v>
      </c>
      <c r="K177" s="201">
        <f>J177/G177</f>
        <v>621.5</v>
      </c>
      <c r="L177" s="202">
        <f>I177/J177</f>
        <v>2.1351568785197106</v>
      </c>
      <c r="M177" s="321">
        <f>17818+1364876+864151+384239+240974+16635+2871+5064-50+5187+276+2654</f>
        <v>2904695</v>
      </c>
      <c r="N177" s="322">
        <f>1487+139515+89937+39711+26370+2302+499+787-9+1471+55+1243</f>
        <v>303368</v>
      </c>
      <c r="O177" s="208">
        <f>+M177/N177</f>
        <v>9.574823316895651</v>
      </c>
      <c r="P177" s="297">
        <v>1</v>
      </c>
    </row>
    <row r="178" spans="1:16" ht="15">
      <c r="A178" s="66">
        <v>175</v>
      </c>
      <c r="B178" s="49" t="s">
        <v>67</v>
      </c>
      <c r="C178" s="40">
        <v>39759</v>
      </c>
      <c r="D178" s="45" t="s">
        <v>134</v>
      </c>
      <c r="E178" s="44" t="s">
        <v>143</v>
      </c>
      <c r="F178" s="41">
        <v>93</v>
      </c>
      <c r="G178" s="41">
        <v>3</v>
      </c>
      <c r="H178" s="41">
        <v>11</v>
      </c>
      <c r="I178" s="327">
        <v>2635</v>
      </c>
      <c r="J178" s="328">
        <v>636</v>
      </c>
      <c r="K178" s="140">
        <f>(J178/G178)</f>
        <v>212</v>
      </c>
      <c r="L178" s="141">
        <f>I178/J178</f>
        <v>4.1430817610062896</v>
      </c>
      <c r="M178" s="327">
        <f>224223+136351+27895+24212+1274+3482+7147+2804+5279+2025+2635</f>
        <v>437327</v>
      </c>
      <c r="N178" s="328">
        <f>27969+18593+4268+4646+311+857+1472+745+1285+386+636</f>
        <v>61168</v>
      </c>
      <c r="O178" s="105">
        <f>M178/N178</f>
        <v>7.149604368297148</v>
      </c>
      <c r="P178" s="247"/>
    </row>
    <row r="179" spans="1:16" ht="15">
      <c r="A179" s="66">
        <v>176</v>
      </c>
      <c r="B179" s="240" t="s">
        <v>25</v>
      </c>
      <c r="C179" s="236">
        <v>39808</v>
      </c>
      <c r="D179" s="235" t="s">
        <v>131</v>
      </c>
      <c r="E179" s="235" t="s">
        <v>111</v>
      </c>
      <c r="F179" s="237">
        <v>112</v>
      </c>
      <c r="G179" s="237">
        <v>6</v>
      </c>
      <c r="H179" s="237">
        <v>11</v>
      </c>
      <c r="I179" s="331">
        <v>2596</v>
      </c>
      <c r="J179" s="238">
        <v>528</v>
      </c>
      <c r="K179" s="238">
        <f>J179/G179</f>
        <v>88</v>
      </c>
      <c r="L179" s="239">
        <f>+I179/J179</f>
        <v>4.916666666666667</v>
      </c>
      <c r="M179" s="331">
        <v>2037789</v>
      </c>
      <c r="N179" s="238">
        <v>209818</v>
      </c>
      <c r="O179" s="241">
        <f>+M179/N179</f>
        <v>9.71217436063636</v>
      </c>
      <c r="P179" s="247">
        <v>1</v>
      </c>
    </row>
    <row r="180" spans="1:16" ht="15">
      <c r="A180" s="66">
        <v>177</v>
      </c>
      <c r="B180" s="49" t="s">
        <v>64</v>
      </c>
      <c r="C180" s="39">
        <v>39759</v>
      </c>
      <c r="D180" s="44" t="s">
        <v>65</v>
      </c>
      <c r="E180" s="44" t="s">
        <v>66</v>
      </c>
      <c r="F180" s="41">
        <v>156</v>
      </c>
      <c r="G180" s="41">
        <v>6</v>
      </c>
      <c r="H180" s="41">
        <v>31</v>
      </c>
      <c r="I180" s="301">
        <v>2592</v>
      </c>
      <c r="J180" s="138">
        <v>431</v>
      </c>
      <c r="K180" s="138">
        <f>J180/G180</f>
        <v>71.83333333333333</v>
      </c>
      <c r="L180" s="139">
        <f>I180/J180</f>
        <v>6.013921113689095</v>
      </c>
      <c r="M180" s="301">
        <v>23383491.5</v>
      </c>
      <c r="N180" s="138">
        <v>2781931</v>
      </c>
      <c r="O180" s="103">
        <f>+M180/N180</f>
        <v>8.405489388485911</v>
      </c>
      <c r="P180" s="297">
        <v>1</v>
      </c>
    </row>
    <row r="181" spans="1:16" ht="15">
      <c r="A181" s="66">
        <v>178</v>
      </c>
      <c r="B181" s="275" t="s">
        <v>25</v>
      </c>
      <c r="C181" s="39">
        <v>39808</v>
      </c>
      <c r="D181" s="44" t="s">
        <v>131</v>
      </c>
      <c r="E181" s="44" t="s">
        <v>111</v>
      </c>
      <c r="F181" s="41">
        <v>112</v>
      </c>
      <c r="G181" s="41">
        <v>4</v>
      </c>
      <c r="H181" s="41">
        <v>18</v>
      </c>
      <c r="I181" s="332">
        <v>2578</v>
      </c>
      <c r="J181" s="138">
        <v>687</v>
      </c>
      <c r="K181" s="138">
        <f>J181/G181</f>
        <v>171.75</v>
      </c>
      <c r="L181" s="273">
        <f>+I181/J181</f>
        <v>3.7525473071324598</v>
      </c>
      <c r="M181" s="332">
        <v>2058265</v>
      </c>
      <c r="N181" s="138">
        <v>214631</v>
      </c>
      <c r="O181" s="274">
        <f>+M181/N181</f>
        <v>9.589784327520256</v>
      </c>
      <c r="P181" s="247">
        <v>1</v>
      </c>
    </row>
    <row r="182" spans="1:16" ht="15">
      <c r="A182" s="66">
        <v>179</v>
      </c>
      <c r="B182" s="48" t="s">
        <v>56</v>
      </c>
      <c r="C182" s="39">
        <v>39745</v>
      </c>
      <c r="D182" s="42" t="s">
        <v>136</v>
      </c>
      <c r="E182" s="215" t="s">
        <v>46</v>
      </c>
      <c r="F182" s="54">
        <v>104</v>
      </c>
      <c r="G182" s="54">
        <v>4</v>
      </c>
      <c r="H182" s="54">
        <v>13</v>
      </c>
      <c r="I182" s="329">
        <v>2540</v>
      </c>
      <c r="J182" s="140">
        <v>507</v>
      </c>
      <c r="K182" s="136">
        <f>IF(I182&lt;&gt;0,J182/G182,"")</f>
        <v>126.75</v>
      </c>
      <c r="L182" s="137">
        <f>IF(I182&lt;&gt;0,I182/J182,"")</f>
        <v>5.009861932938856</v>
      </c>
      <c r="M182" s="329">
        <f>821522+622841.5+494230+434015.5+185757.5+145248.5+16130+16159+2033+6489+4346+3565+2540</f>
        <v>2754877</v>
      </c>
      <c r="N182" s="138">
        <f>99216+78381+65128+58419+30420+24530+3077+3918+431+1704+1003+785+507</f>
        <v>367519</v>
      </c>
      <c r="O182" s="104">
        <f>IF(M182&lt;&gt;0,M182/N182,"")</f>
        <v>7.495876403668926</v>
      </c>
      <c r="P182" s="247">
        <v>1</v>
      </c>
    </row>
    <row r="183" spans="1:16" ht="15">
      <c r="A183" s="66">
        <v>180</v>
      </c>
      <c r="B183" s="49" t="s">
        <v>56</v>
      </c>
      <c r="C183" s="39">
        <v>39745</v>
      </c>
      <c r="D183" s="44" t="s">
        <v>136</v>
      </c>
      <c r="E183" s="44" t="s">
        <v>46</v>
      </c>
      <c r="F183" s="41">
        <v>104</v>
      </c>
      <c r="G183" s="41">
        <v>2</v>
      </c>
      <c r="H183" s="41">
        <v>24</v>
      </c>
      <c r="I183" s="301">
        <v>2523</v>
      </c>
      <c r="J183" s="138">
        <v>490</v>
      </c>
      <c r="K183" s="138">
        <f>IF(I183&lt;&gt;0,J183/G183,"")</f>
        <v>245</v>
      </c>
      <c r="L183" s="139">
        <f>IF(I183&lt;&gt;0,I183/J183,"")</f>
        <v>5.148979591836735</v>
      </c>
      <c r="M183" s="301">
        <v>2769631</v>
      </c>
      <c r="N183" s="138">
        <v>370087</v>
      </c>
      <c r="O183" s="103">
        <f>IF(M183&lt;&gt;0,M183/N183,"")</f>
        <v>7.483729501441553</v>
      </c>
      <c r="P183" s="247">
        <v>1</v>
      </c>
    </row>
    <row r="184" spans="1:16" ht="15">
      <c r="A184" s="66">
        <v>181</v>
      </c>
      <c r="B184" s="275" t="s">
        <v>147</v>
      </c>
      <c r="C184" s="39">
        <v>39801</v>
      </c>
      <c r="D184" s="44" t="s">
        <v>134</v>
      </c>
      <c r="E184" s="44" t="s">
        <v>148</v>
      </c>
      <c r="F184" s="41">
        <v>42</v>
      </c>
      <c r="G184" s="41">
        <v>3</v>
      </c>
      <c r="H184" s="41">
        <v>20</v>
      </c>
      <c r="I184" s="332">
        <v>2481</v>
      </c>
      <c r="J184" s="138">
        <v>605</v>
      </c>
      <c r="K184" s="138">
        <f>(J184/G184)</f>
        <v>201.66666666666666</v>
      </c>
      <c r="L184" s="273">
        <f>I184/J184</f>
        <v>4.100826446280991</v>
      </c>
      <c r="M184" s="332">
        <f>295344+204961.5+145464.5+116108.5+111972.5+49984+26327+32042+18579+20005+19180+15980+2686.5+3166.5+366+13433+4493+735.5+607.5+2481</f>
        <v>1083917</v>
      </c>
      <c r="N184" s="138">
        <f>36142+24747+19417+15404+14719+7567+3314+5289+3173+3275+3534+2826+540+724+52+2536+882+130+150+605</f>
        <v>145026</v>
      </c>
      <c r="O184" s="274">
        <f>M184/N184</f>
        <v>7.473949498710576</v>
      </c>
      <c r="P184" s="247">
        <v>1</v>
      </c>
    </row>
    <row r="185" spans="1:16" ht="15">
      <c r="A185" s="66">
        <v>182</v>
      </c>
      <c r="B185" s="49" t="s">
        <v>64</v>
      </c>
      <c r="C185" s="39">
        <v>39759</v>
      </c>
      <c r="D185" s="44" t="s">
        <v>65</v>
      </c>
      <c r="E185" s="44" t="s">
        <v>66</v>
      </c>
      <c r="F185" s="41">
        <v>156</v>
      </c>
      <c r="G185" s="41">
        <v>8</v>
      </c>
      <c r="H185" s="41">
        <v>38</v>
      </c>
      <c r="I185" s="301">
        <v>2466</v>
      </c>
      <c r="J185" s="138">
        <v>453</v>
      </c>
      <c r="K185" s="138">
        <f>J185/G185</f>
        <v>56.625</v>
      </c>
      <c r="L185" s="139">
        <f>+I185/J185</f>
        <v>5.443708609271523</v>
      </c>
      <c r="M185" s="301">
        <v>23413578</v>
      </c>
      <c r="N185" s="138">
        <v>2787074</v>
      </c>
      <c r="O185" s="103">
        <f>+M185/N185</f>
        <v>8.400773714655585</v>
      </c>
      <c r="P185" s="247"/>
    </row>
    <row r="186" spans="1:16" ht="15">
      <c r="A186" s="66">
        <v>183</v>
      </c>
      <c r="B186" s="49" t="s">
        <v>56</v>
      </c>
      <c r="C186" s="39">
        <v>39745</v>
      </c>
      <c r="D186" s="44" t="s">
        <v>136</v>
      </c>
      <c r="E186" s="44" t="s">
        <v>46</v>
      </c>
      <c r="F186" s="41">
        <v>104</v>
      </c>
      <c r="G186" s="41">
        <v>2</v>
      </c>
      <c r="H186" s="41">
        <v>23</v>
      </c>
      <c r="I186" s="301">
        <v>2445</v>
      </c>
      <c r="J186" s="138">
        <v>360</v>
      </c>
      <c r="K186" s="138">
        <f>IF(I186&lt;&gt;0,J186/G186,"")</f>
        <v>180</v>
      </c>
      <c r="L186" s="139">
        <f>IF(I186&lt;&gt;0,I186/J186,"")</f>
        <v>6.791666666666667</v>
      </c>
      <c r="M186" s="301">
        <v>2767108</v>
      </c>
      <c r="N186" s="138">
        <v>369597</v>
      </c>
      <c r="O186" s="103">
        <f>IF(M186&lt;&gt;0,M186/N186,"")</f>
        <v>7.4868248389462035</v>
      </c>
      <c r="P186" s="247"/>
    </row>
    <row r="187" spans="1:16" ht="15">
      <c r="A187" s="66">
        <v>184</v>
      </c>
      <c r="B187" s="49" t="s">
        <v>70</v>
      </c>
      <c r="C187" s="39">
        <v>39766</v>
      </c>
      <c r="D187" s="44" t="s">
        <v>132</v>
      </c>
      <c r="E187" s="44" t="s">
        <v>71</v>
      </c>
      <c r="F187" s="41">
        <v>1</v>
      </c>
      <c r="G187" s="41">
        <v>1</v>
      </c>
      <c r="H187" s="41">
        <v>20</v>
      </c>
      <c r="I187" s="301">
        <v>2416</v>
      </c>
      <c r="J187" s="138">
        <v>528</v>
      </c>
      <c r="K187" s="138">
        <f>J187/G187</f>
        <v>528</v>
      </c>
      <c r="L187" s="139">
        <f>I187/J187</f>
        <v>4.575757575757576</v>
      </c>
      <c r="M187" s="301">
        <f>191668+16358.5+8305+0.5+19699.5+16705.5+7289+4467+3138+2267+1882+6536+9273+1289+852+1124+2416</f>
        <v>293270</v>
      </c>
      <c r="N187" s="138">
        <f>10324+8249+7871+7121+4755+3362+1751+2958+2636+1185+800+596+440+265+961+1648+202+172+213+528</f>
        <v>56037</v>
      </c>
      <c r="O187" s="103">
        <f>+M187/N187</f>
        <v>5.2335064332494605</v>
      </c>
      <c r="P187" s="247"/>
    </row>
    <row r="188" spans="1:16" ht="15">
      <c r="A188" s="66">
        <v>185</v>
      </c>
      <c r="B188" s="233" t="s">
        <v>160</v>
      </c>
      <c r="C188" s="40">
        <v>39717</v>
      </c>
      <c r="D188" s="226" t="s">
        <v>132</v>
      </c>
      <c r="E188" s="226" t="s">
        <v>9</v>
      </c>
      <c r="F188" s="227">
        <v>1</v>
      </c>
      <c r="G188" s="227">
        <v>1</v>
      </c>
      <c r="H188" s="227">
        <v>12</v>
      </c>
      <c r="I188" s="332">
        <v>2408.5</v>
      </c>
      <c r="J188" s="230">
        <v>602</v>
      </c>
      <c r="K188" s="232">
        <f>J188/G188</f>
        <v>602</v>
      </c>
      <c r="L188" s="141">
        <f>I188/J188</f>
        <v>4.000830564784053</v>
      </c>
      <c r="M188" s="332">
        <f>2923050.5+2408+0.5</f>
        <v>2925459</v>
      </c>
      <c r="N188" s="230">
        <f>394197+602</f>
        <v>394799</v>
      </c>
      <c r="O188" s="105">
        <f>+M188/N188</f>
        <v>7.409995972634176</v>
      </c>
      <c r="P188" s="255">
        <v>1</v>
      </c>
    </row>
    <row r="189" spans="1:16" ht="15">
      <c r="A189" s="66">
        <v>186</v>
      </c>
      <c r="B189" s="49" t="s">
        <v>512</v>
      </c>
      <c r="C189" s="39">
        <v>39619</v>
      </c>
      <c r="D189" s="44" t="s">
        <v>132</v>
      </c>
      <c r="E189" s="44" t="s">
        <v>513</v>
      </c>
      <c r="F189" s="41">
        <v>6</v>
      </c>
      <c r="G189" s="41">
        <v>1</v>
      </c>
      <c r="H189" s="41">
        <v>12</v>
      </c>
      <c r="I189" s="301">
        <v>2402</v>
      </c>
      <c r="J189" s="138">
        <v>480</v>
      </c>
      <c r="K189" s="138">
        <f>J189/G189</f>
        <v>480</v>
      </c>
      <c r="L189" s="139">
        <f>+I189/J189</f>
        <v>5.004166666666666</v>
      </c>
      <c r="M189" s="301">
        <f>7601+4056+1476+1782+1012+874+1097.5+450+441+2420+608+2402</f>
        <v>24219.5</v>
      </c>
      <c r="N189" s="138">
        <f>869+488+218+277+179+156+258+81+82+807+81+480</f>
        <v>3976</v>
      </c>
      <c r="O189" s="103">
        <f>+M189/N189</f>
        <v>6.091423541247485</v>
      </c>
      <c r="P189" s="247">
        <v>1</v>
      </c>
    </row>
    <row r="190" spans="1:16" ht="15">
      <c r="A190" s="66">
        <v>187</v>
      </c>
      <c r="B190" s="49" t="s">
        <v>461</v>
      </c>
      <c r="C190" s="39">
        <v>39457</v>
      </c>
      <c r="D190" s="44" t="s">
        <v>131</v>
      </c>
      <c r="E190" s="44" t="s">
        <v>462</v>
      </c>
      <c r="F190" s="41">
        <v>233</v>
      </c>
      <c r="G190" s="41">
        <v>1</v>
      </c>
      <c r="H190" s="41">
        <v>82</v>
      </c>
      <c r="I190" s="301">
        <v>2380</v>
      </c>
      <c r="J190" s="138">
        <v>875</v>
      </c>
      <c r="K190" s="138">
        <f>J190/G190</f>
        <v>875</v>
      </c>
      <c r="L190" s="139">
        <f>I190/J190</f>
        <v>2.72</v>
      </c>
      <c r="M190" s="301">
        <v>6803574</v>
      </c>
      <c r="N190" s="138">
        <v>964104</v>
      </c>
      <c r="O190" s="103">
        <f>+M190/N190</f>
        <v>7.056888053570984</v>
      </c>
      <c r="P190" s="247"/>
    </row>
    <row r="191" spans="1:16" ht="15">
      <c r="A191" s="66">
        <v>188</v>
      </c>
      <c r="B191" s="49" t="s">
        <v>55</v>
      </c>
      <c r="C191" s="39">
        <v>39750</v>
      </c>
      <c r="D191" s="44" t="s">
        <v>130</v>
      </c>
      <c r="E191" s="44" t="s">
        <v>30</v>
      </c>
      <c r="F191" s="41">
        <v>198</v>
      </c>
      <c r="G191" s="41">
        <v>1</v>
      </c>
      <c r="H191" s="41">
        <v>14</v>
      </c>
      <c r="I191" s="301">
        <v>2380</v>
      </c>
      <c r="J191" s="138">
        <v>793</v>
      </c>
      <c r="K191" s="138">
        <f>J191/G191</f>
        <v>793</v>
      </c>
      <c r="L191" s="139">
        <f>I191/J191</f>
        <v>3.001261034047919</v>
      </c>
      <c r="M191" s="301">
        <v>8506941</v>
      </c>
      <c r="N191" s="138">
        <v>1101014</v>
      </c>
      <c r="O191" s="103">
        <f>+M191/N191</f>
        <v>7.726460335654224</v>
      </c>
      <c r="P191" s="247">
        <v>1</v>
      </c>
    </row>
    <row r="192" spans="1:16" ht="15">
      <c r="A192" s="66">
        <v>189</v>
      </c>
      <c r="B192" s="49" t="s">
        <v>67</v>
      </c>
      <c r="C192" s="39">
        <v>39759</v>
      </c>
      <c r="D192" s="44" t="s">
        <v>134</v>
      </c>
      <c r="E192" s="44" t="s">
        <v>223</v>
      </c>
      <c r="F192" s="41">
        <v>93</v>
      </c>
      <c r="G192" s="41">
        <v>1</v>
      </c>
      <c r="H192" s="41">
        <v>18</v>
      </c>
      <c r="I192" s="301">
        <v>2376</v>
      </c>
      <c r="J192" s="138">
        <v>594</v>
      </c>
      <c r="K192" s="138">
        <f>(J192/G192)</f>
        <v>594</v>
      </c>
      <c r="L192" s="139">
        <f>I192/J192</f>
        <v>4</v>
      </c>
      <c r="M192" s="301">
        <f>224223+136351+27895+24212+1274+3482+7147+2804+5279+2025+2635+2196+1188+832+2140+360+2140+2376</f>
        <v>448559</v>
      </c>
      <c r="N192" s="138">
        <f>27969+18593+4268+4646+311+857+1472+745+1285+386+636+549+297+208+535+80+535+594</f>
        <v>63966</v>
      </c>
      <c r="O192" s="103">
        <f>M192/N192</f>
        <v>7.012459744239127</v>
      </c>
      <c r="P192" s="247">
        <v>1</v>
      </c>
    </row>
    <row r="193" spans="1:16" ht="15">
      <c r="A193" s="66">
        <v>190</v>
      </c>
      <c r="B193" s="48" t="s">
        <v>55</v>
      </c>
      <c r="C193" s="39">
        <v>39750</v>
      </c>
      <c r="D193" s="43" t="s">
        <v>130</v>
      </c>
      <c r="E193" s="42" t="s">
        <v>30</v>
      </c>
      <c r="F193" s="54">
        <v>198</v>
      </c>
      <c r="G193" s="54">
        <v>6</v>
      </c>
      <c r="H193" s="54">
        <v>11</v>
      </c>
      <c r="I193" s="327">
        <v>2375</v>
      </c>
      <c r="J193" s="328">
        <v>495</v>
      </c>
      <c r="K193" s="140">
        <f>J193/G193</f>
        <v>82.5</v>
      </c>
      <c r="L193" s="141">
        <f>I193/J193</f>
        <v>4.797979797979798</v>
      </c>
      <c r="M193" s="327">
        <f>4975832+1882135+1034271+412191+151618-1635+10999+12408+14293+6423+2375</f>
        <v>8500910</v>
      </c>
      <c r="N193" s="328">
        <f>642956+245951+129523+51207+21082-161+1623+2391+2711+1404+495</f>
        <v>1099182</v>
      </c>
      <c r="O193" s="105">
        <f>+M193/N193</f>
        <v>7.733851172963167</v>
      </c>
      <c r="P193" s="247"/>
    </row>
    <row r="194" spans="1:16" ht="15">
      <c r="A194" s="66">
        <v>191</v>
      </c>
      <c r="B194" s="240" t="s">
        <v>25</v>
      </c>
      <c r="C194" s="236">
        <v>39808</v>
      </c>
      <c r="D194" s="235" t="s">
        <v>131</v>
      </c>
      <c r="E194" s="235" t="s">
        <v>111</v>
      </c>
      <c r="F194" s="237">
        <v>112</v>
      </c>
      <c r="G194" s="237">
        <v>6</v>
      </c>
      <c r="H194" s="237">
        <v>15</v>
      </c>
      <c r="I194" s="331">
        <v>2352</v>
      </c>
      <c r="J194" s="238">
        <v>433</v>
      </c>
      <c r="K194" s="238">
        <f>J194/G194</f>
        <v>72.16666666666667</v>
      </c>
      <c r="L194" s="239">
        <f>+I194/J194</f>
        <v>5.431870669745958</v>
      </c>
      <c r="M194" s="331">
        <v>2050689</v>
      </c>
      <c r="N194" s="238">
        <v>212062</v>
      </c>
      <c r="O194" s="241">
        <f>+M194/N194</f>
        <v>9.670233233676944</v>
      </c>
      <c r="P194" s="247"/>
    </row>
    <row r="195" spans="1:16" ht="15">
      <c r="A195" s="66">
        <v>192</v>
      </c>
      <c r="B195" s="49" t="s">
        <v>147</v>
      </c>
      <c r="C195" s="39">
        <v>39801</v>
      </c>
      <c r="D195" s="44" t="s">
        <v>134</v>
      </c>
      <c r="E195" s="44" t="s">
        <v>148</v>
      </c>
      <c r="F195" s="41">
        <v>42</v>
      </c>
      <c r="G195" s="41">
        <v>3</v>
      </c>
      <c r="H195" s="41">
        <v>24</v>
      </c>
      <c r="I195" s="301">
        <v>2348</v>
      </c>
      <c r="J195" s="138">
        <v>497</v>
      </c>
      <c r="K195" s="138">
        <f>(J195/G195)</f>
        <v>165.66666666666666</v>
      </c>
      <c r="L195" s="139">
        <f>I195/J195</f>
        <v>4.724346076458753</v>
      </c>
      <c r="M195" s="301">
        <f>295344+204961.5+145464.5+116108.5+111972.5+49984+26327+32042+18579+20005+19180+15980+2686.5+3166.5+366+13433+4493+735.5+607.5+2528+83+198+248+2348</f>
        <v>1086841</v>
      </c>
      <c r="N195" s="138">
        <f>36142+24747+19417+15404+14719+7567+3314+5289+3173+3275+3534+2826+540+724+52+2536+882+130+150+615+21+66+51+497</f>
        <v>145671</v>
      </c>
      <c r="O195" s="103">
        <f>M195/N195</f>
        <v>7.460929079912955</v>
      </c>
      <c r="P195" s="247">
        <v>1</v>
      </c>
    </row>
    <row r="196" spans="1:16" ht="15">
      <c r="A196" s="66">
        <v>193</v>
      </c>
      <c r="B196" s="240" t="s">
        <v>56</v>
      </c>
      <c r="C196" s="236">
        <v>39745</v>
      </c>
      <c r="D196" s="235" t="s">
        <v>136</v>
      </c>
      <c r="E196" s="235" t="s">
        <v>46</v>
      </c>
      <c r="F196" s="237">
        <v>104</v>
      </c>
      <c r="G196" s="237">
        <v>2</v>
      </c>
      <c r="H196" s="237">
        <v>17</v>
      </c>
      <c r="I196" s="331">
        <v>2328</v>
      </c>
      <c r="J196" s="238">
        <v>426</v>
      </c>
      <c r="K196" s="238">
        <f>IF(I196&lt;&gt;0,J196/G196,"")</f>
        <v>213</v>
      </c>
      <c r="L196" s="239">
        <f>IF(I196&lt;&gt;0,I196/J196,"")</f>
        <v>5.464788732394366</v>
      </c>
      <c r="M196" s="331">
        <f>821522+622841.5+494230+434015.5+185757.5+145248.5+16130+16159+2033+6489+4346+3565+2540+1323+139+686+2328</f>
        <v>2759353</v>
      </c>
      <c r="N196" s="238">
        <f>99216+78381+65128+58419+30420+24530+3077+3918+431+1704+1003+785+507+195+19+106+426</f>
        <v>368265</v>
      </c>
      <c r="O196" s="241">
        <f>+M196/N196</f>
        <v>7.492846184133708</v>
      </c>
      <c r="P196" s="247"/>
    </row>
    <row r="197" spans="1:16" ht="15">
      <c r="A197" s="66">
        <v>194</v>
      </c>
      <c r="B197" s="240" t="s">
        <v>165</v>
      </c>
      <c r="C197" s="236">
        <v>39703</v>
      </c>
      <c r="D197" s="235" t="s">
        <v>197</v>
      </c>
      <c r="E197" s="235" t="s">
        <v>166</v>
      </c>
      <c r="F197" s="237">
        <v>16</v>
      </c>
      <c r="G197" s="237">
        <v>2</v>
      </c>
      <c r="H197" s="237">
        <v>14</v>
      </c>
      <c r="I197" s="331">
        <v>2287</v>
      </c>
      <c r="J197" s="238">
        <v>374</v>
      </c>
      <c r="K197" s="238">
        <f>J197/G197</f>
        <v>187</v>
      </c>
      <c r="L197" s="239">
        <f aca="true" t="shared" si="11" ref="L197:L202">I197/J197</f>
        <v>6.114973262032086</v>
      </c>
      <c r="M197" s="331">
        <v>76575</v>
      </c>
      <c r="N197" s="238">
        <v>10553</v>
      </c>
      <c r="O197" s="241">
        <f>+M197/N197</f>
        <v>7.256230455794561</v>
      </c>
      <c r="P197" s="247"/>
    </row>
    <row r="198" spans="1:16" ht="15">
      <c r="A198" s="66">
        <v>195</v>
      </c>
      <c r="B198" s="240" t="s">
        <v>161</v>
      </c>
      <c r="C198" s="236">
        <v>39766</v>
      </c>
      <c r="D198" s="235" t="s">
        <v>279</v>
      </c>
      <c r="E198" s="235" t="s">
        <v>163</v>
      </c>
      <c r="F198" s="237">
        <v>50</v>
      </c>
      <c r="G198" s="237">
        <v>2</v>
      </c>
      <c r="H198" s="237">
        <v>20</v>
      </c>
      <c r="I198" s="331">
        <v>2279</v>
      </c>
      <c r="J198" s="238">
        <v>456</v>
      </c>
      <c r="K198" s="238">
        <f>J198/G198</f>
        <v>228</v>
      </c>
      <c r="L198" s="239">
        <f t="shared" si="11"/>
        <v>4.99780701754386</v>
      </c>
      <c r="M198" s="331">
        <v>239346</v>
      </c>
      <c r="N198" s="238">
        <v>35789</v>
      </c>
      <c r="O198" s="241">
        <f>+M198/N198</f>
        <v>6.687697337170639</v>
      </c>
      <c r="P198" s="247">
        <v>1</v>
      </c>
    </row>
    <row r="199" spans="1:16" ht="15">
      <c r="A199" s="66">
        <v>196</v>
      </c>
      <c r="B199" s="49" t="s">
        <v>147</v>
      </c>
      <c r="C199" s="39">
        <v>39801</v>
      </c>
      <c r="D199" s="44" t="s">
        <v>134</v>
      </c>
      <c r="E199" s="44" t="s">
        <v>148</v>
      </c>
      <c r="F199" s="41">
        <v>42</v>
      </c>
      <c r="G199" s="41">
        <v>2</v>
      </c>
      <c r="H199" s="41">
        <v>26</v>
      </c>
      <c r="I199" s="301">
        <v>2268</v>
      </c>
      <c r="J199" s="138">
        <v>506</v>
      </c>
      <c r="K199" s="138">
        <f>(J199/G199)</f>
        <v>253</v>
      </c>
      <c r="L199" s="139">
        <f t="shared" si="11"/>
        <v>4.482213438735178</v>
      </c>
      <c r="M199" s="301">
        <f>295344+204961.5+145464.5+116108.5+111972.5+49984+26327+32042+18579+20005+19180+15980+2686.5+3166.5+366+13433+4493+735.5+607.5+2528+83+198+248+2348+825+2700+2268</f>
        <v>1092634</v>
      </c>
      <c r="N199" s="138">
        <f>36142+24747+19417+15404+14719+7567+3314+5289+3173+3275+3534+2826+540+724+52+2536+882+130+150+615+21+66+51+497+165+675+506</f>
        <v>147017</v>
      </c>
      <c r="O199" s="103">
        <f>M199/N199</f>
        <v>7.432024867872423</v>
      </c>
      <c r="P199" s="247"/>
    </row>
    <row r="200" spans="1:16" ht="15">
      <c r="A200" s="66">
        <v>197</v>
      </c>
      <c r="B200" s="240" t="s">
        <v>26</v>
      </c>
      <c r="C200" s="236">
        <v>39808</v>
      </c>
      <c r="D200" s="235" t="s">
        <v>134</v>
      </c>
      <c r="E200" s="235" t="s">
        <v>133</v>
      </c>
      <c r="F200" s="237">
        <v>75</v>
      </c>
      <c r="G200" s="237">
        <v>4</v>
      </c>
      <c r="H200" s="237">
        <v>12</v>
      </c>
      <c r="I200" s="331">
        <v>2267</v>
      </c>
      <c r="J200" s="238">
        <v>469</v>
      </c>
      <c r="K200" s="238">
        <f>(J200/G200)</f>
        <v>117.25</v>
      </c>
      <c r="L200" s="239">
        <f t="shared" si="11"/>
        <v>4.833688699360341</v>
      </c>
      <c r="M200" s="331">
        <f>681566+578530+317284.5+141025.5+34373.5+6375+4225+7402.5+1014+4479+2688+2267</f>
        <v>1781230</v>
      </c>
      <c r="N200" s="238">
        <f>64102+57106+32401+16644+4655+1030+644+1623+143+828+480+469</f>
        <v>180125</v>
      </c>
      <c r="O200" s="241">
        <f>M200/N200</f>
        <v>9.888854961832061</v>
      </c>
      <c r="P200" s="255">
        <v>1</v>
      </c>
    </row>
    <row r="201" spans="1:16" ht="15">
      <c r="A201" s="66">
        <v>198</v>
      </c>
      <c r="B201" s="240" t="s">
        <v>70</v>
      </c>
      <c r="C201" s="236">
        <v>39766</v>
      </c>
      <c r="D201" s="235" t="s">
        <v>132</v>
      </c>
      <c r="E201" s="235" t="s">
        <v>71</v>
      </c>
      <c r="F201" s="237">
        <v>3</v>
      </c>
      <c r="G201" s="237">
        <v>3</v>
      </c>
      <c r="H201" s="237">
        <v>13</v>
      </c>
      <c r="I201" s="331">
        <v>2267</v>
      </c>
      <c r="J201" s="238">
        <v>440</v>
      </c>
      <c r="K201" s="238">
        <f>J201/G201</f>
        <v>146.66666666666666</v>
      </c>
      <c r="L201" s="239">
        <f t="shared" si="11"/>
        <v>5.152272727272727</v>
      </c>
      <c r="M201" s="331">
        <f>191668+16358.5+8305+0.5+19699.5+16705.5+7289+4467+3138+2267</f>
        <v>269898</v>
      </c>
      <c r="N201" s="238">
        <f>10324+8249+7871+7121+4755+3362+1751+2958+2636+1185+800+596+440</f>
        <v>52048</v>
      </c>
      <c r="O201" s="241">
        <f>+M201/N201</f>
        <v>5.185559483553643</v>
      </c>
      <c r="P201" s="255">
        <v>1</v>
      </c>
    </row>
    <row r="202" spans="1:16" ht="15">
      <c r="A202" s="66">
        <v>199</v>
      </c>
      <c r="B202" s="240" t="s">
        <v>142</v>
      </c>
      <c r="C202" s="236">
        <v>39794</v>
      </c>
      <c r="D202" s="235" t="s">
        <v>134</v>
      </c>
      <c r="E202" s="235" t="s">
        <v>133</v>
      </c>
      <c r="F202" s="237">
        <v>100</v>
      </c>
      <c r="G202" s="237">
        <v>3</v>
      </c>
      <c r="H202" s="237">
        <v>15</v>
      </c>
      <c r="I202" s="331">
        <v>2263</v>
      </c>
      <c r="J202" s="238">
        <v>444</v>
      </c>
      <c r="K202" s="238">
        <f>(J202/G202)</f>
        <v>148</v>
      </c>
      <c r="L202" s="239">
        <f t="shared" si="11"/>
        <v>5.096846846846847</v>
      </c>
      <c r="M202" s="331">
        <f>1276778.5+626123+380324+112679.5+54533+36086+4129+3620.5+4348+1030+1904+420+1049+5940+2263</f>
        <v>2511227.5</v>
      </c>
      <c r="N202" s="238">
        <f>133555+68793+41581+14968+8873+6454+539+324+976+204+524+65+169+1485+444</f>
        <v>278954</v>
      </c>
      <c r="O202" s="241">
        <f>M202/N202</f>
        <v>9.002299662309914</v>
      </c>
      <c r="P202" s="255">
        <v>1</v>
      </c>
    </row>
    <row r="203" spans="1:16" ht="15">
      <c r="A203" s="66">
        <v>200</v>
      </c>
      <c r="B203" s="240" t="s">
        <v>44</v>
      </c>
      <c r="C203" s="236">
        <v>39780</v>
      </c>
      <c r="D203" s="235" t="s">
        <v>131</v>
      </c>
      <c r="E203" s="235" t="s">
        <v>127</v>
      </c>
      <c r="F203" s="237">
        <v>121</v>
      </c>
      <c r="G203" s="237">
        <v>6</v>
      </c>
      <c r="H203" s="237">
        <v>12</v>
      </c>
      <c r="I203" s="331">
        <v>2217</v>
      </c>
      <c r="J203" s="238">
        <v>602</v>
      </c>
      <c r="K203" s="238">
        <f>J203/G203</f>
        <v>100.33333333333333</v>
      </c>
      <c r="L203" s="239">
        <f>+I203/J203</f>
        <v>3.6827242524916945</v>
      </c>
      <c r="M203" s="331">
        <v>3455066</v>
      </c>
      <c r="N203" s="238">
        <v>405547</v>
      </c>
      <c r="O203" s="241">
        <f>+M203/N203</f>
        <v>8.519520548789659</v>
      </c>
      <c r="P203" s="255"/>
    </row>
    <row r="204" spans="1:16" ht="15">
      <c r="A204" s="66">
        <v>201</v>
      </c>
      <c r="B204" s="233" t="s">
        <v>67</v>
      </c>
      <c r="C204" s="40">
        <v>39759</v>
      </c>
      <c r="D204" s="126" t="s">
        <v>134</v>
      </c>
      <c r="E204" s="226" t="s">
        <v>143</v>
      </c>
      <c r="F204" s="227">
        <v>93</v>
      </c>
      <c r="G204" s="227">
        <v>2</v>
      </c>
      <c r="H204" s="227">
        <v>12</v>
      </c>
      <c r="I204" s="325">
        <v>2196</v>
      </c>
      <c r="J204" s="326">
        <v>549</v>
      </c>
      <c r="K204" s="232">
        <f>(J204/G204)</f>
        <v>274.5</v>
      </c>
      <c r="L204" s="141">
        <f aca="true" t="shared" si="12" ref="L204:L213">I204/J204</f>
        <v>4</v>
      </c>
      <c r="M204" s="325">
        <f>224223+136351+27895+24212+1274+3482+7147+2804+5279+2025+2635+2196</f>
        <v>439523</v>
      </c>
      <c r="N204" s="326">
        <f>27969+18593+4268+4646+311+857+1472+745+1285+386+636+549</f>
        <v>61717</v>
      </c>
      <c r="O204" s="105">
        <f>M204/N204</f>
        <v>7.121587245005428</v>
      </c>
      <c r="P204" s="255">
        <v>1</v>
      </c>
    </row>
    <row r="205" spans="1:16" ht="15">
      <c r="A205" s="66">
        <v>202</v>
      </c>
      <c r="B205" s="207" t="s">
        <v>41</v>
      </c>
      <c r="C205" s="195">
        <v>39745</v>
      </c>
      <c r="D205" s="196" t="s">
        <v>130</v>
      </c>
      <c r="E205" s="196" t="s">
        <v>35</v>
      </c>
      <c r="F205" s="197">
        <v>202</v>
      </c>
      <c r="G205" s="197">
        <v>2</v>
      </c>
      <c r="H205" s="197">
        <v>11</v>
      </c>
      <c r="I205" s="321">
        <v>2189</v>
      </c>
      <c r="J205" s="322">
        <v>433</v>
      </c>
      <c r="K205" s="201">
        <f>J205/G205</f>
        <v>216.5</v>
      </c>
      <c r="L205" s="202">
        <f t="shared" si="12"/>
        <v>5.055427251732102</v>
      </c>
      <c r="M205" s="321">
        <f>2979211+551475+289248+35506+23768+5044+549+3932+1192+2189</f>
        <v>3892114</v>
      </c>
      <c r="N205" s="322">
        <f>374252+72341+40702+5164+4326+1290+108+783+296+433</f>
        <v>499695</v>
      </c>
      <c r="O205" s="208">
        <f>+M205/N205</f>
        <v>7.788979277359189</v>
      </c>
      <c r="P205" s="255">
        <v>1</v>
      </c>
    </row>
    <row r="206" spans="1:16" ht="15">
      <c r="A206" s="66">
        <v>203</v>
      </c>
      <c r="B206" s="240" t="s">
        <v>64</v>
      </c>
      <c r="C206" s="236">
        <v>39759</v>
      </c>
      <c r="D206" s="235" t="s">
        <v>65</v>
      </c>
      <c r="E206" s="235" t="s">
        <v>66</v>
      </c>
      <c r="F206" s="237">
        <v>6</v>
      </c>
      <c r="G206" s="237">
        <v>6</v>
      </c>
      <c r="H206" s="237">
        <v>19</v>
      </c>
      <c r="I206" s="331">
        <v>2175</v>
      </c>
      <c r="J206" s="238">
        <v>333</v>
      </c>
      <c r="K206" s="238">
        <f>J206/G206</f>
        <v>55.5</v>
      </c>
      <c r="L206" s="239">
        <f t="shared" si="12"/>
        <v>6.531531531531532</v>
      </c>
      <c r="M206" s="331">
        <v>23358862.5</v>
      </c>
      <c r="N206" s="238">
        <v>2777586</v>
      </c>
      <c r="O206" s="241">
        <f>+M206/N206</f>
        <v>8.409771110597475</v>
      </c>
      <c r="P206" s="255">
        <v>1</v>
      </c>
    </row>
    <row r="207" spans="1:16" ht="15">
      <c r="A207" s="66">
        <v>204</v>
      </c>
      <c r="B207" s="49" t="s">
        <v>69</v>
      </c>
      <c r="C207" s="39">
        <v>39766</v>
      </c>
      <c r="D207" s="44" t="s">
        <v>134</v>
      </c>
      <c r="E207" s="44" t="s">
        <v>50</v>
      </c>
      <c r="F207" s="41">
        <v>20</v>
      </c>
      <c r="G207" s="41">
        <v>3</v>
      </c>
      <c r="H207" s="41">
        <v>23</v>
      </c>
      <c r="I207" s="301">
        <v>2152</v>
      </c>
      <c r="J207" s="138">
        <v>4188</v>
      </c>
      <c r="K207" s="138">
        <f aca="true" t="shared" si="13" ref="K207:K213">(J207/G207)</f>
        <v>1396</v>
      </c>
      <c r="L207" s="139">
        <f t="shared" si="12"/>
        <v>0.5138490926456543</v>
      </c>
      <c r="M207" s="301">
        <f>109364.5+38539+31287+12101+5368+8640.5+12331+9410+9143+5719+2775+1424+1017+338+1223+1447+5587+2013+2140+304+245+320+2152</f>
        <v>262888</v>
      </c>
      <c r="N207" s="138">
        <f>11866+4674+4443+2133+1061+1670+2334+1542+1728+1224+544+356+207+68+185+229+749+298+535+76+49+64+418</f>
        <v>36453</v>
      </c>
      <c r="O207" s="103">
        <f aca="true" t="shared" si="14" ref="O207:O213">M207/N207</f>
        <v>7.211697253998299</v>
      </c>
      <c r="P207" s="255"/>
    </row>
    <row r="208" spans="1:16" ht="15">
      <c r="A208" s="66">
        <v>205</v>
      </c>
      <c r="B208" s="49" t="s">
        <v>73</v>
      </c>
      <c r="C208" s="39">
        <v>39772</v>
      </c>
      <c r="D208" s="44" t="s">
        <v>134</v>
      </c>
      <c r="E208" s="44" t="s">
        <v>105</v>
      </c>
      <c r="F208" s="41">
        <v>195</v>
      </c>
      <c r="G208" s="41">
        <v>1</v>
      </c>
      <c r="H208" s="41">
        <v>11</v>
      </c>
      <c r="I208" s="301">
        <v>2140</v>
      </c>
      <c r="J208" s="138">
        <v>535</v>
      </c>
      <c r="K208" s="138">
        <f t="shared" si="13"/>
        <v>535</v>
      </c>
      <c r="L208" s="139">
        <f t="shared" si="12"/>
        <v>4</v>
      </c>
      <c r="M208" s="301">
        <f>1011017+512350.5+217314+64545+38656.5+8087+9376.5+5786+2876+882+2140</f>
        <v>1873030.5</v>
      </c>
      <c r="N208" s="138">
        <f>136878+68007+31396+9807+8372+1564+2234+1216+601+202+535</f>
        <v>260812</v>
      </c>
      <c r="O208" s="103">
        <f t="shared" si="14"/>
        <v>7.181534975384568</v>
      </c>
      <c r="P208" s="255">
        <v>1</v>
      </c>
    </row>
    <row r="209" spans="1:16" ht="15">
      <c r="A209" s="66">
        <v>206</v>
      </c>
      <c r="B209" s="49" t="s">
        <v>67</v>
      </c>
      <c r="C209" s="39">
        <v>39759</v>
      </c>
      <c r="D209" s="44" t="s">
        <v>134</v>
      </c>
      <c r="E209" s="44" t="s">
        <v>223</v>
      </c>
      <c r="F209" s="41">
        <v>93</v>
      </c>
      <c r="G209" s="41">
        <v>1</v>
      </c>
      <c r="H209" s="41">
        <v>17</v>
      </c>
      <c r="I209" s="301">
        <v>2140</v>
      </c>
      <c r="J209" s="138">
        <v>535</v>
      </c>
      <c r="K209" s="138">
        <f t="shared" si="13"/>
        <v>535</v>
      </c>
      <c r="L209" s="139">
        <f t="shared" si="12"/>
        <v>4</v>
      </c>
      <c r="M209" s="301">
        <f>224223+136351+27895+24212+1274+3482+7147+2804+5279+2025+2635+2196+1188+832+2140+360+2140</f>
        <v>446183</v>
      </c>
      <c r="N209" s="138">
        <f>27969+18593+4268+4646+311+857+1472+745+1285+386+636+549+297+208+535+80+535</f>
        <v>63372</v>
      </c>
      <c r="O209" s="103">
        <f t="shared" si="14"/>
        <v>7.040696206526541</v>
      </c>
      <c r="P209" s="255"/>
    </row>
    <row r="210" spans="1:16" ht="15">
      <c r="A210" s="66">
        <v>207</v>
      </c>
      <c r="B210" s="275" t="s">
        <v>211</v>
      </c>
      <c r="C210" s="39">
        <v>39668</v>
      </c>
      <c r="D210" s="44" t="s">
        <v>134</v>
      </c>
      <c r="E210" s="44" t="s">
        <v>212</v>
      </c>
      <c r="F210" s="41">
        <v>1</v>
      </c>
      <c r="G210" s="41">
        <v>1</v>
      </c>
      <c r="H210" s="41">
        <v>7</v>
      </c>
      <c r="I210" s="332">
        <v>2140</v>
      </c>
      <c r="J210" s="138">
        <v>535</v>
      </c>
      <c r="K210" s="138">
        <f t="shared" si="13"/>
        <v>535</v>
      </c>
      <c r="L210" s="273">
        <f t="shared" si="12"/>
        <v>4</v>
      </c>
      <c r="M210" s="332">
        <f>3110+2328+234+98+1424+1544+2140</f>
        <v>10878</v>
      </c>
      <c r="N210" s="138">
        <f>365+272+41+14+356+386+535</f>
        <v>1969</v>
      </c>
      <c r="O210" s="274">
        <f t="shared" si="14"/>
        <v>5.524631792788218</v>
      </c>
      <c r="P210" s="255">
        <v>1</v>
      </c>
    </row>
    <row r="211" spans="1:16" ht="15">
      <c r="A211" s="66">
        <v>208</v>
      </c>
      <c r="B211" s="275" t="s">
        <v>67</v>
      </c>
      <c r="C211" s="39">
        <v>39759</v>
      </c>
      <c r="D211" s="44" t="s">
        <v>134</v>
      </c>
      <c r="E211" s="44" t="s">
        <v>143</v>
      </c>
      <c r="F211" s="41">
        <v>93</v>
      </c>
      <c r="G211" s="41">
        <v>1</v>
      </c>
      <c r="H211" s="41">
        <v>15</v>
      </c>
      <c r="I211" s="332">
        <v>2140</v>
      </c>
      <c r="J211" s="138">
        <v>535</v>
      </c>
      <c r="K211" s="138">
        <f t="shared" si="13"/>
        <v>535</v>
      </c>
      <c r="L211" s="273">
        <f t="shared" si="12"/>
        <v>4</v>
      </c>
      <c r="M211" s="332">
        <f>224223+136351+27895+24212+1274+3482+7147+2804+5279+2025+2635+2196+1188+832+2140</f>
        <v>443683</v>
      </c>
      <c r="N211" s="138">
        <f>27969+18593+4268+4646+311+857+1472+745+1285+386+636+549+297+208+535</f>
        <v>62757</v>
      </c>
      <c r="O211" s="274">
        <f t="shared" si="14"/>
        <v>7.069856749047915</v>
      </c>
      <c r="P211" s="255"/>
    </row>
    <row r="212" spans="1:16" ht="15">
      <c r="A212" s="66">
        <v>209</v>
      </c>
      <c r="B212" s="275" t="s">
        <v>69</v>
      </c>
      <c r="C212" s="39">
        <v>39766</v>
      </c>
      <c r="D212" s="44" t="s">
        <v>134</v>
      </c>
      <c r="E212" s="44" t="s">
        <v>50</v>
      </c>
      <c r="F212" s="41">
        <v>20</v>
      </c>
      <c r="G212" s="41">
        <v>1</v>
      </c>
      <c r="H212" s="41">
        <v>19</v>
      </c>
      <c r="I212" s="332">
        <v>2140</v>
      </c>
      <c r="J212" s="138">
        <v>535</v>
      </c>
      <c r="K212" s="138">
        <f t="shared" si="13"/>
        <v>535</v>
      </c>
      <c r="L212" s="273">
        <f t="shared" si="12"/>
        <v>4</v>
      </c>
      <c r="M212" s="332">
        <f>109364.5+38539+31287+12101+5368+8640.5+12331+9410+9143+5719+2775+1424+1017+338+1223+1447+5587+2013+2140</f>
        <v>259867</v>
      </c>
      <c r="N212" s="138">
        <f>11866+4674+4443+2133+1061+1670+2334+1542+1728+1224+544+356+207+68+185+229+749+298+535</f>
        <v>35846</v>
      </c>
      <c r="O212" s="274">
        <f t="shared" si="14"/>
        <v>7.249539697595269</v>
      </c>
      <c r="P212" s="255">
        <v>1</v>
      </c>
    </row>
    <row r="213" spans="1:16" ht="15">
      <c r="A213" s="66">
        <v>210</v>
      </c>
      <c r="B213" s="49" t="s">
        <v>53</v>
      </c>
      <c r="C213" s="40">
        <v>39738</v>
      </c>
      <c r="D213" s="45" t="s">
        <v>134</v>
      </c>
      <c r="E213" s="44" t="s">
        <v>54</v>
      </c>
      <c r="F213" s="41">
        <v>67</v>
      </c>
      <c r="G213" s="41">
        <v>6</v>
      </c>
      <c r="H213" s="41">
        <v>12</v>
      </c>
      <c r="I213" s="327">
        <v>2137</v>
      </c>
      <c r="J213" s="328">
        <v>440</v>
      </c>
      <c r="K213" s="140">
        <f t="shared" si="13"/>
        <v>73.33333333333333</v>
      </c>
      <c r="L213" s="141">
        <f t="shared" si="12"/>
        <v>4.8568181818181815</v>
      </c>
      <c r="M213" s="327">
        <f>167196+176809+54428+37340+38330.5+23467+11581+5867+4382+2577+3552+2137</f>
        <v>527666.5</v>
      </c>
      <c r="N213" s="328">
        <f>19168+21164+7719+6215+6404+4964+2339+1306+907+580+859+440</f>
        <v>72065</v>
      </c>
      <c r="O213" s="105">
        <f t="shared" si="14"/>
        <v>7.32209116769583</v>
      </c>
      <c r="P213" s="255">
        <v>1</v>
      </c>
    </row>
    <row r="214" spans="1:16" ht="15">
      <c r="A214" s="66">
        <v>211</v>
      </c>
      <c r="B214" s="240" t="s">
        <v>145</v>
      </c>
      <c r="C214" s="236">
        <v>39801</v>
      </c>
      <c r="D214" s="235" t="s">
        <v>136</v>
      </c>
      <c r="E214" s="235" t="s">
        <v>146</v>
      </c>
      <c r="F214" s="237">
        <v>84</v>
      </c>
      <c r="G214" s="237">
        <v>2</v>
      </c>
      <c r="H214" s="237">
        <v>13</v>
      </c>
      <c r="I214" s="331">
        <v>2130</v>
      </c>
      <c r="J214" s="238">
        <v>426</v>
      </c>
      <c r="K214" s="238">
        <f>J214/G214</f>
        <v>213</v>
      </c>
      <c r="L214" s="239">
        <f>IF(I214&lt;&gt;0,I214/J214,"")</f>
        <v>5</v>
      </c>
      <c r="M214" s="331">
        <v>618762</v>
      </c>
      <c r="N214" s="238">
        <v>74919</v>
      </c>
      <c r="O214" s="241">
        <f>IF(M214&lt;&gt;0,M214/N214,"")</f>
        <v>8.259079806190686</v>
      </c>
      <c r="P214" s="255">
        <v>1</v>
      </c>
    </row>
    <row r="215" spans="1:16" ht="15">
      <c r="A215" s="66">
        <v>212</v>
      </c>
      <c r="B215" s="48" t="s">
        <v>390</v>
      </c>
      <c r="C215" s="39">
        <v>39597</v>
      </c>
      <c r="D215" s="42" t="s">
        <v>391</v>
      </c>
      <c r="E215" s="42" t="s">
        <v>185</v>
      </c>
      <c r="F215" s="54">
        <v>4</v>
      </c>
      <c r="G215" s="54">
        <v>1</v>
      </c>
      <c r="H215" s="54">
        <v>2</v>
      </c>
      <c r="I215" s="327">
        <v>2106</v>
      </c>
      <c r="J215" s="328">
        <v>235</v>
      </c>
      <c r="K215" s="140">
        <v>235</v>
      </c>
      <c r="L215" s="141">
        <v>9</v>
      </c>
      <c r="M215" s="327">
        <v>12761</v>
      </c>
      <c r="N215" s="328">
        <v>1212</v>
      </c>
      <c r="O215" s="104">
        <f>+M215/N215</f>
        <v>10.528877887788779</v>
      </c>
      <c r="P215" s="255"/>
    </row>
    <row r="216" spans="1:16" ht="15">
      <c r="A216" s="66">
        <v>213</v>
      </c>
      <c r="B216" s="49" t="s">
        <v>15</v>
      </c>
      <c r="C216" s="40">
        <v>39696</v>
      </c>
      <c r="D216" s="44" t="s">
        <v>132</v>
      </c>
      <c r="E216" s="44" t="s">
        <v>16</v>
      </c>
      <c r="F216" s="41">
        <v>75</v>
      </c>
      <c r="G216" s="41">
        <v>1</v>
      </c>
      <c r="H216" s="41">
        <v>11</v>
      </c>
      <c r="I216" s="301">
        <v>2100</v>
      </c>
      <c r="J216" s="138">
        <v>350</v>
      </c>
      <c r="K216" s="140">
        <f>(J216/G216)</f>
        <v>350</v>
      </c>
      <c r="L216" s="141">
        <f>I216/J216</f>
        <v>6</v>
      </c>
      <c r="M216" s="301">
        <f>86230.5+60757+25197.5+7924+1147+850+226+56+3673+3630+2100</f>
        <v>191791</v>
      </c>
      <c r="N216" s="138">
        <f>10350+7537+3961+1406+201+213+26+9+924+1210+350</f>
        <v>26187</v>
      </c>
      <c r="O216" s="105">
        <f>M216/N216</f>
        <v>7.323901172337419</v>
      </c>
      <c r="P216" s="255"/>
    </row>
    <row r="217" spans="1:16" ht="15">
      <c r="A217" s="66">
        <v>214</v>
      </c>
      <c r="B217" s="275" t="s">
        <v>161</v>
      </c>
      <c r="C217" s="39">
        <v>39766</v>
      </c>
      <c r="D217" s="44" t="s">
        <v>197</v>
      </c>
      <c r="E217" s="44" t="s">
        <v>198</v>
      </c>
      <c r="F217" s="41">
        <v>50</v>
      </c>
      <c r="G217" s="41">
        <v>3</v>
      </c>
      <c r="H217" s="41">
        <v>22</v>
      </c>
      <c r="I217" s="332">
        <v>2096</v>
      </c>
      <c r="J217" s="138">
        <v>578</v>
      </c>
      <c r="K217" s="138">
        <f>J217/G217</f>
        <v>192.66666666666666</v>
      </c>
      <c r="L217" s="273">
        <f>I217/J217</f>
        <v>3.6262975778546713</v>
      </c>
      <c r="M217" s="332">
        <v>242035</v>
      </c>
      <c r="N217" s="138">
        <v>36486</v>
      </c>
      <c r="O217" s="274">
        <f>+M217/N217</f>
        <v>6.633640300389191</v>
      </c>
      <c r="P217" s="255"/>
    </row>
    <row r="218" spans="1:16" ht="15">
      <c r="A218" s="66">
        <v>215</v>
      </c>
      <c r="B218" s="240" t="s">
        <v>161</v>
      </c>
      <c r="C218" s="236">
        <v>39696</v>
      </c>
      <c r="D218" s="235" t="s">
        <v>197</v>
      </c>
      <c r="E218" s="235" t="s">
        <v>198</v>
      </c>
      <c r="F218" s="237">
        <v>50</v>
      </c>
      <c r="G218" s="237">
        <v>2</v>
      </c>
      <c r="H218" s="237">
        <v>14</v>
      </c>
      <c r="I218" s="331">
        <v>2096</v>
      </c>
      <c r="J218" s="238">
        <v>501</v>
      </c>
      <c r="K218" s="238">
        <f>J218/G218</f>
        <v>250.5</v>
      </c>
      <c r="L218" s="239">
        <f>I218/J218</f>
        <v>4.1836327345309385</v>
      </c>
      <c r="M218" s="331">
        <v>219236</v>
      </c>
      <c r="N218" s="238">
        <v>31568</v>
      </c>
      <c r="O218" s="241">
        <f>+M218/N218</f>
        <v>6.944880892042574</v>
      </c>
      <c r="P218" s="255"/>
    </row>
    <row r="219" spans="1:16" ht="15">
      <c r="A219" s="66">
        <v>216</v>
      </c>
      <c r="B219" s="240" t="s">
        <v>145</v>
      </c>
      <c r="C219" s="236">
        <v>39801</v>
      </c>
      <c r="D219" s="235" t="s">
        <v>136</v>
      </c>
      <c r="E219" s="235" t="s">
        <v>146</v>
      </c>
      <c r="F219" s="237">
        <v>84</v>
      </c>
      <c r="G219" s="237">
        <v>4</v>
      </c>
      <c r="H219" s="237">
        <v>7</v>
      </c>
      <c r="I219" s="331">
        <v>2080</v>
      </c>
      <c r="J219" s="238">
        <v>419</v>
      </c>
      <c r="K219" s="238">
        <f>IF(I219&lt;&gt;0,J219/G219,"")</f>
        <v>104.75</v>
      </c>
      <c r="L219" s="239">
        <f>IF(I219&lt;&gt;0,I219/J219,"")</f>
        <v>4.964200477326969</v>
      </c>
      <c r="M219" s="331">
        <f>369313.5+145108.5+43813+31258+11772.5+5392.5+2080</f>
        <v>608738</v>
      </c>
      <c r="N219" s="238">
        <f>41017+16460+6346+5364+2357+1094+419</f>
        <v>73057</v>
      </c>
      <c r="O219" s="241">
        <f>IF(M219&lt;&gt;0,M219/N219,"")</f>
        <v>8.332370614725487</v>
      </c>
      <c r="P219" s="247"/>
    </row>
    <row r="220" spans="1:16" ht="15">
      <c r="A220" s="66">
        <v>217</v>
      </c>
      <c r="B220" s="49" t="s">
        <v>147</v>
      </c>
      <c r="C220" s="39">
        <v>39801</v>
      </c>
      <c r="D220" s="44" t="s">
        <v>134</v>
      </c>
      <c r="E220" s="44" t="s">
        <v>148</v>
      </c>
      <c r="F220" s="41">
        <v>42</v>
      </c>
      <c r="G220" s="41">
        <v>2</v>
      </c>
      <c r="H220" s="41">
        <v>30</v>
      </c>
      <c r="I220" s="301">
        <v>2063</v>
      </c>
      <c r="J220" s="138">
        <v>404</v>
      </c>
      <c r="K220" s="138">
        <f>(J220/G220)</f>
        <v>202</v>
      </c>
      <c r="L220" s="139">
        <f>I220/J220</f>
        <v>5.106435643564357</v>
      </c>
      <c r="M220" s="301">
        <f>295344+204961.5+145464.5+116108.5+111972.5+49984+26327+32042+18579+20005+19180+15980+2686.5+3166.5+366+13433+4493+735.5+607.5+2528+83+198+248+2348+825+2700+2268+393+2002+2063</f>
        <v>1097092</v>
      </c>
      <c r="N220" s="138">
        <f>36142+24747+19417+15404+14719+7567+3314+5289+3173+3275+3534+2826+540+724+52+2536+882+130+150+615+21+66+51+497+165+675+506+78+241+404</f>
        <v>147740</v>
      </c>
      <c r="O220" s="103">
        <f>M220/N220</f>
        <v>7.425829159333965</v>
      </c>
      <c r="P220" s="255">
        <v>1</v>
      </c>
    </row>
    <row r="221" spans="1:16" ht="15">
      <c r="A221" s="66">
        <v>218</v>
      </c>
      <c r="B221" s="49" t="s">
        <v>149</v>
      </c>
      <c r="C221" s="39">
        <v>39801</v>
      </c>
      <c r="D221" s="44" t="s">
        <v>4</v>
      </c>
      <c r="E221" s="44" t="s">
        <v>77</v>
      </c>
      <c r="F221" s="41">
        <v>19</v>
      </c>
      <c r="G221" s="41">
        <v>3</v>
      </c>
      <c r="H221" s="41">
        <v>37</v>
      </c>
      <c r="I221" s="301">
        <v>2043</v>
      </c>
      <c r="J221" s="138">
        <v>230</v>
      </c>
      <c r="K221" s="138">
        <f>+J221/G221</f>
        <v>76.66666666666667</v>
      </c>
      <c r="L221" s="139">
        <f>+I221/J221</f>
        <v>8.882608695652173</v>
      </c>
      <c r="M221" s="301">
        <v>151411</v>
      </c>
      <c r="N221" s="138">
        <v>15063</v>
      </c>
      <c r="O221" s="103">
        <f>+M221/N221</f>
        <v>10.051848901281286</v>
      </c>
      <c r="P221" s="255"/>
    </row>
    <row r="222" spans="1:16" ht="15">
      <c r="A222" s="66">
        <v>219</v>
      </c>
      <c r="B222" s="209" t="s">
        <v>67</v>
      </c>
      <c r="C222" s="205">
        <v>39759</v>
      </c>
      <c r="D222" s="196" t="s">
        <v>134</v>
      </c>
      <c r="E222" s="203" t="s">
        <v>143</v>
      </c>
      <c r="F222" s="204">
        <v>93</v>
      </c>
      <c r="G222" s="204">
        <v>2</v>
      </c>
      <c r="H222" s="204">
        <v>10</v>
      </c>
      <c r="I222" s="321">
        <v>2025</v>
      </c>
      <c r="J222" s="322">
        <v>386</v>
      </c>
      <c r="K222" s="201">
        <f>(J222/G222)</f>
        <v>193</v>
      </c>
      <c r="L222" s="202">
        <f aca="true" t="shared" si="15" ref="L222:L234">I222/J222</f>
        <v>5.246113989637306</v>
      </c>
      <c r="M222" s="321">
        <f>224223+136351+27895+24212+1274+3482+7147+2804+5279+2025</f>
        <v>434692</v>
      </c>
      <c r="N222" s="322">
        <f>27969+18593+4268+4646+311+857+1472+745+1285+386</f>
        <v>60532</v>
      </c>
      <c r="O222" s="208">
        <f>M222/N222</f>
        <v>7.181193418357233</v>
      </c>
      <c r="P222" s="253">
        <v>1</v>
      </c>
    </row>
    <row r="223" spans="1:16" ht="15">
      <c r="A223" s="66">
        <v>220</v>
      </c>
      <c r="B223" s="240" t="s">
        <v>23</v>
      </c>
      <c r="C223" s="236">
        <v>39808</v>
      </c>
      <c r="D223" s="235" t="s">
        <v>136</v>
      </c>
      <c r="E223" s="235" t="s">
        <v>24</v>
      </c>
      <c r="F223" s="237">
        <v>198</v>
      </c>
      <c r="G223" s="237">
        <v>5</v>
      </c>
      <c r="H223" s="237">
        <v>7</v>
      </c>
      <c r="I223" s="331">
        <v>2023</v>
      </c>
      <c r="J223" s="238">
        <v>452</v>
      </c>
      <c r="K223" s="238">
        <f>IF(I223&lt;&gt;0,J223/G223,"")</f>
        <v>90.4</v>
      </c>
      <c r="L223" s="239">
        <f t="shared" si="15"/>
        <v>4.475663716814159</v>
      </c>
      <c r="M223" s="331">
        <f>909072+532572.5+214521.5+64908+15178.5+4216.5+2023</f>
        <v>1742492</v>
      </c>
      <c r="N223" s="238">
        <f>112486+67146+29772+10700+3086+733+452</f>
        <v>224375</v>
      </c>
      <c r="O223" s="241">
        <f>+M223/N223</f>
        <v>7.7659810584958215</v>
      </c>
      <c r="P223" s="255">
        <v>1</v>
      </c>
    </row>
    <row r="224" spans="1:16" ht="15">
      <c r="A224" s="66">
        <v>221</v>
      </c>
      <c r="B224" s="49" t="s">
        <v>69</v>
      </c>
      <c r="C224" s="39">
        <v>39766</v>
      </c>
      <c r="D224" s="44" t="s">
        <v>134</v>
      </c>
      <c r="E224" s="44" t="s">
        <v>50</v>
      </c>
      <c r="F224" s="41">
        <v>20</v>
      </c>
      <c r="G224" s="41">
        <v>5</v>
      </c>
      <c r="H224" s="41">
        <v>17</v>
      </c>
      <c r="I224" s="301">
        <v>2013</v>
      </c>
      <c r="J224" s="138">
        <v>298</v>
      </c>
      <c r="K224" s="138">
        <f>(J224/G224)</f>
        <v>59.6</v>
      </c>
      <c r="L224" s="139">
        <f t="shared" si="15"/>
        <v>6.75503355704698</v>
      </c>
      <c r="M224" s="301">
        <f>109364.5+38539+31287+12101+5368+8640.5+12331+9410+9143+5719+2775+1424+1017+338+1223+1447+5587+2013</f>
        <v>257727</v>
      </c>
      <c r="N224" s="138">
        <f>11866+4674+4443+2133+1061+1670+2334+1542+1728+1224+544+356+207+68+185+229+749+298</f>
        <v>35311</v>
      </c>
      <c r="O224" s="103">
        <f>M224/N224</f>
        <v>7.298773753221376</v>
      </c>
      <c r="P224" s="255">
        <v>1</v>
      </c>
    </row>
    <row r="225" spans="1:16" ht="15">
      <c r="A225" s="66">
        <v>222</v>
      </c>
      <c r="B225" s="49" t="s">
        <v>147</v>
      </c>
      <c r="C225" s="39">
        <v>39801</v>
      </c>
      <c r="D225" s="44" t="s">
        <v>134</v>
      </c>
      <c r="E225" s="44" t="s">
        <v>148</v>
      </c>
      <c r="F225" s="41">
        <v>42</v>
      </c>
      <c r="G225" s="41">
        <v>4</v>
      </c>
      <c r="H225" s="41">
        <v>28</v>
      </c>
      <c r="I225" s="301">
        <v>2002</v>
      </c>
      <c r="J225" s="138">
        <v>241</v>
      </c>
      <c r="K225" s="138">
        <f>(J225/G225)</f>
        <v>60.25</v>
      </c>
      <c r="L225" s="139">
        <f t="shared" si="15"/>
        <v>8.307053941908714</v>
      </c>
      <c r="M225" s="301">
        <f>295344+204961.5+145464.5+116108.5+111972.5+49984+26327+32042+18579+20005+19180+15980+2686.5+3166.5+366+13433+4493+735.5+607.5+2528+83+198+248+2348+825+2700+2268+393+2002</f>
        <v>1095029</v>
      </c>
      <c r="N225" s="138">
        <f>36142+24747+19417+15404+14719+7567+3314+5289+3173+3275+3534+2826+540+724+52+2536+882+130+150+615+21+66+51+497+165+675+506+78+241</f>
        <v>147336</v>
      </c>
      <c r="O225" s="103">
        <f>+M225/N225</f>
        <v>7.432189010153662</v>
      </c>
      <c r="P225" s="256"/>
    </row>
    <row r="226" spans="1:16" ht="15">
      <c r="A226" s="66">
        <v>223</v>
      </c>
      <c r="B226" s="240" t="s">
        <v>167</v>
      </c>
      <c r="C226" s="236">
        <v>39472</v>
      </c>
      <c r="D226" s="235" t="s">
        <v>132</v>
      </c>
      <c r="E226" s="235" t="s">
        <v>92</v>
      </c>
      <c r="F226" s="237">
        <v>1</v>
      </c>
      <c r="G226" s="237">
        <v>1</v>
      </c>
      <c r="H226" s="237">
        <v>31</v>
      </c>
      <c r="I226" s="331">
        <v>1976</v>
      </c>
      <c r="J226" s="238">
        <v>652</v>
      </c>
      <c r="K226" s="238">
        <f>J226/G226</f>
        <v>652</v>
      </c>
      <c r="L226" s="239">
        <f t="shared" si="15"/>
        <v>3.0306748466257667</v>
      </c>
      <c r="M226" s="331">
        <f>395290.5+262822+75939+23709.5+4083+1327+9321+1445+1267+2173+4575+201+1748+3343+728+28+948+1329+163+182+173+15521.5+171+40+110+75+183.5+127+124.5+1976</f>
        <v>809123.5</v>
      </c>
      <c r="N226" s="238">
        <f>47426+32442+9866+4010+887+225+2185+263+226+460+1077+33+367+887+230+4+139+355+32+35+32+3859+49+8+22+15+68+46+45+659</f>
        <v>105952</v>
      </c>
      <c r="O226" s="241">
        <f>+M226/N226</f>
        <v>7.636698693748112</v>
      </c>
      <c r="P226" s="256"/>
    </row>
    <row r="227" spans="1:16" ht="15">
      <c r="A227" s="66">
        <v>224</v>
      </c>
      <c r="B227" s="49" t="s">
        <v>69</v>
      </c>
      <c r="C227" s="39">
        <v>39766</v>
      </c>
      <c r="D227" s="44" t="s">
        <v>134</v>
      </c>
      <c r="E227" s="44" t="s">
        <v>50</v>
      </c>
      <c r="F227" s="41">
        <v>20</v>
      </c>
      <c r="G227" s="41">
        <v>4</v>
      </c>
      <c r="H227" s="41">
        <v>24</v>
      </c>
      <c r="I227" s="301">
        <v>1973.5</v>
      </c>
      <c r="J227" s="138">
        <v>391</v>
      </c>
      <c r="K227" s="138">
        <f>(J227/G227)</f>
        <v>97.75</v>
      </c>
      <c r="L227" s="139">
        <f t="shared" si="15"/>
        <v>5.047314578005115</v>
      </c>
      <c r="M227" s="301">
        <f>109364.5+38539+31287+12101+5368+8640.5+12331+9410+9143+5719+2775+1424+1017+338+1223+1447+5587+2013+2140+304+245+320+2152+1973.5</f>
        <v>264861.5</v>
      </c>
      <c r="N227" s="138">
        <f>11866+4674+4443+2133+1061+1670+2334+1542+1728+1224+544+356+207+68+185+229+749+298+535+76+49+64+418+391</f>
        <v>36844</v>
      </c>
      <c r="O227" s="103">
        <f>M227/N227</f>
        <v>7.188728151123657</v>
      </c>
      <c r="P227" s="256">
        <v>1</v>
      </c>
    </row>
    <row r="228" spans="1:16" ht="15">
      <c r="A228" s="66">
        <v>225</v>
      </c>
      <c r="B228" s="49" t="s">
        <v>53</v>
      </c>
      <c r="C228" s="39">
        <v>39738</v>
      </c>
      <c r="D228" s="44" t="s">
        <v>134</v>
      </c>
      <c r="E228" s="44" t="s">
        <v>54</v>
      </c>
      <c r="F228" s="41">
        <v>67</v>
      </c>
      <c r="G228" s="41">
        <v>2</v>
      </c>
      <c r="H228" s="41">
        <v>25</v>
      </c>
      <c r="I228" s="301">
        <v>1948</v>
      </c>
      <c r="J228" s="138">
        <v>466</v>
      </c>
      <c r="K228" s="138">
        <f>(J228/G228)</f>
        <v>233</v>
      </c>
      <c r="L228" s="139">
        <f t="shared" si="15"/>
        <v>4.180257510729613</v>
      </c>
      <c r="M228" s="301">
        <f>167196+176809+54428+37340+38330.5+23467+11581+5867+4382+2577+3552+2137+545+4006+9422+7992+4936+1547+1147+288+371+2842+1282+168+610+1948</f>
        <v>564770.5</v>
      </c>
      <c r="N228" s="138">
        <f>19168+21164+7719+6215+6404+4964+2339+1306+907+580+859+440+127+905+2170+1822+1050+392+333+56+73+734+411+21+61+466</f>
        <v>80686</v>
      </c>
      <c r="O228" s="103">
        <f>+M228/N228</f>
        <v>6.999609597699725</v>
      </c>
      <c r="P228" s="256"/>
    </row>
    <row r="229" spans="1:16" ht="15">
      <c r="A229" s="66">
        <v>226</v>
      </c>
      <c r="B229" s="275" t="s">
        <v>25</v>
      </c>
      <c r="C229" s="39">
        <v>39808</v>
      </c>
      <c r="D229" s="44" t="s">
        <v>131</v>
      </c>
      <c r="E229" s="44" t="s">
        <v>111</v>
      </c>
      <c r="F229" s="41">
        <v>112</v>
      </c>
      <c r="G229" s="41">
        <v>6</v>
      </c>
      <c r="H229" s="41">
        <v>21</v>
      </c>
      <c r="I229" s="332">
        <v>1946</v>
      </c>
      <c r="J229" s="138">
        <v>831</v>
      </c>
      <c r="K229" s="138">
        <f>J229/G229</f>
        <v>138.5</v>
      </c>
      <c r="L229" s="273">
        <f t="shared" si="15"/>
        <v>2.341756919374248</v>
      </c>
      <c r="M229" s="332">
        <v>2061292</v>
      </c>
      <c r="N229" s="138">
        <v>215946</v>
      </c>
      <c r="O229" s="274">
        <f>+M229/N229</f>
        <v>9.545404869735952</v>
      </c>
      <c r="P229" s="256"/>
    </row>
    <row r="230" spans="1:16" ht="15">
      <c r="A230" s="66">
        <v>227</v>
      </c>
      <c r="B230" s="53" t="s">
        <v>64</v>
      </c>
      <c r="C230" s="39">
        <v>39759</v>
      </c>
      <c r="D230" s="126" t="s">
        <v>65</v>
      </c>
      <c r="E230" s="126" t="s">
        <v>66</v>
      </c>
      <c r="F230" s="50">
        <v>156</v>
      </c>
      <c r="G230" s="50">
        <v>1</v>
      </c>
      <c r="H230" s="50">
        <v>26</v>
      </c>
      <c r="I230" s="337">
        <v>1915</v>
      </c>
      <c r="J230" s="338">
        <v>383</v>
      </c>
      <c r="K230" s="279">
        <f>J230/G230</f>
        <v>383</v>
      </c>
      <c r="L230" s="280">
        <f t="shared" si="15"/>
        <v>5</v>
      </c>
      <c r="M230" s="337">
        <v>23376399.5</v>
      </c>
      <c r="N230" s="338">
        <v>2780719</v>
      </c>
      <c r="O230" s="284">
        <f>+M230/N230</f>
        <v>8.406602572931677</v>
      </c>
      <c r="P230" s="256"/>
    </row>
    <row r="231" spans="1:16" ht="15">
      <c r="A231" s="66">
        <v>228</v>
      </c>
      <c r="B231" s="275" t="s">
        <v>44</v>
      </c>
      <c r="C231" s="39">
        <v>39780</v>
      </c>
      <c r="D231" s="44" t="s">
        <v>131</v>
      </c>
      <c r="E231" s="44" t="s">
        <v>127</v>
      </c>
      <c r="F231" s="41">
        <v>121</v>
      </c>
      <c r="G231" s="41">
        <v>3</v>
      </c>
      <c r="H231" s="41">
        <v>24</v>
      </c>
      <c r="I231" s="332">
        <v>1906</v>
      </c>
      <c r="J231" s="138">
        <v>550</v>
      </c>
      <c r="K231" s="138">
        <f>J231/G231</f>
        <v>183.33333333333334</v>
      </c>
      <c r="L231" s="273">
        <f t="shared" si="15"/>
        <v>3.4654545454545453</v>
      </c>
      <c r="M231" s="332">
        <v>3469497</v>
      </c>
      <c r="N231" s="138">
        <v>409368</v>
      </c>
      <c r="O231" s="274">
        <f>+M231/N231</f>
        <v>8.475252095913701</v>
      </c>
      <c r="P231" s="255">
        <v>1</v>
      </c>
    </row>
    <row r="232" spans="1:16" ht="15">
      <c r="A232" s="66">
        <v>229</v>
      </c>
      <c r="B232" s="240" t="s">
        <v>142</v>
      </c>
      <c r="C232" s="236">
        <v>39794</v>
      </c>
      <c r="D232" s="235" t="s">
        <v>134</v>
      </c>
      <c r="E232" s="235" t="s">
        <v>133</v>
      </c>
      <c r="F232" s="237">
        <v>100</v>
      </c>
      <c r="G232" s="237">
        <v>2</v>
      </c>
      <c r="H232" s="237">
        <v>11</v>
      </c>
      <c r="I232" s="331">
        <v>1904</v>
      </c>
      <c r="J232" s="238">
        <v>524</v>
      </c>
      <c r="K232" s="238">
        <f>(J232/G232)</f>
        <v>262</v>
      </c>
      <c r="L232" s="239">
        <f t="shared" si="15"/>
        <v>3.633587786259542</v>
      </c>
      <c r="M232" s="331">
        <f>1276778.5+626123+380324+112679.5+54533+36086+4129+3620.5+4348+1030+1904</f>
        <v>2501555.5</v>
      </c>
      <c r="N232" s="238">
        <f>133555+68793+41581+14968+8873+6454+539+324+976+204+524</f>
        <v>276791</v>
      </c>
      <c r="O232" s="241">
        <f>M232/N232</f>
        <v>9.03770534446568</v>
      </c>
      <c r="P232" s="255">
        <v>1</v>
      </c>
    </row>
    <row r="233" spans="1:16" ht="15">
      <c r="A233" s="66">
        <v>230</v>
      </c>
      <c r="B233" s="240" t="s">
        <v>70</v>
      </c>
      <c r="C233" s="236">
        <v>39766</v>
      </c>
      <c r="D233" s="235" t="s">
        <v>132</v>
      </c>
      <c r="E233" s="235" t="s">
        <v>199</v>
      </c>
      <c r="F233" s="237">
        <v>2</v>
      </c>
      <c r="G233" s="237">
        <v>2</v>
      </c>
      <c r="H233" s="237">
        <v>14</v>
      </c>
      <c r="I233" s="331">
        <v>1882</v>
      </c>
      <c r="J233" s="238">
        <v>265</v>
      </c>
      <c r="K233" s="238">
        <f>(J233/G233)</f>
        <v>132.5</v>
      </c>
      <c r="L233" s="239">
        <f t="shared" si="15"/>
        <v>7.10188679245283</v>
      </c>
      <c r="M233" s="331">
        <f>191668+16358.5+8305+0.5+19699.5+16705.5+7289+4467+3138+2267+1882</f>
        <v>271780</v>
      </c>
      <c r="N233" s="238">
        <f>10324+8249+7871+7121+4755+3362+1751+2958+2636+1185+800+596+440+265</f>
        <v>52313</v>
      </c>
      <c r="O233" s="241">
        <f>+M233/N233</f>
        <v>5.195266950853516</v>
      </c>
      <c r="P233" s="255"/>
    </row>
    <row r="234" spans="1:16" ht="15">
      <c r="A234" s="66">
        <v>231</v>
      </c>
      <c r="B234" s="275" t="s">
        <v>25</v>
      </c>
      <c r="C234" s="39">
        <v>39808</v>
      </c>
      <c r="D234" s="44" t="s">
        <v>131</v>
      </c>
      <c r="E234" s="44" t="s">
        <v>111</v>
      </c>
      <c r="F234" s="41">
        <v>112</v>
      </c>
      <c r="G234" s="41">
        <v>4</v>
      </c>
      <c r="H234" s="41">
        <v>22</v>
      </c>
      <c r="I234" s="332">
        <v>1871</v>
      </c>
      <c r="J234" s="138">
        <v>597</v>
      </c>
      <c r="K234" s="138">
        <f>J234/G234</f>
        <v>149.25</v>
      </c>
      <c r="L234" s="273">
        <f t="shared" si="15"/>
        <v>3.134003350083752</v>
      </c>
      <c r="M234" s="332">
        <v>2063163</v>
      </c>
      <c r="N234" s="138">
        <v>216543</v>
      </c>
      <c r="O234" s="274">
        <f>+M234/N234</f>
        <v>9.527728903728129</v>
      </c>
      <c r="P234" s="256">
        <v>1</v>
      </c>
    </row>
    <row r="235" spans="1:16" ht="15">
      <c r="A235" s="66">
        <v>232</v>
      </c>
      <c r="B235" s="240" t="s">
        <v>200</v>
      </c>
      <c r="C235" s="236">
        <v>39808</v>
      </c>
      <c r="D235" s="235" t="s">
        <v>131</v>
      </c>
      <c r="E235" s="235" t="s">
        <v>111</v>
      </c>
      <c r="F235" s="237">
        <v>112</v>
      </c>
      <c r="G235" s="237">
        <v>7</v>
      </c>
      <c r="H235" s="237">
        <v>8</v>
      </c>
      <c r="I235" s="331">
        <v>1869</v>
      </c>
      <c r="J235" s="238">
        <v>598</v>
      </c>
      <c r="K235" s="238">
        <f>J235/G235</f>
        <v>85.42857142857143</v>
      </c>
      <c r="L235" s="239">
        <f>+I235/J235</f>
        <v>3.1254180602006687</v>
      </c>
      <c r="M235" s="331">
        <v>2030509</v>
      </c>
      <c r="N235" s="238">
        <v>208405</v>
      </c>
      <c r="O235" s="241">
        <f>+M235/N235</f>
        <v>9.743091576497685</v>
      </c>
      <c r="P235" s="256"/>
    </row>
    <row r="236" spans="1:16" ht="15">
      <c r="A236" s="66">
        <v>233</v>
      </c>
      <c r="B236" s="49" t="s">
        <v>45</v>
      </c>
      <c r="C236" s="39">
        <v>39780</v>
      </c>
      <c r="D236" s="44" t="s">
        <v>134</v>
      </c>
      <c r="E236" s="44" t="s">
        <v>78</v>
      </c>
      <c r="F236" s="41">
        <v>61</v>
      </c>
      <c r="G236" s="41">
        <v>3</v>
      </c>
      <c r="H236" s="41">
        <v>14</v>
      </c>
      <c r="I236" s="301">
        <v>1865</v>
      </c>
      <c r="J236" s="138">
        <v>261</v>
      </c>
      <c r="K236" s="138">
        <f>(J236/G236)</f>
        <v>87</v>
      </c>
      <c r="L236" s="139">
        <f>I236/J236</f>
        <v>7.145593869731801</v>
      </c>
      <c r="M236" s="301">
        <f>499000.5+313125.5+89561.5+27980+2002.5+4772+1387+1470+1387+1387+1119+396+89+1865</f>
        <v>945542</v>
      </c>
      <c r="N236" s="138">
        <f>48458+27725+9315+4737+330+944+309+224+175+250+246+84+20+261</f>
        <v>93078</v>
      </c>
      <c r="O236" s="103">
        <f>M236/N236</f>
        <v>10.15859816497991</v>
      </c>
      <c r="P236" s="247"/>
    </row>
    <row r="237" spans="1:16" ht="15">
      <c r="A237" s="66">
        <v>234</v>
      </c>
      <c r="B237" s="49" t="s">
        <v>72</v>
      </c>
      <c r="C237" s="39">
        <v>39773</v>
      </c>
      <c r="D237" s="44" t="s">
        <v>131</v>
      </c>
      <c r="E237" s="44" t="s">
        <v>449</v>
      </c>
      <c r="F237" s="41">
        <v>204</v>
      </c>
      <c r="G237" s="41">
        <v>4</v>
      </c>
      <c r="H237" s="41">
        <v>37</v>
      </c>
      <c r="I237" s="301">
        <v>1835</v>
      </c>
      <c r="J237" s="138">
        <v>409</v>
      </c>
      <c r="K237" s="138">
        <f>J237/G237</f>
        <v>102.25</v>
      </c>
      <c r="L237" s="139">
        <f>I237/J237</f>
        <v>4.486552567237164</v>
      </c>
      <c r="M237" s="301">
        <v>11473436</v>
      </c>
      <c r="N237" s="138">
        <v>1422848</v>
      </c>
      <c r="O237" s="103">
        <f>+M237/N237</f>
        <v>8.063711654372076</v>
      </c>
      <c r="P237" s="256">
        <v>1</v>
      </c>
    </row>
    <row r="238" spans="1:16" ht="15">
      <c r="A238" s="66">
        <v>235</v>
      </c>
      <c r="B238" s="240" t="s">
        <v>144</v>
      </c>
      <c r="C238" s="236">
        <v>39801</v>
      </c>
      <c r="D238" s="235" t="s">
        <v>130</v>
      </c>
      <c r="E238" s="235" t="s">
        <v>122</v>
      </c>
      <c r="F238" s="237">
        <v>69</v>
      </c>
      <c r="G238" s="237">
        <v>2</v>
      </c>
      <c r="H238" s="237">
        <v>12</v>
      </c>
      <c r="I238" s="331">
        <v>1821</v>
      </c>
      <c r="J238" s="238">
        <v>386</v>
      </c>
      <c r="K238" s="238">
        <f>J238/G238</f>
        <v>193</v>
      </c>
      <c r="L238" s="239">
        <f>I238/J238</f>
        <v>4.717616580310881</v>
      </c>
      <c r="M238" s="331">
        <f>820286+588484+413907+112495+41441-111+9385+4586+8718+1191+251+1065+1821</f>
        <v>2003519</v>
      </c>
      <c r="N238" s="238">
        <f>83839+57678+42374+12212+5722-11+2124+1350+1256+191+41+182+386</f>
        <v>207344</v>
      </c>
      <c r="O238" s="241">
        <f>+M238/N238</f>
        <v>9.662777799212902</v>
      </c>
      <c r="P238" s="255"/>
    </row>
    <row r="239" spans="1:16" ht="15">
      <c r="A239" s="66">
        <v>236</v>
      </c>
      <c r="B239" s="220" t="s">
        <v>57</v>
      </c>
      <c r="C239" s="216">
        <v>39745</v>
      </c>
      <c r="D239" s="65" t="s">
        <v>131</v>
      </c>
      <c r="E239" s="218" t="s">
        <v>32</v>
      </c>
      <c r="F239" s="41">
        <v>57</v>
      </c>
      <c r="G239" s="41">
        <v>1</v>
      </c>
      <c r="H239" s="41">
        <v>13</v>
      </c>
      <c r="I239" s="301">
        <v>1816</v>
      </c>
      <c r="J239" s="138">
        <v>347</v>
      </c>
      <c r="K239" s="138">
        <f>J239/G239</f>
        <v>347</v>
      </c>
      <c r="L239" s="139">
        <f>+I239/J239</f>
        <v>5.23342939481268</v>
      </c>
      <c r="M239" s="301">
        <v>11692550</v>
      </c>
      <c r="N239" s="138">
        <v>126132</v>
      </c>
      <c r="O239" s="103">
        <f>+M239/N239</f>
        <v>92.70090064377001</v>
      </c>
      <c r="P239" s="255">
        <v>1</v>
      </c>
    </row>
    <row r="240" spans="1:16" ht="15">
      <c r="A240" s="66">
        <v>237</v>
      </c>
      <c r="B240" s="240" t="s">
        <v>191</v>
      </c>
      <c r="C240" s="236">
        <v>39787</v>
      </c>
      <c r="D240" s="235" t="s">
        <v>131</v>
      </c>
      <c r="E240" s="235" t="s">
        <v>138</v>
      </c>
      <c r="F240" s="237">
        <v>406</v>
      </c>
      <c r="G240" s="237">
        <v>7</v>
      </c>
      <c r="H240" s="237">
        <v>10</v>
      </c>
      <c r="I240" s="331">
        <v>1802</v>
      </c>
      <c r="J240" s="238">
        <v>296</v>
      </c>
      <c r="K240" s="238">
        <f>J240/G240</f>
        <v>42.285714285714285</v>
      </c>
      <c r="L240" s="239">
        <f>I240/J240</f>
        <v>6.087837837837838</v>
      </c>
      <c r="M240" s="331">
        <v>30390916</v>
      </c>
      <c r="N240" s="238">
        <v>3700042</v>
      </c>
      <c r="O240" s="241">
        <f>+M240/N240</f>
        <v>8.213667844851491</v>
      </c>
      <c r="P240" s="256">
        <v>1</v>
      </c>
    </row>
    <row r="241" spans="1:16" ht="15">
      <c r="A241" s="66">
        <v>238</v>
      </c>
      <c r="B241" s="240" t="s">
        <v>23</v>
      </c>
      <c r="C241" s="236">
        <v>39808</v>
      </c>
      <c r="D241" s="235" t="s">
        <v>136</v>
      </c>
      <c r="E241" s="235" t="s">
        <v>24</v>
      </c>
      <c r="F241" s="237">
        <v>198</v>
      </c>
      <c r="G241" s="237">
        <v>1</v>
      </c>
      <c r="H241" s="237">
        <v>13</v>
      </c>
      <c r="I241" s="331">
        <v>1782</v>
      </c>
      <c r="J241" s="238">
        <v>356</v>
      </c>
      <c r="K241" s="238">
        <f>IF(I241&lt;&gt;0,J241/G241,"")</f>
        <v>356</v>
      </c>
      <c r="L241" s="239">
        <f>IF(I241&lt;&gt;0,I241/J241,"")</f>
        <v>5.00561797752809</v>
      </c>
      <c r="M241" s="331">
        <v>1759400</v>
      </c>
      <c r="N241" s="238">
        <v>227872</v>
      </c>
      <c r="O241" s="241">
        <f>IF(M241&lt;&gt;0,M241/N241,"")</f>
        <v>7.721001263867434</v>
      </c>
      <c r="P241" s="256">
        <v>1</v>
      </c>
    </row>
    <row r="242" spans="1:16" ht="15">
      <c r="A242" s="66">
        <v>239</v>
      </c>
      <c r="B242" s="240" t="s">
        <v>17</v>
      </c>
      <c r="C242" s="236">
        <v>39717</v>
      </c>
      <c r="D242" s="235" t="s">
        <v>134</v>
      </c>
      <c r="E242" s="235" t="s">
        <v>18</v>
      </c>
      <c r="F242" s="237">
        <v>113</v>
      </c>
      <c r="G242" s="237">
        <v>1</v>
      </c>
      <c r="H242" s="237">
        <v>11</v>
      </c>
      <c r="I242" s="331">
        <v>1780</v>
      </c>
      <c r="J242" s="238">
        <v>445</v>
      </c>
      <c r="K242" s="238">
        <f>(J242/G242)</f>
        <v>445</v>
      </c>
      <c r="L242" s="239">
        <f>I242/J242</f>
        <v>4</v>
      </c>
      <c r="M242" s="331">
        <f>632132.5+337048.5+126471+47854+18242+7477+2804+4752+7760+1424+1780</f>
        <v>1187745</v>
      </c>
      <c r="N242" s="238">
        <f>68536+38225+16179+8425+3627+1827+662+1188+1940+356+445</f>
        <v>141410</v>
      </c>
      <c r="O242" s="241">
        <f>M242/N242</f>
        <v>8.399299908068736</v>
      </c>
      <c r="P242" s="247">
        <v>1</v>
      </c>
    </row>
    <row r="243" spans="1:16" ht="15">
      <c r="A243" s="66">
        <v>240</v>
      </c>
      <c r="B243" s="240" t="s">
        <v>26</v>
      </c>
      <c r="C243" s="236">
        <v>39808</v>
      </c>
      <c r="D243" s="235" t="s">
        <v>134</v>
      </c>
      <c r="E243" s="235" t="s">
        <v>133</v>
      </c>
      <c r="F243" s="237">
        <v>75</v>
      </c>
      <c r="G243" s="237">
        <v>4</v>
      </c>
      <c r="H243" s="237">
        <v>13</v>
      </c>
      <c r="I243" s="331">
        <v>1765</v>
      </c>
      <c r="J243" s="238">
        <v>323</v>
      </c>
      <c r="K243" s="238">
        <f>(J243/G243)</f>
        <v>80.75</v>
      </c>
      <c r="L243" s="239">
        <f>I243/J243</f>
        <v>5.464396284829721</v>
      </c>
      <c r="M243" s="331">
        <f>681566+578530+317284.5+141025.5+34373.5+6375+4225+7402.5+1014+4479+2688+2267+1765</f>
        <v>1782995</v>
      </c>
      <c r="N243" s="238">
        <f>64102+57106+32401+16644+4655+1030+644+1623+143+828+480+469+323</f>
        <v>180448</v>
      </c>
      <c r="O243" s="241">
        <f>M243/N243</f>
        <v>9.880935227877282</v>
      </c>
      <c r="P243" s="256">
        <v>1</v>
      </c>
    </row>
    <row r="244" spans="1:16" ht="15">
      <c r="A244" s="66">
        <v>241</v>
      </c>
      <c r="B244" s="49" t="s">
        <v>23</v>
      </c>
      <c r="C244" s="39">
        <v>39808</v>
      </c>
      <c r="D244" s="44" t="s">
        <v>136</v>
      </c>
      <c r="E244" s="44" t="s">
        <v>24</v>
      </c>
      <c r="F244" s="41">
        <v>198</v>
      </c>
      <c r="G244" s="41">
        <v>1</v>
      </c>
      <c r="H244" s="41">
        <v>15</v>
      </c>
      <c r="I244" s="301">
        <v>1762</v>
      </c>
      <c r="J244" s="138">
        <v>352</v>
      </c>
      <c r="K244" s="138">
        <f>J244/G244</f>
        <v>352</v>
      </c>
      <c r="L244" s="139">
        <f>I244/J244</f>
        <v>5.005681818181818</v>
      </c>
      <c r="M244" s="301">
        <v>1762047</v>
      </c>
      <c r="N244" s="138">
        <v>228401</v>
      </c>
      <c r="O244" s="103">
        <f>+M244/N244</f>
        <v>7.7147079040809805</v>
      </c>
      <c r="P244" s="256">
        <v>1</v>
      </c>
    </row>
    <row r="245" spans="1:16" ht="15">
      <c r="A245" s="66">
        <v>242</v>
      </c>
      <c r="B245" s="49">
        <v>120</v>
      </c>
      <c r="C245" s="40">
        <v>39493</v>
      </c>
      <c r="D245" s="44" t="s">
        <v>132</v>
      </c>
      <c r="E245" s="44" t="s">
        <v>94</v>
      </c>
      <c r="F245" s="41">
        <v>179</v>
      </c>
      <c r="G245" s="41">
        <v>1</v>
      </c>
      <c r="H245" s="41">
        <v>39</v>
      </c>
      <c r="I245" s="301">
        <v>1758</v>
      </c>
      <c r="J245" s="138">
        <v>586</v>
      </c>
      <c r="K245" s="140">
        <f>(J245/G245)</f>
        <v>586</v>
      </c>
      <c r="L245" s="141">
        <f>I245/J245</f>
        <v>3</v>
      </c>
      <c r="M245" s="301">
        <f>940515+844172.5+750489+533469+396399.5+362067.5+228159+211115.5+153941.5+48+73076.5+60280+47290.5+46690+13789+13717.5+9809+2709.5+1288.5+22597.5+10821.5+12218+7313+44774.5+111294+3629+0.5+41599.5+20470.5+5217-3719.5+10067+1376+10253+13391+15635+48+500+2820+500+666+1758</f>
        <v>5022256.5</v>
      </c>
      <c r="N245" s="138">
        <f>135921+127724+124508+97493+101422+99063+62455+57586+44490+6+19837+19877+15923+15427+4822+4847+3310+822+280+7405+3528+4050+2428+14923+37098+1709+6180+3303+3114+328+3418+4411+5191+12+100+806+100+222+586</f>
        <v>1034725</v>
      </c>
      <c r="O245" s="105">
        <f>M245/N245</f>
        <v>4.853711372586919</v>
      </c>
      <c r="P245" s="255"/>
    </row>
    <row r="246" spans="1:16" ht="15">
      <c r="A246" s="66">
        <v>243</v>
      </c>
      <c r="B246" s="219" t="s">
        <v>97</v>
      </c>
      <c r="C246" s="216">
        <v>39752</v>
      </c>
      <c r="D246" s="218" t="s">
        <v>131</v>
      </c>
      <c r="E246" s="65" t="s">
        <v>124</v>
      </c>
      <c r="F246" s="248">
        <v>45</v>
      </c>
      <c r="G246" s="248">
        <v>2</v>
      </c>
      <c r="H246" s="248">
        <v>11</v>
      </c>
      <c r="I246" s="339">
        <v>1753</v>
      </c>
      <c r="J246" s="249">
        <v>344</v>
      </c>
      <c r="K246" s="249">
        <f>J246/G246</f>
        <v>172</v>
      </c>
      <c r="L246" s="250">
        <f>+I246/J246</f>
        <v>5.09593023255814</v>
      </c>
      <c r="M246" s="339">
        <v>456099</v>
      </c>
      <c r="N246" s="249">
        <v>49688</v>
      </c>
      <c r="O246" s="251">
        <f>+M246/N246</f>
        <v>9.17925857349863</v>
      </c>
      <c r="P246" s="247">
        <v>1</v>
      </c>
    </row>
    <row r="247" spans="1:16" ht="15">
      <c r="A247" s="66">
        <v>244</v>
      </c>
      <c r="B247" s="49" t="s">
        <v>427</v>
      </c>
      <c r="C247" s="39">
        <v>39647</v>
      </c>
      <c r="D247" s="44" t="s">
        <v>131</v>
      </c>
      <c r="E247" s="44" t="s">
        <v>43</v>
      </c>
      <c r="F247" s="41">
        <v>45</v>
      </c>
      <c r="G247" s="41">
        <v>1</v>
      </c>
      <c r="H247" s="41">
        <v>50</v>
      </c>
      <c r="I247" s="301">
        <v>1750</v>
      </c>
      <c r="J247" s="138">
        <v>525</v>
      </c>
      <c r="K247" s="138">
        <f>J247/G247</f>
        <v>525</v>
      </c>
      <c r="L247" s="139">
        <f>+I247/J247</f>
        <v>3.3333333333333335</v>
      </c>
      <c r="M247" s="301">
        <v>880030</v>
      </c>
      <c r="N247" s="138">
        <v>95271</v>
      </c>
      <c r="O247" s="103">
        <f>+M247/N247</f>
        <v>9.23712357380525</v>
      </c>
      <c r="P247" s="256"/>
    </row>
    <row r="248" spans="1:16" ht="15">
      <c r="A248" s="66">
        <v>245</v>
      </c>
      <c r="B248" s="240" t="s">
        <v>149</v>
      </c>
      <c r="C248" s="236">
        <v>39801</v>
      </c>
      <c r="D248" s="235" t="s">
        <v>4</v>
      </c>
      <c r="E248" s="235" t="s">
        <v>77</v>
      </c>
      <c r="F248" s="237">
        <v>19</v>
      </c>
      <c r="G248" s="237">
        <v>2</v>
      </c>
      <c r="H248" s="237">
        <v>10</v>
      </c>
      <c r="I248" s="331">
        <v>1747</v>
      </c>
      <c r="J248" s="238">
        <v>341</v>
      </c>
      <c r="K248" s="238">
        <f>+J248/G248</f>
        <v>170.5</v>
      </c>
      <c r="L248" s="239">
        <f>I248/J248</f>
        <v>5.12316715542522</v>
      </c>
      <c r="M248" s="331">
        <v>141757</v>
      </c>
      <c r="N248" s="238">
        <v>13583</v>
      </c>
      <c r="O248" s="241">
        <f>+M248/N248</f>
        <v>10.436354266362365</v>
      </c>
      <c r="P248" s="255">
        <v>1</v>
      </c>
    </row>
    <row r="249" spans="1:16" ht="15">
      <c r="A249" s="66">
        <v>246</v>
      </c>
      <c r="B249" s="49" t="s">
        <v>26</v>
      </c>
      <c r="C249" s="39">
        <v>39808</v>
      </c>
      <c r="D249" s="44" t="s">
        <v>134</v>
      </c>
      <c r="E249" s="44" t="s">
        <v>133</v>
      </c>
      <c r="F249" s="41">
        <v>75</v>
      </c>
      <c r="G249" s="41">
        <v>2</v>
      </c>
      <c r="H249" s="41">
        <v>19</v>
      </c>
      <c r="I249" s="301">
        <v>1730</v>
      </c>
      <c r="J249" s="138">
        <v>410</v>
      </c>
      <c r="K249" s="138">
        <f>(J249/G249)</f>
        <v>205</v>
      </c>
      <c r="L249" s="139">
        <f>I249/J249</f>
        <v>4.219512195121951</v>
      </c>
      <c r="M249" s="301">
        <f>681566+578530+317284.5+141025.5+34373.5+6375+4225+7402.5+1014+4479+2688+2267+1765+1219+204+316+300+873+1730</f>
        <v>1787637</v>
      </c>
      <c r="N249" s="138">
        <f>64102+57106+32401+16644+4655+1030+644+1623+143+828+480+469+323+195+43+62+60+181+410</f>
        <v>181399</v>
      </c>
      <c r="O249" s="103">
        <f>M249/N249</f>
        <v>9.85472356517952</v>
      </c>
      <c r="P249" s="255">
        <v>1</v>
      </c>
    </row>
    <row r="250" spans="1:16" ht="15">
      <c r="A250" s="66">
        <v>247</v>
      </c>
      <c r="B250" s="233" t="s">
        <v>161</v>
      </c>
      <c r="C250" s="40">
        <v>39766</v>
      </c>
      <c r="D250" s="226" t="s">
        <v>162</v>
      </c>
      <c r="E250" s="226" t="s">
        <v>163</v>
      </c>
      <c r="F250" s="227">
        <v>50</v>
      </c>
      <c r="G250" s="227">
        <v>3</v>
      </c>
      <c r="H250" s="227">
        <v>11</v>
      </c>
      <c r="I250" s="340">
        <v>1724</v>
      </c>
      <c r="J250" s="228">
        <v>419</v>
      </c>
      <c r="K250" s="228">
        <f>J250/G250</f>
        <v>139.66666666666666</v>
      </c>
      <c r="L250" s="229">
        <f>I250/J250</f>
        <v>4.114558472553699</v>
      </c>
      <c r="M250" s="340">
        <v>217051</v>
      </c>
      <c r="N250" s="228">
        <v>31055</v>
      </c>
      <c r="O250" s="234">
        <f>M250/N250</f>
        <v>6.989244888101755</v>
      </c>
      <c r="P250" s="255">
        <v>1</v>
      </c>
    </row>
    <row r="251" spans="1:16" ht="15">
      <c r="A251" s="66">
        <v>248</v>
      </c>
      <c r="B251" s="233" t="s">
        <v>28</v>
      </c>
      <c r="C251" s="40">
        <v>39808</v>
      </c>
      <c r="D251" s="226" t="s">
        <v>132</v>
      </c>
      <c r="E251" s="226" t="s">
        <v>29</v>
      </c>
      <c r="F251" s="227">
        <v>3</v>
      </c>
      <c r="G251" s="227">
        <v>3</v>
      </c>
      <c r="H251" s="227">
        <v>5</v>
      </c>
      <c r="I251" s="332">
        <v>1707</v>
      </c>
      <c r="J251" s="230">
        <v>346</v>
      </c>
      <c r="K251" s="231">
        <f>+J251/G251</f>
        <v>115.33333333333333</v>
      </c>
      <c r="L251" s="137">
        <f>+I251/J251</f>
        <v>4.933526011560693</v>
      </c>
      <c r="M251" s="332">
        <f>173290.5+101994+52183.5+11344+1707</f>
        <v>340519</v>
      </c>
      <c r="N251" s="230">
        <f>23989+15166+8100+1911+346</f>
        <v>49512</v>
      </c>
      <c r="O251" s="104">
        <f>+M251/N251</f>
        <v>6.877504443367265</v>
      </c>
      <c r="P251" s="297">
        <v>1</v>
      </c>
    </row>
    <row r="252" spans="1:16" ht="15">
      <c r="A252" s="66">
        <v>249</v>
      </c>
      <c r="B252" s="240" t="s">
        <v>149</v>
      </c>
      <c r="C252" s="236">
        <v>39801</v>
      </c>
      <c r="D252" s="235" t="s">
        <v>4</v>
      </c>
      <c r="E252" s="235" t="s">
        <v>77</v>
      </c>
      <c r="F252" s="237">
        <v>19</v>
      </c>
      <c r="G252" s="237">
        <v>3</v>
      </c>
      <c r="H252" s="237">
        <v>11</v>
      </c>
      <c r="I252" s="331">
        <v>1681</v>
      </c>
      <c r="J252" s="238">
        <v>280</v>
      </c>
      <c r="K252" s="238">
        <f>+J252/G252</f>
        <v>93.33333333333333</v>
      </c>
      <c r="L252" s="239">
        <f>+I252/J252</f>
        <v>6.003571428571429</v>
      </c>
      <c r="M252" s="331">
        <v>143438</v>
      </c>
      <c r="N252" s="238">
        <v>13863</v>
      </c>
      <c r="O252" s="241">
        <f>+M252/N252</f>
        <v>10.346822477097309</v>
      </c>
      <c r="P252" s="256">
        <v>1</v>
      </c>
    </row>
    <row r="253" spans="1:16" ht="15">
      <c r="A253" s="66">
        <v>250</v>
      </c>
      <c r="B253" s="49" t="s">
        <v>44</v>
      </c>
      <c r="C253" s="39">
        <v>39780</v>
      </c>
      <c r="D253" s="44" t="s">
        <v>131</v>
      </c>
      <c r="E253" s="44" t="s">
        <v>127</v>
      </c>
      <c r="F253" s="41">
        <v>121</v>
      </c>
      <c r="G253" s="41">
        <v>5</v>
      </c>
      <c r="H253" s="41">
        <v>21</v>
      </c>
      <c r="I253" s="332">
        <v>1666</v>
      </c>
      <c r="J253" s="138">
        <v>814</v>
      </c>
      <c r="K253" s="138">
        <f>J253/G253</f>
        <v>162.8</v>
      </c>
      <c r="L253" s="273">
        <f>+I253/J253</f>
        <v>2.0466830466830466</v>
      </c>
      <c r="M253" s="332">
        <v>3465467</v>
      </c>
      <c r="N253" s="138">
        <v>408440</v>
      </c>
      <c r="O253" s="274">
        <f>+M253/N253</f>
        <v>8.484641563020272</v>
      </c>
      <c r="P253" s="256">
        <v>1</v>
      </c>
    </row>
    <row r="254" spans="1:16" ht="15">
      <c r="A254" s="66">
        <v>251</v>
      </c>
      <c r="B254" s="49" t="s">
        <v>26</v>
      </c>
      <c r="C254" s="39">
        <v>39808</v>
      </c>
      <c r="D254" s="44" t="s">
        <v>134</v>
      </c>
      <c r="E254" s="44" t="s">
        <v>133</v>
      </c>
      <c r="F254" s="41">
        <v>75</v>
      </c>
      <c r="G254" s="41">
        <v>1</v>
      </c>
      <c r="H254" s="41">
        <v>22</v>
      </c>
      <c r="I254" s="301">
        <v>1664</v>
      </c>
      <c r="J254" s="138">
        <v>416</v>
      </c>
      <c r="K254" s="138">
        <f>(J254/G254)</f>
        <v>416</v>
      </c>
      <c r="L254" s="139">
        <f>I254/J254</f>
        <v>4</v>
      </c>
      <c r="M254" s="301">
        <f>681566+578530+317284.5+141025.5+34373.5+6375+4225+7402.5+1014+4479+2688+2267+1765+1219+204+316+300+873+1730+496+330+1664</f>
        <v>1790127</v>
      </c>
      <c r="N254" s="138">
        <f>64102+57106+32401+16644+4655+1030+644+1623+143+828+480+469+323+195+43+62+60+181+410+62+33+416</f>
        <v>181910</v>
      </c>
      <c r="O254" s="103">
        <f>M254/N254</f>
        <v>9.840728931889396</v>
      </c>
      <c r="P254" s="255">
        <v>1</v>
      </c>
    </row>
    <row r="255" spans="1:16" ht="15">
      <c r="A255" s="66">
        <v>252</v>
      </c>
      <c r="B255" s="49" t="s">
        <v>80</v>
      </c>
      <c r="C255" s="39">
        <v>39703</v>
      </c>
      <c r="D255" s="44" t="s">
        <v>134</v>
      </c>
      <c r="E255" s="44" t="s">
        <v>417</v>
      </c>
      <c r="F255" s="41">
        <v>6</v>
      </c>
      <c r="G255" s="41">
        <v>1</v>
      </c>
      <c r="H255" s="41">
        <v>14</v>
      </c>
      <c r="I255" s="301">
        <v>1664</v>
      </c>
      <c r="J255" s="138">
        <v>416</v>
      </c>
      <c r="K255" s="138">
        <f>(J255/G255)</f>
        <v>416</v>
      </c>
      <c r="L255" s="139">
        <f>I255/J255</f>
        <v>4</v>
      </c>
      <c r="M255" s="301">
        <f>18453+18044+4959+3105.5+2221+2795+1156+907+1188+3416+108+86+53+73+1664</f>
        <v>58228.5</v>
      </c>
      <c r="N255" s="138">
        <f>1896+1808+596+485+314+510+270+216+297+854+33+15+9+11+416</f>
        <v>7730</v>
      </c>
      <c r="O255" s="103">
        <f>M255/N255</f>
        <v>7.532794307891333</v>
      </c>
      <c r="P255" s="255">
        <v>1</v>
      </c>
    </row>
    <row r="256" spans="1:16" ht="15">
      <c r="A256" s="66">
        <v>253</v>
      </c>
      <c r="B256" s="49" t="s">
        <v>47</v>
      </c>
      <c r="C256" s="39">
        <v>39780</v>
      </c>
      <c r="D256" s="44" t="s">
        <v>134</v>
      </c>
      <c r="E256" s="44" t="s">
        <v>33</v>
      </c>
      <c r="F256" s="41">
        <v>6</v>
      </c>
      <c r="G256" s="41">
        <v>1</v>
      </c>
      <c r="H256" s="41">
        <v>14</v>
      </c>
      <c r="I256" s="301">
        <v>1664</v>
      </c>
      <c r="J256" s="138">
        <v>416</v>
      </c>
      <c r="K256" s="138">
        <f>(J256/G256)</f>
        <v>416</v>
      </c>
      <c r="L256" s="139">
        <f>I256/J256</f>
        <v>4</v>
      </c>
      <c r="M256" s="301">
        <f>25457+3030+1123+7370+430+997+6202+886+691.5+1289+1188+504+312+1664</f>
        <v>51143.5</v>
      </c>
      <c r="N256" s="138">
        <f>2151+404+165+1079+59+230+1523+213+105+142+297+108+68+416</f>
        <v>6960</v>
      </c>
      <c r="O256" s="103">
        <f>M256/N256</f>
        <v>7.348204022988506</v>
      </c>
      <c r="P256" s="255">
        <v>1</v>
      </c>
    </row>
    <row r="257" spans="1:16" ht="15">
      <c r="A257" s="66">
        <v>254</v>
      </c>
      <c r="B257" s="49" t="s">
        <v>17</v>
      </c>
      <c r="C257" s="39">
        <v>39717</v>
      </c>
      <c r="D257" s="44" t="s">
        <v>134</v>
      </c>
      <c r="E257" s="44" t="s">
        <v>18</v>
      </c>
      <c r="F257" s="41">
        <v>113</v>
      </c>
      <c r="G257" s="41">
        <v>2</v>
      </c>
      <c r="H257" s="41">
        <v>13</v>
      </c>
      <c r="I257" s="301">
        <v>1664</v>
      </c>
      <c r="J257" s="138">
        <v>416</v>
      </c>
      <c r="K257" s="138">
        <f>(J257/G257)</f>
        <v>208</v>
      </c>
      <c r="L257" s="139">
        <f>I257/J257</f>
        <v>4</v>
      </c>
      <c r="M257" s="301">
        <f>632132.5+337048.5+126471+47854+18242+7477+2804+4752+7760+1424+1780+1664+1664</f>
        <v>1191073</v>
      </c>
      <c r="N257" s="138">
        <f>68536+38225+16179+8425+3627+1827+662+1188+1940+356+445+416+416</f>
        <v>142242</v>
      </c>
      <c r="O257" s="103">
        <f>M257/N257</f>
        <v>8.373567582008127</v>
      </c>
      <c r="P257" s="255">
        <v>1</v>
      </c>
    </row>
    <row r="258" spans="1:16" ht="15">
      <c r="A258" s="66">
        <v>255</v>
      </c>
      <c r="B258" s="240" t="s">
        <v>17</v>
      </c>
      <c r="C258" s="236">
        <v>39717</v>
      </c>
      <c r="D258" s="235" t="s">
        <v>134</v>
      </c>
      <c r="E258" s="235" t="s">
        <v>18</v>
      </c>
      <c r="F258" s="237">
        <v>113</v>
      </c>
      <c r="G258" s="237">
        <v>2</v>
      </c>
      <c r="H258" s="237">
        <v>12</v>
      </c>
      <c r="I258" s="331">
        <v>1664</v>
      </c>
      <c r="J258" s="238">
        <v>416</v>
      </c>
      <c r="K258" s="238">
        <f>(J258/G258)</f>
        <v>208</v>
      </c>
      <c r="L258" s="239">
        <f>I258/J258</f>
        <v>4</v>
      </c>
      <c r="M258" s="331">
        <f>632132.5+337048.5+126471+47854+18242+7477+2804+4752+7760+1424+1780+1664</f>
        <v>1189409</v>
      </c>
      <c r="N258" s="238">
        <f>68536+38225+16179+8425+3627+1827+662+1188+1940+356+445+416</f>
        <v>141826</v>
      </c>
      <c r="O258" s="241">
        <f>M258/N258</f>
        <v>8.386396006374008</v>
      </c>
      <c r="P258" s="247">
        <v>1</v>
      </c>
    </row>
    <row r="259" spans="1:16" ht="15">
      <c r="A259" s="66">
        <v>256</v>
      </c>
      <c r="B259" s="240" t="s">
        <v>202</v>
      </c>
      <c r="C259" s="236">
        <v>39808</v>
      </c>
      <c r="D259" s="235" t="s">
        <v>131</v>
      </c>
      <c r="E259" s="235" t="s">
        <v>124</v>
      </c>
      <c r="F259" s="237">
        <v>34</v>
      </c>
      <c r="G259" s="237">
        <v>2</v>
      </c>
      <c r="H259" s="237">
        <v>11</v>
      </c>
      <c r="I259" s="331">
        <v>1614</v>
      </c>
      <c r="J259" s="238">
        <v>245</v>
      </c>
      <c r="K259" s="238">
        <f>J259/G259</f>
        <v>122.5</v>
      </c>
      <c r="L259" s="239">
        <f>+I259/J259</f>
        <v>6.587755102040816</v>
      </c>
      <c r="M259" s="331">
        <v>805454</v>
      </c>
      <c r="N259" s="238">
        <v>90576</v>
      </c>
      <c r="O259" s="241">
        <f>+M259/N259</f>
        <v>8.892576399929341</v>
      </c>
      <c r="P259" s="256">
        <v>1</v>
      </c>
    </row>
    <row r="260" spans="1:16" ht="15">
      <c r="A260" s="66">
        <v>257</v>
      </c>
      <c r="B260" s="240" t="s">
        <v>139</v>
      </c>
      <c r="C260" s="236">
        <v>39787</v>
      </c>
      <c r="D260" s="235" t="s">
        <v>132</v>
      </c>
      <c r="E260" s="235" t="s">
        <v>140</v>
      </c>
      <c r="F260" s="237">
        <v>1</v>
      </c>
      <c r="G260" s="237">
        <v>1</v>
      </c>
      <c r="H260" s="237">
        <v>12</v>
      </c>
      <c r="I260" s="331">
        <v>1591</v>
      </c>
      <c r="J260" s="238">
        <v>321</v>
      </c>
      <c r="K260" s="238">
        <f>(J260/G260)</f>
        <v>321</v>
      </c>
      <c r="L260" s="239">
        <f>I260/J260</f>
        <v>4.956386292834891</v>
      </c>
      <c r="M260" s="331">
        <f>9280968+4694050.5+1992628+1117778+528440.5+225948.5+100229.5+60712.5+23747.5+18022-1837+3858+1591</f>
        <v>18046137</v>
      </c>
      <c r="N260" s="238">
        <f>1147876+614752+261380+141495+73035+33259+17736+11735+4194+3845-458+781+321</f>
        <v>2309951</v>
      </c>
      <c r="O260" s="241">
        <f>M260/N260</f>
        <v>7.812346235915827</v>
      </c>
      <c r="P260" s="256">
        <v>1</v>
      </c>
    </row>
    <row r="261" spans="1:16" ht="15">
      <c r="A261" s="66">
        <v>258</v>
      </c>
      <c r="B261" s="49" t="s">
        <v>40</v>
      </c>
      <c r="C261" s="40">
        <v>39752</v>
      </c>
      <c r="D261" s="45" t="s">
        <v>134</v>
      </c>
      <c r="E261" s="44" t="s">
        <v>1</v>
      </c>
      <c r="F261" s="41">
        <v>1</v>
      </c>
      <c r="G261" s="41">
        <v>1</v>
      </c>
      <c r="H261" s="41">
        <v>6</v>
      </c>
      <c r="I261" s="327">
        <v>1590</v>
      </c>
      <c r="J261" s="328">
        <v>189</v>
      </c>
      <c r="K261" s="140">
        <f>(J261/G261)</f>
        <v>189</v>
      </c>
      <c r="L261" s="141">
        <f>I261/J261</f>
        <v>8.412698412698413</v>
      </c>
      <c r="M261" s="327">
        <f>5026+4844+3356+2376+712+1590</f>
        <v>17904</v>
      </c>
      <c r="N261" s="328">
        <f>591+575+394+594+178+189</f>
        <v>2521</v>
      </c>
      <c r="O261" s="105">
        <f>M261/N261</f>
        <v>7.101943673145577</v>
      </c>
      <c r="P261" s="256"/>
    </row>
    <row r="262" spans="1:16" ht="15">
      <c r="A262" s="66">
        <v>259</v>
      </c>
      <c r="B262" s="240" t="s">
        <v>44</v>
      </c>
      <c r="C262" s="236">
        <v>39780</v>
      </c>
      <c r="D262" s="235" t="s">
        <v>131</v>
      </c>
      <c r="E262" s="235" t="s">
        <v>280</v>
      </c>
      <c r="F262" s="237">
        <v>121</v>
      </c>
      <c r="G262" s="237">
        <v>2</v>
      </c>
      <c r="H262" s="237">
        <v>19</v>
      </c>
      <c r="I262" s="331">
        <v>1560</v>
      </c>
      <c r="J262" s="238">
        <v>312</v>
      </c>
      <c r="K262" s="238">
        <f>J262/G262</f>
        <v>156</v>
      </c>
      <c r="L262" s="239">
        <f>+I262/J262</f>
        <v>5</v>
      </c>
      <c r="M262" s="331">
        <v>3463366</v>
      </c>
      <c r="N262" s="238">
        <v>407550</v>
      </c>
      <c r="O262" s="241">
        <f>+M262/N262</f>
        <v>8.498014967488652</v>
      </c>
      <c r="P262" s="256"/>
    </row>
    <row r="263" spans="1:16" ht="15">
      <c r="A263" s="66">
        <v>260</v>
      </c>
      <c r="B263" s="53" t="s">
        <v>141</v>
      </c>
      <c r="C263" s="39">
        <v>39780</v>
      </c>
      <c r="D263" s="126" t="s">
        <v>79</v>
      </c>
      <c r="E263" s="126" t="s">
        <v>48</v>
      </c>
      <c r="F263" s="50">
        <v>3</v>
      </c>
      <c r="G263" s="50">
        <v>3</v>
      </c>
      <c r="H263" s="50">
        <v>7</v>
      </c>
      <c r="I263" s="341">
        <v>1556</v>
      </c>
      <c r="J263" s="342">
        <v>247</v>
      </c>
      <c r="K263" s="231">
        <f>IF(I263&lt;&gt;0,J263/G263,"")</f>
        <v>82.33333333333333</v>
      </c>
      <c r="L263" s="194">
        <f>IF(I263&lt;&gt;0,I263/J263,"")</f>
        <v>6.299595141700405</v>
      </c>
      <c r="M263" s="341">
        <v>46731.5</v>
      </c>
      <c r="N263" s="342">
        <v>4603</v>
      </c>
      <c r="O263" s="104">
        <f>IF(M263&lt;&gt;0,M263/N263,"")</f>
        <v>10.152400608298935</v>
      </c>
      <c r="P263" s="256"/>
    </row>
    <row r="264" spans="1:16" ht="15">
      <c r="A264" s="66">
        <v>261</v>
      </c>
      <c r="B264" s="240" t="s">
        <v>53</v>
      </c>
      <c r="C264" s="236">
        <v>39738</v>
      </c>
      <c r="D264" s="235" t="s">
        <v>134</v>
      </c>
      <c r="E264" s="235" t="s">
        <v>54</v>
      </c>
      <c r="F264" s="237">
        <v>67</v>
      </c>
      <c r="G264" s="237">
        <v>2</v>
      </c>
      <c r="H264" s="237">
        <v>18</v>
      </c>
      <c r="I264" s="331">
        <v>1547</v>
      </c>
      <c r="J264" s="238">
        <v>392</v>
      </c>
      <c r="K264" s="238">
        <f>(J264/G264)</f>
        <v>196</v>
      </c>
      <c r="L264" s="239">
        <f>I264/J264</f>
        <v>3.9464285714285716</v>
      </c>
      <c r="M264" s="331">
        <f>167196+176809+54428+37340+38330.5+23467+11581+5867+4382+2577+3552+2137+545+4006+9422+7992+4936+1547</f>
        <v>556114.5</v>
      </c>
      <c r="N264" s="238">
        <f>19168+21164+7719+6215+6404+4964+2339+1306+907+580+859+440+127+905+2170+1822+1050+392</f>
        <v>78531</v>
      </c>
      <c r="O264" s="241">
        <f>+M264/N264</f>
        <v>7.081464644535279</v>
      </c>
      <c r="P264" s="256"/>
    </row>
    <row r="265" spans="1:16" ht="15">
      <c r="A265" s="66">
        <v>262</v>
      </c>
      <c r="B265" s="240" t="s">
        <v>211</v>
      </c>
      <c r="C265" s="236">
        <v>39668</v>
      </c>
      <c r="D265" s="235" t="s">
        <v>134</v>
      </c>
      <c r="E265" s="235" t="s">
        <v>212</v>
      </c>
      <c r="F265" s="237">
        <v>1</v>
      </c>
      <c r="G265" s="237">
        <v>1</v>
      </c>
      <c r="H265" s="237">
        <v>6</v>
      </c>
      <c r="I265" s="331">
        <v>1544</v>
      </c>
      <c r="J265" s="238">
        <v>386</v>
      </c>
      <c r="K265" s="238">
        <f>(J265/G265)</f>
        <v>386</v>
      </c>
      <c r="L265" s="239">
        <f>I265/J265</f>
        <v>4</v>
      </c>
      <c r="M265" s="331">
        <f>3110+2328+234+98+1424+1544</f>
        <v>8738</v>
      </c>
      <c r="N265" s="238">
        <f>365+272+41+14+356+386</f>
        <v>1434</v>
      </c>
      <c r="O265" s="241">
        <f>M265/N265</f>
        <v>6.093444909344491</v>
      </c>
      <c r="P265" s="256">
        <v>1</v>
      </c>
    </row>
    <row r="266" spans="1:16" ht="15">
      <c r="A266" s="66">
        <v>263</v>
      </c>
      <c r="B266" s="240" t="s">
        <v>178</v>
      </c>
      <c r="C266" s="236">
        <v>39675</v>
      </c>
      <c r="D266" s="235" t="s">
        <v>134</v>
      </c>
      <c r="E266" s="235" t="s">
        <v>179</v>
      </c>
      <c r="F266" s="237">
        <v>1</v>
      </c>
      <c r="G266" s="237">
        <v>1</v>
      </c>
      <c r="H266" s="237">
        <v>7</v>
      </c>
      <c r="I266" s="331">
        <v>1544</v>
      </c>
      <c r="J266" s="238">
        <v>386</v>
      </c>
      <c r="K266" s="238">
        <f>(J266/G266)</f>
        <v>386</v>
      </c>
      <c r="L266" s="239">
        <f>I266/J266</f>
        <v>4</v>
      </c>
      <c r="M266" s="331">
        <f>2342+965+725+344+92+189+1544</f>
        <v>6201</v>
      </c>
      <c r="N266" s="238">
        <f>283+144+96+45+14+27+386</f>
        <v>995</v>
      </c>
      <c r="O266" s="241">
        <f>+M266/N266</f>
        <v>6.232160804020101</v>
      </c>
      <c r="P266" s="256">
        <v>1</v>
      </c>
    </row>
    <row r="267" spans="1:16" ht="15">
      <c r="A267" s="66">
        <v>264</v>
      </c>
      <c r="B267" s="240" t="s">
        <v>44</v>
      </c>
      <c r="C267" s="236">
        <v>39780</v>
      </c>
      <c r="D267" s="235" t="s">
        <v>131</v>
      </c>
      <c r="E267" s="235" t="s">
        <v>127</v>
      </c>
      <c r="F267" s="237">
        <v>121</v>
      </c>
      <c r="G267" s="237">
        <v>6</v>
      </c>
      <c r="H267" s="237">
        <v>13</v>
      </c>
      <c r="I267" s="331">
        <v>1513</v>
      </c>
      <c r="J267" s="238">
        <v>509</v>
      </c>
      <c r="K267" s="238">
        <f>J267/G267</f>
        <v>84.83333333333333</v>
      </c>
      <c r="L267" s="239">
        <f>+I267/J267</f>
        <v>2.9724950884086443</v>
      </c>
      <c r="M267" s="331">
        <v>3456579</v>
      </c>
      <c r="N267" s="238">
        <v>406056</v>
      </c>
      <c r="O267" s="241">
        <f>+M267/N267</f>
        <v>8.512567232105916</v>
      </c>
      <c r="P267" s="256"/>
    </row>
    <row r="268" spans="1:16" ht="15">
      <c r="A268" s="66">
        <v>265</v>
      </c>
      <c r="B268" s="49" t="s">
        <v>80</v>
      </c>
      <c r="C268" s="39">
        <v>39703</v>
      </c>
      <c r="D268" s="44" t="s">
        <v>134</v>
      </c>
      <c r="E268" s="44" t="s">
        <v>81</v>
      </c>
      <c r="F268" s="41">
        <v>6</v>
      </c>
      <c r="G268" s="41">
        <v>1</v>
      </c>
      <c r="H268" s="41">
        <v>16</v>
      </c>
      <c r="I268" s="301">
        <v>1508</v>
      </c>
      <c r="J268" s="138">
        <v>377</v>
      </c>
      <c r="K268" s="138">
        <f>(J268/G268)</f>
        <v>377</v>
      </c>
      <c r="L268" s="139">
        <f aca="true" t="shared" si="16" ref="L268:L276">I268/J268</f>
        <v>4</v>
      </c>
      <c r="M268" s="301">
        <f>18453+18044+4959+3105.5+2221+2795+1156+907+1188+3416+108+86+53+73+1664+1508</f>
        <v>59736.5</v>
      </c>
      <c r="N268" s="138">
        <f>1896+1808+596+485+314+510+270+216+297+854+33+15+9+11+416+377</f>
        <v>8107</v>
      </c>
      <c r="O268" s="103">
        <f>M268/N268</f>
        <v>7.368508696188479</v>
      </c>
      <c r="P268" s="255"/>
    </row>
    <row r="269" spans="1:16" ht="15">
      <c r="A269" s="66">
        <v>266</v>
      </c>
      <c r="B269" s="49" t="s">
        <v>17</v>
      </c>
      <c r="C269" s="39">
        <v>39717</v>
      </c>
      <c r="D269" s="44" t="s">
        <v>134</v>
      </c>
      <c r="E269" s="44" t="s">
        <v>18</v>
      </c>
      <c r="F269" s="41">
        <v>113</v>
      </c>
      <c r="G269" s="41">
        <v>1</v>
      </c>
      <c r="H269" s="41">
        <v>14</v>
      </c>
      <c r="I269" s="301">
        <v>1508</v>
      </c>
      <c r="J269" s="138">
        <v>377</v>
      </c>
      <c r="K269" s="138">
        <f>(J269/G269)</f>
        <v>377</v>
      </c>
      <c r="L269" s="139">
        <f t="shared" si="16"/>
        <v>4</v>
      </c>
      <c r="M269" s="301">
        <f>632132.5+337048.5+126471+47854+18242+7477+2804+4752+7760+1424+1780+1664+1664+1508</f>
        <v>1192581</v>
      </c>
      <c r="N269" s="138">
        <f>68536+38225+16179+8425+3627+1827+662+1188+1940+356+445+416+416+377</f>
        <v>142619</v>
      </c>
      <c r="O269" s="103">
        <f>M269/N269</f>
        <v>8.362006464776783</v>
      </c>
      <c r="P269" s="255">
        <v>1</v>
      </c>
    </row>
    <row r="270" spans="1:16" ht="15">
      <c r="A270" s="66">
        <v>267</v>
      </c>
      <c r="B270" s="49" t="s">
        <v>64</v>
      </c>
      <c r="C270" s="39">
        <v>39759</v>
      </c>
      <c r="D270" s="44" t="s">
        <v>65</v>
      </c>
      <c r="E270" s="44" t="s">
        <v>66</v>
      </c>
      <c r="F270" s="41">
        <v>156</v>
      </c>
      <c r="G270" s="41">
        <v>4</v>
      </c>
      <c r="H270" s="41">
        <v>33</v>
      </c>
      <c r="I270" s="301">
        <v>1508</v>
      </c>
      <c r="J270" s="138">
        <v>280</v>
      </c>
      <c r="K270" s="138">
        <f>J270/G270</f>
        <v>70</v>
      </c>
      <c r="L270" s="139">
        <f t="shared" si="16"/>
        <v>5.385714285714286</v>
      </c>
      <c r="M270" s="301">
        <v>23385089.5</v>
      </c>
      <c r="N270" s="138">
        <v>2782229</v>
      </c>
      <c r="O270" s="103">
        <f>+M270/N270</f>
        <v>8.405163449881371</v>
      </c>
      <c r="P270" s="255">
        <v>1</v>
      </c>
    </row>
    <row r="271" spans="1:16" ht="15">
      <c r="A271" s="66">
        <v>268</v>
      </c>
      <c r="B271" s="240" t="s">
        <v>149</v>
      </c>
      <c r="C271" s="236">
        <v>39801</v>
      </c>
      <c r="D271" s="235" t="s">
        <v>4</v>
      </c>
      <c r="E271" s="235" t="s">
        <v>77</v>
      </c>
      <c r="F271" s="237">
        <v>19</v>
      </c>
      <c r="G271" s="237">
        <v>5</v>
      </c>
      <c r="H271" s="237">
        <v>12</v>
      </c>
      <c r="I271" s="331">
        <v>1502</v>
      </c>
      <c r="J271" s="238">
        <v>260</v>
      </c>
      <c r="K271" s="238">
        <f>J271/G271</f>
        <v>52</v>
      </c>
      <c r="L271" s="239">
        <f t="shared" si="16"/>
        <v>5.776923076923077</v>
      </c>
      <c r="M271" s="331">
        <v>144940</v>
      </c>
      <c r="N271" s="238">
        <v>14123</v>
      </c>
      <c r="O271" s="241">
        <f>+M271/N271</f>
        <v>10.262692062592933</v>
      </c>
      <c r="P271" s="255"/>
    </row>
    <row r="272" spans="1:16" ht="15">
      <c r="A272" s="66">
        <v>269</v>
      </c>
      <c r="B272" s="275" t="s">
        <v>64</v>
      </c>
      <c r="C272" s="39">
        <v>39759</v>
      </c>
      <c r="D272" s="44" t="s">
        <v>65</v>
      </c>
      <c r="E272" s="44" t="s">
        <v>66</v>
      </c>
      <c r="F272" s="41">
        <v>156</v>
      </c>
      <c r="G272" s="41">
        <v>1</v>
      </c>
      <c r="H272" s="41">
        <v>25</v>
      </c>
      <c r="I272" s="332">
        <v>1485</v>
      </c>
      <c r="J272" s="138">
        <v>297</v>
      </c>
      <c r="K272" s="138">
        <f>J272/G272</f>
        <v>297</v>
      </c>
      <c r="L272" s="273">
        <f t="shared" si="16"/>
        <v>5</v>
      </c>
      <c r="M272" s="332">
        <v>23374484.5</v>
      </c>
      <c r="N272" s="138">
        <v>2780336</v>
      </c>
      <c r="O272" s="274">
        <f>+M272/N272</f>
        <v>8.407071843115364</v>
      </c>
      <c r="P272" s="256">
        <v>1</v>
      </c>
    </row>
    <row r="273" spans="1:16" ht="15">
      <c r="A273" s="66">
        <v>270</v>
      </c>
      <c r="B273" s="240" t="s">
        <v>213</v>
      </c>
      <c r="C273" s="236">
        <v>39710</v>
      </c>
      <c r="D273" s="235" t="s">
        <v>134</v>
      </c>
      <c r="E273" s="235" t="s">
        <v>1</v>
      </c>
      <c r="F273" s="237">
        <v>1</v>
      </c>
      <c r="G273" s="237">
        <v>1</v>
      </c>
      <c r="H273" s="237">
        <v>11</v>
      </c>
      <c r="I273" s="331">
        <v>1484</v>
      </c>
      <c r="J273" s="238">
        <v>371</v>
      </c>
      <c r="K273" s="238">
        <f>(J273/G273)</f>
        <v>371</v>
      </c>
      <c r="L273" s="239">
        <f t="shared" si="16"/>
        <v>4</v>
      </c>
      <c r="M273" s="331">
        <f>11305+5960+2538+2056+455+891+1621+1302+712+1484+1484</f>
        <v>29808</v>
      </c>
      <c r="N273" s="238">
        <f>835+676+295+239+136+275+187+148+178+371+371</f>
        <v>3711</v>
      </c>
      <c r="O273" s="241">
        <f>M273/N273</f>
        <v>8.032336297493936</v>
      </c>
      <c r="P273" s="256"/>
    </row>
    <row r="274" spans="1:16" ht="15">
      <c r="A274" s="66">
        <v>271</v>
      </c>
      <c r="B274" s="240" t="s">
        <v>213</v>
      </c>
      <c r="C274" s="236">
        <v>39710</v>
      </c>
      <c r="D274" s="235" t="s">
        <v>134</v>
      </c>
      <c r="E274" s="235" t="s">
        <v>1</v>
      </c>
      <c r="F274" s="237">
        <v>1</v>
      </c>
      <c r="G274" s="237">
        <v>1</v>
      </c>
      <c r="H274" s="237">
        <v>10</v>
      </c>
      <c r="I274" s="331">
        <v>1484</v>
      </c>
      <c r="J274" s="238">
        <v>371</v>
      </c>
      <c r="K274" s="238">
        <f>(J274/G274)</f>
        <v>371</v>
      </c>
      <c r="L274" s="239">
        <f t="shared" si="16"/>
        <v>4</v>
      </c>
      <c r="M274" s="331">
        <f>11305+5960+2538+2056+455+891+1621+1302+712+1484</f>
        <v>28324</v>
      </c>
      <c r="N274" s="238">
        <f>835+676+295+239+136+275+187+148+178+371</f>
        <v>3340</v>
      </c>
      <c r="O274" s="241">
        <f>M274/N274</f>
        <v>8.480239520958083</v>
      </c>
      <c r="P274" s="255"/>
    </row>
    <row r="275" spans="1:16" ht="15">
      <c r="A275" s="66">
        <v>272</v>
      </c>
      <c r="B275" s="49" t="s">
        <v>45</v>
      </c>
      <c r="C275" s="40">
        <v>39780</v>
      </c>
      <c r="D275" s="45" t="s">
        <v>134</v>
      </c>
      <c r="E275" s="44" t="s">
        <v>78</v>
      </c>
      <c r="F275" s="41">
        <v>61</v>
      </c>
      <c r="G275" s="41">
        <v>2</v>
      </c>
      <c r="H275" s="41">
        <v>8</v>
      </c>
      <c r="I275" s="327">
        <v>1470</v>
      </c>
      <c r="J275" s="328">
        <v>224</v>
      </c>
      <c r="K275" s="140">
        <f>(J275/G275)</f>
        <v>112</v>
      </c>
      <c r="L275" s="141">
        <f t="shared" si="16"/>
        <v>6.5625</v>
      </c>
      <c r="M275" s="327">
        <f>499000.5+313125.5+89561.5+27980+2002.5+4772+1387+1470</f>
        <v>939299</v>
      </c>
      <c r="N275" s="328">
        <f>48458+27725+9315+4737+330+944+309+224</f>
        <v>92042</v>
      </c>
      <c r="O275" s="105">
        <f>M275/N275</f>
        <v>10.205112883248951</v>
      </c>
      <c r="P275" s="255"/>
    </row>
    <row r="276" spans="1:16" ht="15">
      <c r="A276" s="66">
        <v>273</v>
      </c>
      <c r="B276" s="49" t="s">
        <v>64</v>
      </c>
      <c r="C276" s="39">
        <v>39759</v>
      </c>
      <c r="D276" s="44" t="s">
        <v>65</v>
      </c>
      <c r="E276" s="44" t="s">
        <v>66</v>
      </c>
      <c r="F276" s="41">
        <v>156</v>
      </c>
      <c r="G276" s="41">
        <v>2</v>
      </c>
      <c r="H276" s="41">
        <v>28</v>
      </c>
      <c r="I276" s="301">
        <v>1456</v>
      </c>
      <c r="J276" s="138">
        <v>274</v>
      </c>
      <c r="K276" s="138">
        <f>J276/G276</f>
        <v>137</v>
      </c>
      <c r="L276" s="139">
        <f t="shared" si="16"/>
        <v>5.313868613138686</v>
      </c>
      <c r="M276" s="301">
        <v>23379025.5</v>
      </c>
      <c r="N276" s="138">
        <v>2781227</v>
      </c>
      <c r="O276" s="103">
        <f>+M276/N276</f>
        <v>8.406011267688685</v>
      </c>
      <c r="P276" s="247">
        <v>1</v>
      </c>
    </row>
    <row r="277" spans="1:16" ht="15">
      <c r="A277" s="66">
        <v>274</v>
      </c>
      <c r="B277" s="207" t="s">
        <v>68</v>
      </c>
      <c r="C277" s="195">
        <v>39759</v>
      </c>
      <c r="D277" s="196" t="s">
        <v>136</v>
      </c>
      <c r="E277" s="196" t="s">
        <v>31</v>
      </c>
      <c r="F277" s="197">
        <v>40</v>
      </c>
      <c r="G277" s="197">
        <v>3</v>
      </c>
      <c r="H277" s="197">
        <v>10</v>
      </c>
      <c r="I277" s="333">
        <v>1450</v>
      </c>
      <c r="J277" s="201">
        <v>318</v>
      </c>
      <c r="K277" s="198">
        <f>IF(I277&lt;&gt;0,J277/G277,"")</f>
        <v>106</v>
      </c>
      <c r="L277" s="199">
        <f>IF(I277&lt;&gt;0,I277/J277,"")</f>
        <v>4.559748427672956</v>
      </c>
      <c r="M277" s="333">
        <f>84918+52341+11404+7823+3207+2014+937+2034+556+1450</f>
        <v>166684</v>
      </c>
      <c r="N277" s="200">
        <f>10694+7043+2046+1560+538+345+174+389+77+318</f>
        <v>23184</v>
      </c>
      <c r="O277" s="212">
        <f>IF(M277&lt;&gt;0,M277/N277,"")</f>
        <v>7.1896135265700485</v>
      </c>
      <c r="P277" s="256">
        <v>1</v>
      </c>
    </row>
    <row r="278" spans="1:16" ht="15">
      <c r="A278" s="66">
        <v>275</v>
      </c>
      <c r="B278" s="240" t="s">
        <v>69</v>
      </c>
      <c r="C278" s="236">
        <v>39766</v>
      </c>
      <c r="D278" s="235" t="s">
        <v>134</v>
      </c>
      <c r="E278" s="235" t="s">
        <v>50</v>
      </c>
      <c r="F278" s="237">
        <v>20</v>
      </c>
      <c r="G278" s="237">
        <v>3</v>
      </c>
      <c r="H278" s="237">
        <v>15</v>
      </c>
      <c r="I278" s="331">
        <v>1447</v>
      </c>
      <c r="J278" s="238">
        <v>229</v>
      </c>
      <c r="K278" s="238">
        <f>(J278/G278)</f>
        <v>76.33333333333333</v>
      </c>
      <c r="L278" s="239">
        <f>I278/J278</f>
        <v>6.318777292576419</v>
      </c>
      <c r="M278" s="331">
        <f>109364.5+38539+31287+12101+5368+8640.5+12331+9410+9143+5719+2775+1424+1017+338+1223+1447</f>
        <v>250127</v>
      </c>
      <c r="N278" s="238">
        <f>11866+4674+4443+2133+1061+1670+2334+1542+1728+1224+544+356+207+68+185+229</f>
        <v>34264</v>
      </c>
      <c r="O278" s="241">
        <f>M278/N278</f>
        <v>7.299994162969881</v>
      </c>
      <c r="P278" s="256"/>
    </row>
    <row r="279" spans="1:16" ht="15">
      <c r="A279" s="66">
        <v>276</v>
      </c>
      <c r="B279" s="49" t="s">
        <v>73</v>
      </c>
      <c r="C279" s="39">
        <v>39772</v>
      </c>
      <c r="D279" s="44" t="s">
        <v>134</v>
      </c>
      <c r="E279" s="44" t="s">
        <v>105</v>
      </c>
      <c r="F279" s="41">
        <v>195</v>
      </c>
      <c r="G279" s="41">
        <v>3</v>
      </c>
      <c r="H279" s="41">
        <v>12</v>
      </c>
      <c r="I279" s="301">
        <v>1436.5</v>
      </c>
      <c r="J279" s="138">
        <v>199</v>
      </c>
      <c r="K279" s="138">
        <f>(J279/G279)</f>
        <v>66.33333333333333</v>
      </c>
      <c r="L279" s="139">
        <f>I279/J279</f>
        <v>7.21859296482412</v>
      </c>
      <c r="M279" s="301">
        <f>1011017+512350.5+217314+64545+38656.5+8087+9376.5+5786+2876+882+2140+1436.5</f>
        <v>1874467</v>
      </c>
      <c r="N279" s="138">
        <f>136878+68007+31396+9807+8372+1564+2234+1216+601+202+535+199</f>
        <v>261011</v>
      </c>
      <c r="O279" s="103">
        <f>+M279/N279</f>
        <v>7.181563229135937</v>
      </c>
      <c r="P279" s="256"/>
    </row>
    <row r="280" spans="1:16" ht="15">
      <c r="A280" s="66">
        <v>277</v>
      </c>
      <c r="B280" s="240" t="s">
        <v>213</v>
      </c>
      <c r="C280" s="236">
        <v>39710</v>
      </c>
      <c r="D280" s="235" t="s">
        <v>134</v>
      </c>
      <c r="E280" s="235" t="s">
        <v>1</v>
      </c>
      <c r="F280" s="237">
        <v>1</v>
      </c>
      <c r="G280" s="237">
        <v>1</v>
      </c>
      <c r="H280" s="237">
        <v>12</v>
      </c>
      <c r="I280" s="331">
        <v>1424</v>
      </c>
      <c r="J280" s="238">
        <v>356</v>
      </c>
      <c r="K280" s="238">
        <f>(J280/G280)</f>
        <v>356</v>
      </c>
      <c r="L280" s="239">
        <f>I280/J280</f>
        <v>4</v>
      </c>
      <c r="M280" s="331">
        <f>11305+5960+2538+2056+455+891+1621+1302+712+1484+1484+1424</f>
        <v>31232</v>
      </c>
      <c r="N280" s="238">
        <f>835+676+295+239+136+275+187+148+178+371+371+356</f>
        <v>4067</v>
      </c>
      <c r="O280" s="241">
        <f>M280/N280</f>
        <v>7.679370543398083</v>
      </c>
      <c r="P280" s="256"/>
    </row>
    <row r="281" spans="1:16" ht="15">
      <c r="A281" s="66">
        <v>278</v>
      </c>
      <c r="B281" s="240" t="s">
        <v>69</v>
      </c>
      <c r="C281" s="236">
        <v>39766</v>
      </c>
      <c r="D281" s="235" t="s">
        <v>134</v>
      </c>
      <c r="E281" s="235" t="s">
        <v>50</v>
      </c>
      <c r="F281" s="237">
        <v>20</v>
      </c>
      <c r="G281" s="237">
        <v>1</v>
      </c>
      <c r="H281" s="237">
        <v>12</v>
      </c>
      <c r="I281" s="331">
        <v>1424</v>
      </c>
      <c r="J281" s="238">
        <v>356</v>
      </c>
      <c r="K281" s="238">
        <f>(J281/G281)</f>
        <v>356</v>
      </c>
      <c r="L281" s="239">
        <f>I281/J281</f>
        <v>4</v>
      </c>
      <c r="M281" s="331">
        <f>109364.5+38539+31287+12101+5368+8640.5+12331+9410+9143+5719+2775+1424</f>
        <v>246102</v>
      </c>
      <c r="N281" s="238">
        <f>11866+4674+4443+2133+1061+1670+2334+1542+1728+1224+544+356</f>
        <v>33575</v>
      </c>
      <c r="O281" s="241">
        <f>+M281/N281</f>
        <v>7.329918093819806</v>
      </c>
      <c r="P281" s="256">
        <v>1</v>
      </c>
    </row>
    <row r="282" spans="1:16" ht="15">
      <c r="A282" s="66">
        <v>279</v>
      </c>
      <c r="B282" s="49" t="s">
        <v>17</v>
      </c>
      <c r="C282" s="40">
        <v>39717</v>
      </c>
      <c r="D282" s="45" t="s">
        <v>134</v>
      </c>
      <c r="E282" s="44" t="s">
        <v>18</v>
      </c>
      <c r="F282" s="41">
        <v>113</v>
      </c>
      <c r="G282" s="41">
        <v>1</v>
      </c>
      <c r="H282" s="41">
        <v>10</v>
      </c>
      <c r="I282" s="327">
        <v>1424</v>
      </c>
      <c r="J282" s="328">
        <v>356</v>
      </c>
      <c r="K282" s="140">
        <f>(J282/G282)</f>
        <v>356</v>
      </c>
      <c r="L282" s="141">
        <f>I282/J282</f>
        <v>4</v>
      </c>
      <c r="M282" s="327">
        <f>632132.5+337048.5+126471+47854+18242+7477+2804+4752+7760+1424</f>
        <v>1185965</v>
      </c>
      <c r="N282" s="328">
        <f>68536+38225+16179+8425+3627+1827+662+1188+1940+356</f>
        <v>140965</v>
      </c>
      <c r="O282" s="105">
        <f>M282/N282</f>
        <v>8.4131876706984</v>
      </c>
      <c r="P282" s="255">
        <v>1</v>
      </c>
    </row>
    <row r="283" spans="1:16" ht="15">
      <c r="A283" s="66">
        <v>280</v>
      </c>
      <c r="B283" s="240" t="s">
        <v>214</v>
      </c>
      <c r="C283" s="236">
        <v>39808</v>
      </c>
      <c r="D283" s="235" t="s">
        <v>131</v>
      </c>
      <c r="E283" s="235" t="s">
        <v>111</v>
      </c>
      <c r="F283" s="237">
        <v>112</v>
      </c>
      <c r="G283" s="237">
        <v>5</v>
      </c>
      <c r="H283" s="237">
        <v>9</v>
      </c>
      <c r="I283" s="331">
        <v>1412</v>
      </c>
      <c r="J283" s="238">
        <v>274</v>
      </c>
      <c r="K283" s="238">
        <f>J283/G283</f>
        <v>54.8</v>
      </c>
      <c r="L283" s="239">
        <f>+I283/J283</f>
        <v>5.153284671532846</v>
      </c>
      <c r="M283" s="331">
        <v>208679</v>
      </c>
      <c r="N283" s="238">
        <v>208405</v>
      </c>
      <c r="O283" s="241">
        <f>+M283/N283</f>
        <v>1.001314747726782</v>
      </c>
      <c r="P283" s="247"/>
    </row>
    <row r="284" spans="1:16" ht="15">
      <c r="A284" s="66">
        <v>281</v>
      </c>
      <c r="B284" s="49" t="s">
        <v>61</v>
      </c>
      <c r="C284" s="39">
        <v>39752</v>
      </c>
      <c r="D284" s="44" t="s">
        <v>134</v>
      </c>
      <c r="E284" s="44" t="s">
        <v>112</v>
      </c>
      <c r="F284" s="41">
        <v>27</v>
      </c>
      <c r="G284" s="41">
        <v>2</v>
      </c>
      <c r="H284" s="41">
        <v>17</v>
      </c>
      <c r="I284" s="301">
        <v>1401.5</v>
      </c>
      <c r="J284" s="138">
        <v>170</v>
      </c>
      <c r="K284" s="138">
        <f>(J284/G284)</f>
        <v>85</v>
      </c>
      <c r="L284" s="139">
        <f>I284/J284</f>
        <v>8.244117647058824</v>
      </c>
      <c r="M284" s="301">
        <f>122635.5+51150+18262+4454+16388.5+1375+1246+204+334+67+36+416+360+344+804+810+1401.5</f>
        <v>220287.5</v>
      </c>
      <c r="N284" s="138">
        <f>11002+4826+2043+624+2156+227+195+32+110+10+6+60+43+43+117+89+170</f>
        <v>21753</v>
      </c>
      <c r="O284" s="103">
        <f>M284/N284</f>
        <v>10.126764124488576</v>
      </c>
      <c r="P284" s="255"/>
    </row>
    <row r="285" spans="1:16" ht="15">
      <c r="A285" s="66">
        <v>282</v>
      </c>
      <c r="B285" s="240" t="s">
        <v>64</v>
      </c>
      <c r="C285" s="236">
        <v>39759</v>
      </c>
      <c r="D285" s="235" t="s">
        <v>65</v>
      </c>
      <c r="E285" s="235" t="s">
        <v>66</v>
      </c>
      <c r="F285" s="237">
        <v>2</v>
      </c>
      <c r="G285" s="237">
        <v>2</v>
      </c>
      <c r="H285" s="237">
        <v>22</v>
      </c>
      <c r="I285" s="331">
        <v>1396</v>
      </c>
      <c r="J285" s="238">
        <v>171</v>
      </c>
      <c r="K285" s="238">
        <f>J285/G285</f>
        <v>85.5</v>
      </c>
      <c r="L285" s="239">
        <f>I285/J285</f>
        <v>8.163742690058479</v>
      </c>
      <c r="M285" s="331">
        <v>23372742.5</v>
      </c>
      <c r="N285" s="238">
        <v>2779988</v>
      </c>
      <c r="O285" s="241">
        <f>+M285/N285</f>
        <v>8.407497622291896</v>
      </c>
      <c r="P285" s="247"/>
    </row>
    <row r="286" spans="1:16" ht="15">
      <c r="A286" s="66">
        <v>283</v>
      </c>
      <c r="B286" s="49" t="s">
        <v>44</v>
      </c>
      <c r="C286" s="39">
        <v>39780</v>
      </c>
      <c r="D286" s="44" t="s">
        <v>131</v>
      </c>
      <c r="E286" s="44" t="s">
        <v>127</v>
      </c>
      <c r="F286" s="41">
        <v>121</v>
      </c>
      <c r="G286" s="41">
        <v>2</v>
      </c>
      <c r="H286" s="41">
        <v>30</v>
      </c>
      <c r="I286" s="301">
        <v>1393</v>
      </c>
      <c r="J286" s="138">
        <v>486</v>
      </c>
      <c r="K286" s="138">
        <f>J286/G286</f>
        <v>243</v>
      </c>
      <c r="L286" s="139">
        <f>+I286/J286</f>
        <v>2.866255144032922</v>
      </c>
      <c r="M286" s="301">
        <v>3472537</v>
      </c>
      <c r="N286" s="138">
        <v>410436</v>
      </c>
      <c r="O286" s="103">
        <f>+M286/N286</f>
        <v>8.460605307526631</v>
      </c>
      <c r="P286" s="255">
        <v>1</v>
      </c>
    </row>
    <row r="287" spans="1:16" ht="15">
      <c r="A287" s="66">
        <v>284</v>
      </c>
      <c r="B287" s="209" t="s">
        <v>45</v>
      </c>
      <c r="C287" s="205">
        <v>39780</v>
      </c>
      <c r="D287" s="196" t="s">
        <v>134</v>
      </c>
      <c r="E287" s="203" t="s">
        <v>78</v>
      </c>
      <c r="F287" s="204">
        <v>61</v>
      </c>
      <c r="G287" s="204">
        <v>3</v>
      </c>
      <c r="H287" s="204">
        <v>7</v>
      </c>
      <c r="I287" s="321">
        <v>1387</v>
      </c>
      <c r="J287" s="322">
        <v>309</v>
      </c>
      <c r="K287" s="201">
        <f>(J287/G287)</f>
        <v>103</v>
      </c>
      <c r="L287" s="202">
        <f>I287/J287</f>
        <v>4.488673139158576</v>
      </c>
      <c r="M287" s="321">
        <f>499000.5+313125.5+89561.5+27980+2002.5+4772+1387</f>
        <v>937829</v>
      </c>
      <c r="N287" s="322">
        <f>48458+27725+9315+4737+330+944+309</f>
        <v>91818</v>
      </c>
      <c r="O287" s="208">
        <f>M287/N287</f>
        <v>10.213999433662245</v>
      </c>
      <c r="P287" s="256"/>
    </row>
    <row r="288" spans="1:16" ht="15">
      <c r="A288" s="66">
        <v>285</v>
      </c>
      <c r="B288" s="240" t="s">
        <v>45</v>
      </c>
      <c r="C288" s="236">
        <v>39780</v>
      </c>
      <c r="D288" s="235" t="s">
        <v>134</v>
      </c>
      <c r="E288" s="235" t="s">
        <v>78</v>
      </c>
      <c r="F288" s="237">
        <v>61</v>
      </c>
      <c r="G288" s="237">
        <v>1</v>
      </c>
      <c r="H288" s="237">
        <v>10</v>
      </c>
      <c r="I288" s="331">
        <v>1387</v>
      </c>
      <c r="J288" s="238">
        <v>250</v>
      </c>
      <c r="K288" s="238">
        <f>(J288/G288)</f>
        <v>250</v>
      </c>
      <c r="L288" s="239">
        <f>I288/J288</f>
        <v>5.548</v>
      </c>
      <c r="M288" s="331">
        <f>499000.5+313125.5+89561.5+27980+2002.5+4772+1387+1470+1387+1387</f>
        <v>942073</v>
      </c>
      <c r="N288" s="238">
        <f>48458+27725+9315+4737+330+944+309+224+175+250</f>
        <v>92467</v>
      </c>
      <c r="O288" s="241">
        <f>M288/N288</f>
        <v>10.188207684903803</v>
      </c>
      <c r="P288" s="255"/>
    </row>
    <row r="289" spans="1:16" ht="15">
      <c r="A289" s="66">
        <v>286</v>
      </c>
      <c r="B289" s="233" t="s">
        <v>45</v>
      </c>
      <c r="C289" s="40">
        <v>39780</v>
      </c>
      <c r="D289" s="126" t="s">
        <v>134</v>
      </c>
      <c r="E289" s="226" t="s">
        <v>78</v>
      </c>
      <c r="F289" s="227">
        <v>61</v>
      </c>
      <c r="G289" s="227">
        <v>2</v>
      </c>
      <c r="H289" s="227">
        <v>9</v>
      </c>
      <c r="I289" s="325">
        <v>1387</v>
      </c>
      <c r="J289" s="326">
        <v>175</v>
      </c>
      <c r="K289" s="232">
        <f>(J289/G289)</f>
        <v>87.5</v>
      </c>
      <c r="L289" s="141">
        <f>I289/J289</f>
        <v>7.925714285714286</v>
      </c>
      <c r="M289" s="325">
        <f>499000.5+313125.5+89561.5+27980+2002.5+4772+1387+1470+1387</f>
        <v>940686</v>
      </c>
      <c r="N289" s="326">
        <f>48458+27725+9315+4737+330+944+309+224+175</f>
        <v>92217</v>
      </c>
      <c r="O289" s="105">
        <f>M289/N289</f>
        <v>10.20078727349621</v>
      </c>
      <c r="P289" s="247"/>
    </row>
    <row r="290" spans="1:16" ht="15">
      <c r="A290" s="66">
        <v>287</v>
      </c>
      <c r="B290" s="49" t="s">
        <v>486</v>
      </c>
      <c r="C290" s="39">
        <v>39703</v>
      </c>
      <c r="D290" s="44" t="s">
        <v>4</v>
      </c>
      <c r="E290" s="44" t="s">
        <v>77</v>
      </c>
      <c r="F290" s="41">
        <v>5</v>
      </c>
      <c r="G290" s="41">
        <v>3</v>
      </c>
      <c r="H290" s="41">
        <v>49</v>
      </c>
      <c r="I290" s="301">
        <v>1378</v>
      </c>
      <c r="J290" s="138">
        <v>177</v>
      </c>
      <c r="K290" s="138">
        <f>+J290/G290</f>
        <v>59</v>
      </c>
      <c r="L290" s="139">
        <f>+I290/J290</f>
        <v>7.785310734463277</v>
      </c>
      <c r="M290" s="301">
        <v>76251</v>
      </c>
      <c r="N290" s="138">
        <v>7054</v>
      </c>
      <c r="O290" s="103">
        <f>+M290/N290</f>
        <v>10.809611567904735</v>
      </c>
      <c r="P290" s="256">
        <v>1</v>
      </c>
    </row>
    <row r="291" spans="1:16" ht="15">
      <c r="A291" s="66">
        <v>288</v>
      </c>
      <c r="B291" s="240" t="s">
        <v>268</v>
      </c>
      <c r="C291" s="236">
        <v>39724</v>
      </c>
      <c r="D291" s="235" t="s">
        <v>132</v>
      </c>
      <c r="E291" s="235" t="s">
        <v>107</v>
      </c>
      <c r="F291" s="237">
        <v>1</v>
      </c>
      <c r="G291" s="237">
        <v>1</v>
      </c>
      <c r="H291" s="237">
        <v>13</v>
      </c>
      <c r="I291" s="331">
        <v>1363</v>
      </c>
      <c r="J291" s="238">
        <v>227</v>
      </c>
      <c r="K291" s="238">
        <f>J291/G291</f>
        <v>227</v>
      </c>
      <c r="L291" s="239">
        <f>I291/J291</f>
        <v>6.004405286343612</v>
      </c>
      <c r="M291" s="331">
        <f>192113+96740+52854+14954+6896+10470+13434+2509+289+62+1274+1363</f>
        <v>392958</v>
      </c>
      <c r="N291" s="238">
        <f>19993+10602+7693+2633+1151+1896+3059+485+49+7+235+227</f>
        <v>48030</v>
      </c>
      <c r="O291" s="241">
        <f>+M291/N291</f>
        <v>8.181511555277952</v>
      </c>
      <c r="P291" s="255"/>
    </row>
    <row r="292" spans="1:16" ht="15">
      <c r="A292" s="66">
        <v>289</v>
      </c>
      <c r="B292" s="48" t="s">
        <v>41</v>
      </c>
      <c r="C292" s="39">
        <v>39745</v>
      </c>
      <c r="D292" s="43" t="s">
        <v>130</v>
      </c>
      <c r="E292" s="42" t="s">
        <v>35</v>
      </c>
      <c r="F292" s="54">
        <v>202</v>
      </c>
      <c r="G292" s="54">
        <v>1</v>
      </c>
      <c r="H292" s="54">
        <v>12</v>
      </c>
      <c r="I292" s="327">
        <v>1334</v>
      </c>
      <c r="J292" s="328">
        <v>265</v>
      </c>
      <c r="K292" s="140">
        <f>J292/G292</f>
        <v>265</v>
      </c>
      <c r="L292" s="141">
        <f>I292/J292</f>
        <v>5.033962264150944</v>
      </c>
      <c r="M292" s="327">
        <f>2979211+551475+289248+35506+23768+5044+549+3932+1192+2189+1334</f>
        <v>3893448</v>
      </c>
      <c r="N292" s="328">
        <f>374252+72341+40702+5164+4326+1290+108+783+296+433+265</f>
        <v>499960</v>
      </c>
      <c r="O292" s="105">
        <f>+M292/N292</f>
        <v>7.787519001520121</v>
      </c>
      <c r="P292" s="297">
        <v>1</v>
      </c>
    </row>
    <row r="293" spans="1:16" ht="15">
      <c r="A293" s="66">
        <v>290</v>
      </c>
      <c r="B293" s="53" t="s">
        <v>56</v>
      </c>
      <c r="C293" s="39">
        <v>39745</v>
      </c>
      <c r="D293" s="126" t="s">
        <v>136</v>
      </c>
      <c r="E293" s="126" t="s">
        <v>46</v>
      </c>
      <c r="F293" s="50">
        <v>104</v>
      </c>
      <c r="G293" s="50">
        <v>3</v>
      </c>
      <c r="H293" s="50">
        <v>14</v>
      </c>
      <c r="I293" s="335">
        <v>1323</v>
      </c>
      <c r="J293" s="232">
        <v>195</v>
      </c>
      <c r="K293" s="231">
        <f>IF(I293&lt;&gt;0,J293/G293,"")</f>
        <v>65</v>
      </c>
      <c r="L293" s="137">
        <f>IF(I293&lt;&gt;0,I293/J293,"")</f>
        <v>6.7846153846153845</v>
      </c>
      <c r="M293" s="335">
        <f>821522+622841.5+494230+434015.5+185757.5+145248.5+16130+16159+2033+6489+4346+3565+2540+1323</f>
        <v>2756200</v>
      </c>
      <c r="N293" s="230">
        <f>99216+78381+65128+58419+30420+24530+3077+3918+431+1704+1003+785+507+195</f>
        <v>367714</v>
      </c>
      <c r="O293" s="104">
        <f>IF(M293&lt;&gt;0,M293/N293,"")</f>
        <v>7.495499219502113</v>
      </c>
      <c r="P293" s="254">
        <v>1</v>
      </c>
    </row>
    <row r="294" spans="1:16" ht="15">
      <c r="A294" s="66">
        <v>291</v>
      </c>
      <c r="B294" s="233" t="s">
        <v>57</v>
      </c>
      <c r="C294" s="40">
        <v>39745</v>
      </c>
      <c r="D294" s="226" t="s">
        <v>131</v>
      </c>
      <c r="E294" s="226" t="s">
        <v>164</v>
      </c>
      <c r="F294" s="227">
        <v>57</v>
      </c>
      <c r="G294" s="227">
        <v>3</v>
      </c>
      <c r="H294" s="227">
        <v>14</v>
      </c>
      <c r="I294" s="332">
        <v>1302</v>
      </c>
      <c r="J294" s="230">
        <v>805</v>
      </c>
      <c r="K294" s="230">
        <f>J294/G294</f>
        <v>268.3333333333333</v>
      </c>
      <c r="L294" s="139">
        <f>+I294/J294</f>
        <v>1.617391304347826</v>
      </c>
      <c r="M294" s="332">
        <v>1170552</v>
      </c>
      <c r="N294" s="230">
        <v>126937</v>
      </c>
      <c r="O294" s="103">
        <f>+M294/N294</f>
        <v>9.221519336363707</v>
      </c>
      <c r="P294" s="255"/>
    </row>
    <row r="295" spans="1:16" ht="15">
      <c r="A295" s="66">
        <v>292</v>
      </c>
      <c r="B295" s="49" t="s">
        <v>487</v>
      </c>
      <c r="C295" s="39">
        <v>39430</v>
      </c>
      <c r="D295" s="44" t="s">
        <v>131</v>
      </c>
      <c r="E295" s="44" t="s">
        <v>124</v>
      </c>
      <c r="F295" s="41">
        <v>242</v>
      </c>
      <c r="G295" s="41">
        <v>1</v>
      </c>
      <c r="H295" s="41">
        <v>88</v>
      </c>
      <c r="I295" s="301">
        <v>1300</v>
      </c>
      <c r="J295" s="138">
        <v>260</v>
      </c>
      <c r="K295" s="138">
        <f>J295/G295</f>
        <v>260</v>
      </c>
      <c r="L295" s="139">
        <f>+I295/J295</f>
        <v>5</v>
      </c>
      <c r="M295" s="301">
        <v>15334881</v>
      </c>
      <c r="N295" s="138">
        <v>2002631</v>
      </c>
      <c r="O295" s="103">
        <f>+M295/N295</f>
        <v>7.6573672334044565</v>
      </c>
      <c r="P295" s="255"/>
    </row>
    <row r="296" spans="1:16" ht="15">
      <c r="A296" s="66">
        <v>293</v>
      </c>
      <c r="B296" s="275" t="s">
        <v>165</v>
      </c>
      <c r="C296" s="39">
        <v>39766</v>
      </c>
      <c r="D296" s="44" t="s">
        <v>197</v>
      </c>
      <c r="E296" s="44" t="s">
        <v>166</v>
      </c>
      <c r="F296" s="41">
        <v>17</v>
      </c>
      <c r="G296" s="41">
        <v>2</v>
      </c>
      <c r="H296" s="41">
        <v>22</v>
      </c>
      <c r="I296" s="332">
        <v>1295</v>
      </c>
      <c r="J296" s="138">
        <v>187</v>
      </c>
      <c r="K296" s="138">
        <f>J296/G296</f>
        <v>93.5</v>
      </c>
      <c r="L296" s="273">
        <f aca="true" t="shared" si="17" ref="L296:L312">I296/J296</f>
        <v>6.925133689839572</v>
      </c>
      <c r="M296" s="332">
        <v>86812</v>
      </c>
      <c r="N296" s="138">
        <v>12326</v>
      </c>
      <c r="O296" s="274">
        <f>+M296/N296</f>
        <v>7.042998539672237</v>
      </c>
      <c r="P296" s="255"/>
    </row>
    <row r="297" spans="1:16" ht="15">
      <c r="A297" s="66">
        <v>294</v>
      </c>
      <c r="B297" s="240" t="s">
        <v>70</v>
      </c>
      <c r="C297" s="236">
        <v>39766</v>
      </c>
      <c r="D297" s="235" t="s">
        <v>132</v>
      </c>
      <c r="E297" s="235" t="s">
        <v>199</v>
      </c>
      <c r="F297" s="237">
        <v>2</v>
      </c>
      <c r="G297" s="237">
        <v>2</v>
      </c>
      <c r="H297" s="237">
        <v>17</v>
      </c>
      <c r="I297" s="331">
        <v>1289</v>
      </c>
      <c r="J297" s="238">
        <v>202</v>
      </c>
      <c r="K297" s="238">
        <f>J297/G297</f>
        <v>101</v>
      </c>
      <c r="L297" s="239">
        <f t="shared" si="17"/>
        <v>6.381188118811881</v>
      </c>
      <c r="M297" s="331">
        <f>191668+16358.5+8305+0.5+19699.5+16705.5+7289+4467+3138+2267+1882+6536+9273+1289</f>
        <v>288878</v>
      </c>
      <c r="N297" s="238">
        <f>10324+8249+7871+7121+4755+3362+1751+2958+2636+1185+800+596+440+265+961+1648+202</f>
        <v>55124</v>
      </c>
      <c r="O297" s="241">
        <f>+M297/N297</f>
        <v>5.240512299542849</v>
      </c>
      <c r="P297" s="255">
        <v>1</v>
      </c>
    </row>
    <row r="298" spans="1:16" ht="15">
      <c r="A298" s="66">
        <v>295</v>
      </c>
      <c r="B298" s="240" t="s">
        <v>47</v>
      </c>
      <c r="C298" s="236">
        <v>39780</v>
      </c>
      <c r="D298" s="235" t="s">
        <v>134</v>
      </c>
      <c r="E298" s="235" t="s">
        <v>232</v>
      </c>
      <c r="F298" s="237">
        <v>6</v>
      </c>
      <c r="G298" s="237">
        <v>1</v>
      </c>
      <c r="H298" s="237">
        <v>10</v>
      </c>
      <c r="I298" s="331">
        <v>1289</v>
      </c>
      <c r="J298" s="238">
        <v>142</v>
      </c>
      <c r="K298" s="238">
        <f>(J298/G298)</f>
        <v>142</v>
      </c>
      <c r="L298" s="239">
        <f t="shared" si="17"/>
        <v>9.077464788732394</v>
      </c>
      <c r="M298" s="331">
        <f>25457+3030+1123+7370+430+997+6202+886+691.5+1289</f>
        <v>47475.5</v>
      </c>
      <c r="N298" s="238">
        <f>2151+404+165+1079+59+230+1523+213+105+142</f>
        <v>6071</v>
      </c>
      <c r="O298" s="241">
        <f>M298/N298</f>
        <v>7.820046120902652</v>
      </c>
      <c r="P298" s="253"/>
    </row>
    <row r="299" spans="1:16" ht="15">
      <c r="A299" s="66">
        <v>296</v>
      </c>
      <c r="B299" s="49" t="s">
        <v>53</v>
      </c>
      <c r="C299" s="39">
        <v>39738</v>
      </c>
      <c r="D299" s="44" t="s">
        <v>134</v>
      </c>
      <c r="E299" s="44" t="s">
        <v>54</v>
      </c>
      <c r="F299" s="41">
        <v>67</v>
      </c>
      <c r="G299" s="41">
        <v>3</v>
      </c>
      <c r="H299" s="41">
        <v>23</v>
      </c>
      <c r="I299" s="301">
        <v>1282</v>
      </c>
      <c r="J299" s="138">
        <v>411</v>
      </c>
      <c r="K299" s="138">
        <f>(J299/G299)</f>
        <v>137</v>
      </c>
      <c r="L299" s="139">
        <f t="shared" si="17"/>
        <v>3.119221411192214</v>
      </c>
      <c r="M299" s="301">
        <f>167196+176809+54428+37340+38330.5+23467+11581+5867+4382+2577+3552+2137+545+4006+9422+7992+4936+1547+1147+288+371+2842+1282</f>
        <v>562044.5</v>
      </c>
      <c r="N299" s="138">
        <f>19168+21164+7719+6215+6404+4964+2339+1306+907+580+859+440+127+905+2170+1822+1050+392+333+56+73+734+411</f>
        <v>80138</v>
      </c>
      <c r="O299" s="103">
        <f>M299/N299</f>
        <v>7.0134580348898155</v>
      </c>
      <c r="P299" s="247">
        <v>1</v>
      </c>
    </row>
    <row r="300" spans="1:16" ht="15">
      <c r="A300" s="66">
        <v>297</v>
      </c>
      <c r="B300" s="49" t="s">
        <v>297</v>
      </c>
      <c r="C300" s="39">
        <v>39402</v>
      </c>
      <c r="D300" s="44" t="s">
        <v>136</v>
      </c>
      <c r="E300" s="44" t="s">
        <v>237</v>
      </c>
      <c r="F300" s="41">
        <v>165</v>
      </c>
      <c r="G300" s="41">
        <v>1</v>
      </c>
      <c r="H300" s="41">
        <v>49</v>
      </c>
      <c r="I300" s="301">
        <v>1281</v>
      </c>
      <c r="J300" s="138">
        <v>183</v>
      </c>
      <c r="K300" s="138">
        <f>J300/G300</f>
        <v>183</v>
      </c>
      <c r="L300" s="139">
        <f t="shared" si="17"/>
        <v>7</v>
      </c>
      <c r="M300" s="301">
        <v>14647709.5</v>
      </c>
      <c r="N300" s="138">
        <v>2030985</v>
      </c>
      <c r="O300" s="103">
        <f>+M300/N300</f>
        <v>7.212120965935248</v>
      </c>
      <c r="P300" s="255">
        <v>1</v>
      </c>
    </row>
    <row r="301" spans="1:16" ht="15">
      <c r="A301" s="66">
        <v>298</v>
      </c>
      <c r="B301" s="48" t="s">
        <v>62</v>
      </c>
      <c r="C301" s="39">
        <v>39689</v>
      </c>
      <c r="D301" s="43" t="s">
        <v>130</v>
      </c>
      <c r="E301" s="42" t="s">
        <v>63</v>
      </c>
      <c r="F301" s="54">
        <v>100</v>
      </c>
      <c r="G301" s="54">
        <v>2</v>
      </c>
      <c r="H301" s="54">
        <v>11</v>
      </c>
      <c r="I301" s="327">
        <v>1278</v>
      </c>
      <c r="J301" s="328">
        <v>206</v>
      </c>
      <c r="K301" s="140">
        <f>J301/G301</f>
        <v>103</v>
      </c>
      <c r="L301" s="141">
        <f t="shared" si="17"/>
        <v>6.203883495145631</v>
      </c>
      <c r="M301" s="327">
        <f>17818+1364876+864151+384239+240974+16635+2871+5064-50+5187+276+2654+1278</f>
        <v>2905973</v>
      </c>
      <c r="N301" s="328">
        <f>1487+139515+89937+39711+26370+2302+499+787-9+1471+55+1243+206</f>
        <v>303574</v>
      </c>
      <c r="O301" s="105">
        <f>+M301/N301</f>
        <v>9.572535856166866</v>
      </c>
      <c r="P301" s="253"/>
    </row>
    <row r="302" spans="1:16" ht="15">
      <c r="A302" s="66">
        <v>299</v>
      </c>
      <c r="B302" s="240" t="s">
        <v>268</v>
      </c>
      <c r="C302" s="236">
        <v>39724</v>
      </c>
      <c r="D302" s="235" t="s">
        <v>132</v>
      </c>
      <c r="E302" s="235" t="s">
        <v>107</v>
      </c>
      <c r="F302" s="237">
        <v>40</v>
      </c>
      <c r="G302" s="237">
        <v>1</v>
      </c>
      <c r="H302" s="237">
        <v>11</v>
      </c>
      <c r="I302" s="331">
        <v>1274</v>
      </c>
      <c r="J302" s="238">
        <v>235</v>
      </c>
      <c r="K302" s="238">
        <f>J302/G302</f>
        <v>235</v>
      </c>
      <c r="L302" s="239">
        <f t="shared" si="17"/>
        <v>5.421276595744681</v>
      </c>
      <c r="M302" s="331">
        <v>391595</v>
      </c>
      <c r="N302" s="238">
        <v>47803</v>
      </c>
      <c r="O302" s="241">
        <f>+M302/N302</f>
        <v>8.1918498838985</v>
      </c>
      <c r="P302" s="255"/>
    </row>
    <row r="303" spans="1:16" ht="15">
      <c r="A303" s="66">
        <v>300</v>
      </c>
      <c r="B303" s="275" t="s">
        <v>70</v>
      </c>
      <c r="C303" s="39">
        <v>39766</v>
      </c>
      <c r="D303" s="44" t="s">
        <v>132</v>
      </c>
      <c r="E303" s="44" t="s">
        <v>71</v>
      </c>
      <c r="F303" s="41">
        <v>24</v>
      </c>
      <c r="G303" s="41">
        <v>24</v>
      </c>
      <c r="H303" s="41">
        <v>24</v>
      </c>
      <c r="I303" s="332">
        <v>1249</v>
      </c>
      <c r="J303" s="138">
        <v>151</v>
      </c>
      <c r="K303" s="138">
        <f>J303/G303</f>
        <v>6.291666666666667</v>
      </c>
      <c r="L303" s="273">
        <f t="shared" si="17"/>
        <v>8.271523178807946</v>
      </c>
      <c r="M303" s="332">
        <f>191668+16358.5+8305+0.5+19699.5+16705.5+7289+4467+3138+2267+1882+6536+9273+1289+852+1124+2416+1164+28+80+1249</f>
        <v>295791</v>
      </c>
      <c r="N303" s="138">
        <f>10324+8249+7871+7121+4755+3362+1751+2958+2636+1185+800+596+440+265+961+1648+202+172+213+528+291+7+20+151</f>
        <v>56506</v>
      </c>
      <c r="O303" s="274">
        <f>+M303/N303</f>
        <v>5.2346830425087605</v>
      </c>
      <c r="P303" s="254"/>
    </row>
    <row r="304" spans="1:16" ht="15">
      <c r="A304" s="66">
        <v>301</v>
      </c>
      <c r="B304" s="53" t="s">
        <v>41</v>
      </c>
      <c r="C304" s="39">
        <v>39745</v>
      </c>
      <c r="D304" s="126" t="s">
        <v>130</v>
      </c>
      <c r="E304" s="126" t="s">
        <v>35</v>
      </c>
      <c r="F304" s="50">
        <v>202</v>
      </c>
      <c r="G304" s="50">
        <v>1</v>
      </c>
      <c r="H304" s="50">
        <v>13</v>
      </c>
      <c r="I304" s="325">
        <v>1224</v>
      </c>
      <c r="J304" s="326">
        <v>296</v>
      </c>
      <c r="K304" s="232">
        <f>J304/G304</f>
        <v>296</v>
      </c>
      <c r="L304" s="141">
        <f t="shared" si="17"/>
        <v>4.135135135135135</v>
      </c>
      <c r="M304" s="325">
        <f>2979211+551475+289248+35506+23768+5044+549+3932+1192+2189+1334+1224</f>
        <v>3894672</v>
      </c>
      <c r="N304" s="326">
        <f>374252+72341+40702+5164+4326+1290+108+783+296+433+265+296</f>
        <v>500256</v>
      </c>
      <c r="O304" s="105">
        <f>+M304/N304</f>
        <v>7.78535789675686</v>
      </c>
      <c r="P304" s="255"/>
    </row>
    <row r="305" spans="1:16" ht="15">
      <c r="A305" s="66">
        <v>302</v>
      </c>
      <c r="B305" s="240" t="s">
        <v>69</v>
      </c>
      <c r="C305" s="236">
        <v>39766</v>
      </c>
      <c r="D305" s="235" t="s">
        <v>134</v>
      </c>
      <c r="E305" s="235" t="s">
        <v>50</v>
      </c>
      <c r="F305" s="237">
        <v>20</v>
      </c>
      <c r="G305" s="237">
        <v>2</v>
      </c>
      <c r="H305" s="237">
        <v>14</v>
      </c>
      <c r="I305" s="331">
        <v>1223</v>
      </c>
      <c r="J305" s="238">
        <v>185</v>
      </c>
      <c r="K305" s="238">
        <f>(J305/G305)</f>
        <v>92.5</v>
      </c>
      <c r="L305" s="239">
        <f t="shared" si="17"/>
        <v>6.610810810810811</v>
      </c>
      <c r="M305" s="331">
        <f>109364.5+38539+31287+12101+5368+8640.5+12331+9410+9143+5719+2775+1424+1017+338+1223</f>
        <v>248680</v>
      </c>
      <c r="N305" s="238">
        <f>11866+4674+4443+2133+1061+1670+2334+1542+1728+1224+544+356+207+68+185</f>
        <v>34035</v>
      </c>
      <c r="O305" s="241">
        <f>M305/N305</f>
        <v>7.306596151021008</v>
      </c>
      <c r="P305" s="254"/>
    </row>
    <row r="306" spans="1:16" ht="15">
      <c r="A306" s="66">
        <v>303</v>
      </c>
      <c r="B306" s="240" t="s">
        <v>26</v>
      </c>
      <c r="C306" s="236">
        <v>39808</v>
      </c>
      <c r="D306" s="235" t="s">
        <v>134</v>
      </c>
      <c r="E306" s="235" t="s">
        <v>133</v>
      </c>
      <c r="F306" s="237">
        <v>75</v>
      </c>
      <c r="G306" s="237">
        <v>3</v>
      </c>
      <c r="H306" s="237">
        <v>14</v>
      </c>
      <c r="I306" s="331">
        <v>1219</v>
      </c>
      <c r="J306" s="238">
        <v>195</v>
      </c>
      <c r="K306" s="238">
        <f>(J306/G306)</f>
        <v>65</v>
      </c>
      <c r="L306" s="239">
        <f t="shared" si="17"/>
        <v>6.251282051282051</v>
      </c>
      <c r="M306" s="331">
        <f>681566+578530+317284.5+141025.5+34373.5+6375+4225+7402.5+1014+4479+2688+2267+1765+1219</f>
        <v>1784214</v>
      </c>
      <c r="N306" s="238">
        <f>64102+57106+32401+16644+4655+1030+644+1623+143+828+480+469+323+195</f>
        <v>180643</v>
      </c>
      <c r="O306" s="241">
        <f>M306/N306</f>
        <v>9.877017100026018</v>
      </c>
      <c r="P306" s="253"/>
    </row>
    <row r="307" spans="1:16" ht="15">
      <c r="A307" s="66">
        <v>304</v>
      </c>
      <c r="B307" s="240" t="s">
        <v>23</v>
      </c>
      <c r="C307" s="236">
        <v>39808</v>
      </c>
      <c r="D307" s="235" t="s">
        <v>136</v>
      </c>
      <c r="E307" s="235" t="s">
        <v>24</v>
      </c>
      <c r="F307" s="237">
        <v>198</v>
      </c>
      <c r="G307" s="237">
        <v>1</v>
      </c>
      <c r="H307" s="237">
        <v>9</v>
      </c>
      <c r="I307" s="331">
        <v>1208</v>
      </c>
      <c r="J307" s="238">
        <v>242</v>
      </c>
      <c r="K307" s="238">
        <f>IF(I307&lt;&gt;0,J307/G307,"")</f>
        <v>242</v>
      </c>
      <c r="L307" s="239">
        <f t="shared" si="17"/>
        <v>4.991735537190083</v>
      </c>
      <c r="M307" s="331">
        <f>909072+532572.5+214521.5+64908+15178.5+4216.5+2023+1098+1208</f>
        <v>1744798</v>
      </c>
      <c r="N307" s="238">
        <f>112486+67146+29772+10700+3086+733+452+228+242</f>
        <v>224845</v>
      </c>
      <c r="O307" s="241">
        <f>+M307/N307</f>
        <v>7.760003558006627</v>
      </c>
      <c r="P307" s="255"/>
    </row>
    <row r="308" spans="1:16" ht="15">
      <c r="A308" s="66">
        <v>305</v>
      </c>
      <c r="B308" s="48" t="s">
        <v>41</v>
      </c>
      <c r="C308" s="39">
        <v>39745</v>
      </c>
      <c r="D308" s="43" t="s">
        <v>130</v>
      </c>
      <c r="E308" s="42" t="s">
        <v>35</v>
      </c>
      <c r="F308" s="54">
        <v>202</v>
      </c>
      <c r="G308" s="54">
        <v>1</v>
      </c>
      <c r="H308" s="54">
        <v>10</v>
      </c>
      <c r="I308" s="327">
        <v>1192</v>
      </c>
      <c r="J308" s="328">
        <v>296</v>
      </c>
      <c r="K308" s="140">
        <f>J308/G308</f>
        <v>296</v>
      </c>
      <c r="L308" s="141">
        <f t="shared" si="17"/>
        <v>4.027027027027027</v>
      </c>
      <c r="M308" s="327">
        <f>2979211+551475+289248+35506+23768+5044+549+3932+1192</f>
        <v>3889925</v>
      </c>
      <c r="N308" s="328">
        <f>374252+72341+40702+5164+4326+1290+108+783+296</f>
        <v>499262</v>
      </c>
      <c r="O308" s="105">
        <f>+M308/N308</f>
        <v>7.791350032648189</v>
      </c>
      <c r="P308" s="254">
        <v>1</v>
      </c>
    </row>
    <row r="309" spans="1:16" ht="15">
      <c r="A309" s="66">
        <v>306</v>
      </c>
      <c r="B309" s="240" t="s">
        <v>144</v>
      </c>
      <c r="C309" s="236">
        <v>39801</v>
      </c>
      <c r="D309" s="235" t="s">
        <v>130</v>
      </c>
      <c r="E309" s="235" t="s">
        <v>122</v>
      </c>
      <c r="F309" s="237">
        <v>69</v>
      </c>
      <c r="G309" s="237">
        <v>1</v>
      </c>
      <c r="H309" s="237">
        <v>9</v>
      </c>
      <c r="I309" s="331">
        <v>1191</v>
      </c>
      <c r="J309" s="238">
        <v>191</v>
      </c>
      <c r="K309" s="238">
        <f>J309/G309</f>
        <v>191</v>
      </c>
      <c r="L309" s="239">
        <f t="shared" si="17"/>
        <v>6.2356020942408374</v>
      </c>
      <c r="M309" s="331">
        <f>820286+588484+413907+112495+41441-111+9385+4586+8718+1191</f>
        <v>2000382</v>
      </c>
      <c r="N309" s="238">
        <f>83839+57678+42374+12212+5722-11+2124+1350+1256+191</f>
        <v>206735</v>
      </c>
      <c r="O309" s="241">
        <f>+M309/N309</f>
        <v>9.676068396739788</v>
      </c>
      <c r="P309" s="255"/>
    </row>
    <row r="310" spans="1:16" ht="15">
      <c r="A310" s="66">
        <v>307</v>
      </c>
      <c r="B310" s="49" t="s">
        <v>213</v>
      </c>
      <c r="C310" s="39">
        <v>39710</v>
      </c>
      <c r="D310" s="44" t="s">
        <v>134</v>
      </c>
      <c r="E310" s="44" t="s">
        <v>1</v>
      </c>
      <c r="F310" s="41">
        <v>1</v>
      </c>
      <c r="G310" s="41">
        <v>1</v>
      </c>
      <c r="H310" s="41">
        <v>13</v>
      </c>
      <c r="I310" s="301">
        <v>1188</v>
      </c>
      <c r="J310" s="138">
        <v>297</v>
      </c>
      <c r="K310" s="138">
        <f>(J310/G310)</f>
        <v>297</v>
      </c>
      <c r="L310" s="139">
        <f t="shared" si="17"/>
        <v>4</v>
      </c>
      <c r="M310" s="301">
        <f>11305+5960+2538+2056+455+891+1621+1302+712+1484+1484+1424+1188</f>
        <v>32420</v>
      </c>
      <c r="N310" s="138">
        <f>835+676+295+239+136+275+187+148+178+371+371+356+297</f>
        <v>4364</v>
      </c>
      <c r="O310" s="103">
        <f>M310/N310</f>
        <v>7.428964252978918</v>
      </c>
      <c r="P310" s="247">
        <v>1</v>
      </c>
    </row>
    <row r="311" spans="1:16" ht="15">
      <c r="A311" s="66">
        <v>308</v>
      </c>
      <c r="B311" s="240" t="s">
        <v>47</v>
      </c>
      <c r="C311" s="236">
        <v>39780</v>
      </c>
      <c r="D311" s="235" t="s">
        <v>134</v>
      </c>
      <c r="E311" s="235" t="s">
        <v>266</v>
      </c>
      <c r="F311" s="237">
        <v>6</v>
      </c>
      <c r="G311" s="237">
        <v>1</v>
      </c>
      <c r="H311" s="237">
        <v>11</v>
      </c>
      <c r="I311" s="331">
        <v>1188</v>
      </c>
      <c r="J311" s="238">
        <v>297</v>
      </c>
      <c r="K311" s="238">
        <f>(J311/G311)</f>
        <v>297</v>
      </c>
      <c r="L311" s="239">
        <f t="shared" si="17"/>
        <v>4</v>
      </c>
      <c r="M311" s="331">
        <f>25457+3030+1123+7370+430+997+6202+886+691.5+1289+1188</f>
        <v>48663.5</v>
      </c>
      <c r="N311" s="238">
        <f>2151+404+165+1079+59+230+1523+213+105+142+297</f>
        <v>6368</v>
      </c>
      <c r="O311" s="241">
        <f>M311/N311</f>
        <v>7.641881281407035</v>
      </c>
      <c r="P311" s="247"/>
    </row>
    <row r="312" spans="1:16" ht="15">
      <c r="A312" s="66">
        <v>309</v>
      </c>
      <c r="B312" s="240" t="s">
        <v>67</v>
      </c>
      <c r="C312" s="236">
        <v>39759</v>
      </c>
      <c r="D312" s="235" t="s">
        <v>134</v>
      </c>
      <c r="E312" s="235" t="s">
        <v>143</v>
      </c>
      <c r="F312" s="237">
        <v>93</v>
      </c>
      <c r="G312" s="237">
        <v>1</v>
      </c>
      <c r="H312" s="237">
        <v>13</v>
      </c>
      <c r="I312" s="331">
        <v>1188</v>
      </c>
      <c r="J312" s="238">
        <v>297</v>
      </c>
      <c r="K312" s="238">
        <f>(J312/G312)</f>
        <v>297</v>
      </c>
      <c r="L312" s="239">
        <f t="shared" si="17"/>
        <v>4</v>
      </c>
      <c r="M312" s="331">
        <f>224223+136351+27895+24212+1274+3482+7147+2804+5279+2025+2635+2196+1188</f>
        <v>440711</v>
      </c>
      <c r="N312" s="238">
        <f>27969+18593+4268+4646+311+857+1472+745+1285+386+636+549+297</f>
        <v>62014</v>
      </c>
      <c r="O312" s="241">
        <f>+M312/N312</f>
        <v>7.106637210952366</v>
      </c>
      <c r="P312" s="254">
        <v>1</v>
      </c>
    </row>
    <row r="313" spans="1:16" ht="15">
      <c r="A313" s="66">
        <v>310</v>
      </c>
      <c r="B313" s="240" t="s">
        <v>56</v>
      </c>
      <c r="C313" s="236">
        <v>39745</v>
      </c>
      <c r="D313" s="235" t="s">
        <v>136</v>
      </c>
      <c r="E313" s="235" t="s">
        <v>281</v>
      </c>
      <c r="F313" s="237">
        <v>104</v>
      </c>
      <c r="G313" s="237">
        <v>1</v>
      </c>
      <c r="H313" s="237">
        <v>20</v>
      </c>
      <c r="I313" s="331">
        <v>1188</v>
      </c>
      <c r="J313" s="238">
        <v>238</v>
      </c>
      <c r="K313" s="238">
        <f>IF(I313&lt;&gt;0,J313/G313,"")</f>
        <v>238</v>
      </c>
      <c r="L313" s="239">
        <f>IF(I313&lt;&gt;0,I313/J313,"")</f>
        <v>4.991596638655462</v>
      </c>
      <c r="M313" s="331">
        <v>2760828</v>
      </c>
      <c r="N313" s="238">
        <v>368560</v>
      </c>
      <c r="O313" s="241">
        <f>IF(M313&lt;&gt;0,M313/N313,"")</f>
        <v>7.490850879097026</v>
      </c>
      <c r="P313" s="266"/>
    </row>
    <row r="314" spans="1:16" ht="15">
      <c r="A314" s="66">
        <v>311</v>
      </c>
      <c r="B314" s="49" t="s">
        <v>380</v>
      </c>
      <c r="C314" s="39">
        <v>39696</v>
      </c>
      <c r="D314" s="44" t="s">
        <v>4</v>
      </c>
      <c r="E314" s="44" t="s">
        <v>4</v>
      </c>
      <c r="F314" s="41">
        <v>1</v>
      </c>
      <c r="G314" s="41">
        <v>1</v>
      </c>
      <c r="H314" s="41">
        <v>43</v>
      </c>
      <c r="I314" s="301">
        <v>1176</v>
      </c>
      <c r="J314" s="138">
        <v>129</v>
      </c>
      <c r="K314" s="138">
        <f>+J314/G314</f>
        <v>129</v>
      </c>
      <c r="L314" s="139">
        <f>I314/J314</f>
        <v>9.116279069767442</v>
      </c>
      <c r="M314" s="301">
        <v>6658</v>
      </c>
      <c r="N314" s="138">
        <v>637</v>
      </c>
      <c r="O314" s="103">
        <f>+M314/N314</f>
        <v>10.452119309262166</v>
      </c>
      <c r="P314" s="255"/>
    </row>
    <row r="315" spans="1:16" ht="15">
      <c r="A315" s="66">
        <v>312</v>
      </c>
      <c r="B315" s="275" t="s">
        <v>25</v>
      </c>
      <c r="C315" s="39">
        <v>39808</v>
      </c>
      <c r="D315" s="44" t="s">
        <v>131</v>
      </c>
      <c r="E315" s="44" t="s">
        <v>111</v>
      </c>
      <c r="F315" s="41">
        <v>112</v>
      </c>
      <c r="G315" s="41">
        <v>3</v>
      </c>
      <c r="H315" s="41">
        <v>23</v>
      </c>
      <c r="I315" s="332">
        <v>1168</v>
      </c>
      <c r="J315" s="138">
        <v>199</v>
      </c>
      <c r="K315" s="138">
        <f>J315/G315</f>
        <v>66.33333333333333</v>
      </c>
      <c r="L315" s="273">
        <f>+I315/J315</f>
        <v>5.869346733668341</v>
      </c>
      <c r="M315" s="332">
        <v>2064331</v>
      </c>
      <c r="N315" s="138">
        <v>216742</v>
      </c>
      <c r="O315" s="274">
        <f>+M315/N315</f>
        <v>9.524369988280998</v>
      </c>
      <c r="P315" s="253">
        <v>1</v>
      </c>
    </row>
    <row r="316" spans="1:16" ht="15">
      <c r="A316" s="66">
        <v>313</v>
      </c>
      <c r="B316" s="275" t="s">
        <v>70</v>
      </c>
      <c r="C316" s="39">
        <v>39766</v>
      </c>
      <c r="D316" s="44" t="s">
        <v>132</v>
      </c>
      <c r="E316" s="44" t="s">
        <v>71</v>
      </c>
      <c r="F316" s="41">
        <v>24</v>
      </c>
      <c r="G316" s="41">
        <v>1</v>
      </c>
      <c r="H316" s="41">
        <v>21</v>
      </c>
      <c r="I316" s="332">
        <v>1164</v>
      </c>
      <c r="J316" s="138">
        <v>291</v>
      </c>
      <c r="K316" s="138">
        <f>(J316/G316)</f>
        <v>291</v>
      </c>
      <c r="L316" s="273">
        <f>I316/J316</f>
        <v>4</v>
      </c>
      <c r="M316" s="332">
        <f>191668+16358.5+8305+0.5+19699.5+16705.5+7289+4467+3138+2267+1882+6536+9273+1289+852+1124+2416+1164</f>
        <v>294434</v>
      </c>
      <c r="N316" s="138">
        <f>10324+8249+7871+7121+4755+3362+1751+2958+2636+1185+800+596+440+265+961+1648+202+172+213+528+291</f>
        <v>56328</v>
      </c>
      <c r="O316" s="274">
        <f>M316/N316</f>
        <v>5.227133929839511</v>
      </c>
      <c r="P316" s="255"/>
    </row>
    <row r="317" spans="1:16" ht="15">
      <c r="A317" s="66">
        <v>314</v>
      </c>
      <c r="B317" s="49" t="s">
        <v>58</v>
      </c>
      <c r="C317" s="39">
        <v>39745</v>
      </c>
      <c r="D317" s="44" t="s">
        <v>4</v>
      </c>
      <c r="E317" s="44" t="s">
        <v>418</v>
      </c>
      <c r="F317" s="41">
        <v>72</v>
      </c>
      <c r="G317" s="41">
        <v>5</v>
      </c>
      <c r="H317" s="41">
        <v>35</v>
      </c>
      <c r="I317" s="301">
        <v>1156</v>
      </c>
      <c r="J317" s="138">
        <v>186</v>
      </c>
      <c r="K317" s="138">
        <f>+J317/G317</f>
        <v>37.2</v>
      </c>
      <c r="L317" s="139">
        <f>+I317/J317</f>
        <v>6.21505376344086</v>
      </c>
      <c r="M317" s="301">
        <v>1650366</v>
      </c>
      <c r="N317" s="138">
        <v>187015</v>
      </c>
      <c r="O317" s="103">
        <f>+M317/N317</f>
        <v>8.824778761061946</v>
      </c>
      <c r="P317" s="255"/>
    </row>
    <row r="318" spans="1:16" ht="15">
      <c r="A318" s="66">
        <v>315</v>
      </c>
      <c r="B318" s="49" t="s">
        <v>83</v>
      </c>
      <c r="C318" s="39">
        <v>39633</v>
      </c>
      <c r="D318" s="44" t="s">
        <v>131</v>
      </c>
      <c r="E318" s="44" t="s">
        <v>127</v>
      </c>
      <c r="F318" s="41">
        <v>123</v>
      </c>
      <c r="G318" s="41">
        <v>1</v>
      </c>
      <c r="H318" s="41">
        <v>53</v>
      </c>
      <c r="I318" s="301">
        <v>1155</v>
      </c>
      <c r="J318" s="138">
        <v>350</v>
      </c>
      <c r="K318" s="138">
        <f>J318/G318</f>
        <v>350</v>
      </c>
      <c r="L318" s="139">
        <f>I318/J318</f>
        <v>3.3</v>
      </c>
      <c r="M318" s="301">
        <v>1544719</v>
      </c>
      <c r="N318" s="138">
        <v>214242</v>
      </c>
      <c r="O318" s="103">
        <f>+M318/N318</f>
        <v>7.210159539212666</v>
      </c>
      <c r="P318" s="255"/>
    </row>
    <row r="319" spans="1:16" ht="15">
      <c r="A319" s="66">
        <v>316</v>
      </c>
      <c r="B319" s="49" t="s">
        <v>380</v>
      </c>
      <c r="C319" s="39">
        <v>39696</v>
      </c>
      <c r="D319" s="44" t="s">
        <v>4</v>
      </c>
      <c r="E319" s="44" t="s">
        <v>112</v>
      </c>
      <c r="F319" s="41">
        <v>1</v>
      </c>
      <c r="G319" s="41">
        <v>1</v>
      </c>
      <c r="H319" s="41">
        <v>48</v>
      </c>
      <c r="I319" s="301">
        <v>1150</v>
      </c>
      <c r="J319" s="138">
        <v>98</v>
      </c>
      <c r="K319" s="138">
        <f>+J319/G319</f>
        <v>98</v>
      </c>
      <c r="L319" s="139">
        <f>+I319/J319</f>
        <v>11.73469387755102</v>
      </c>
      <c r="M319" s="301">
        <v>6483</v>
      </c>
      <c r="N319" s="138">
        <v>606</v>
      </c>
      <c r="O319" s="103">
        <f>+M319/N319</f>
        <v>10.698019801980198</v>
      </c>
      <c r="P319" s="254">
        <v>1</v>
      </c>
    </row>
    <row r="320" spans="1:16" ht="15">
      <c r="A320" s="66">
        <v>317</v>
      </c>
      <c r="B320" s="240" t="s">
        <v>53</v>
      </c>
      <c r="C320" s="236">
        <v>39738</v>
      </c>
      <c r="D320" s="235" t="s">
        <v>134</v>
      </c>
      <c r="E320" s="235" t="s">
        <v>54</v>
      </c>
      <c r="F320" s="237">
        <v>67</v>
      </c>
      <c r="G320" s="237">
        <v>2</v>
      </c>
      <c r="H320" s="237">
        <v>19</v>
      </c>
      <c r="I320" s="331">
        <v>1147</v>
      </c>
      <c r="J320" s="238">
        <v>333</v>
      </c>
      <c r="K320" s="238">
        <f>(J320/G320)</f>
        <v>166.5</v>
      </c>
      <c r="L320" s="239">
        <f>I320/J320</f>
        <v>3.4444444444444446</v>
      </c>
      <c r="M320" s="331">
        <f>167196+176809+54428+37340+38330.5+23467+11581+5867+4382+2577+3552+2137+545+4006+9422+7992+4936+1547+1147</f>
        <v>557261.5</v>
      </c>
      <c r="N320" s="238">
        <f>19168+21164+7719+6215+6404+4964+2339+1306+907+580+859+440+127+905+2170+1822+1050+392+333</f>
        <v>78864</v>
      </c>
      <c r="O320" s="241">
        <f>M320/N320</f>
        <v>7.066107476161493</v>
      </c>
      <c r="P320" s="255"/>
    </row>
    <row r="321" spans="1:16" ht="15">
      <c r="A321" s="66">
        <v>318</v>
      </c>
      <c r="B321" s="53" t="s">
        <v>58</v>
      </c>
      <c r="C321" s="39">
        <v>39745</v>
      </c>
      <c r="D321" s="45" t="s">
        <v>4</v>
      </c>
      <c r="E321" s="45" t="s">
        <v>59</v>
      </c>
      <c r="F321" s="50">
        <v>72</v>
      </c>
      <c r="G321" s="50">
        <v>3</v>
      </c>
      <c r="H321" s="50">
        <v>11</v>
      </c>
      <c r="I321" s="327">
        <v>1146</v>
      </c>
      <c r="J321" s="328">
        <v>178</v>
      </c>
      <c r="K321" s="136">
        <f>+J321/G321</f>
        <v>59.333333333333336</v>
      </c>
      <c r="L321" s="137">
        <f>+I321/J321</f>
        <v>6.438202247191011</v>
      </c>
      <c r="M321" s="327">
        <v>1284354</v>
      </c>
      <c r="N321" s="328">
        <v>145282</v>
      </c>
      <c r="O321" s="104">
        <f>+M321/N321</f>
        <v>8.840420699054253</v>
      </c>
      <c r="P321" s="253"/>
    </row>
    <row r="322" spans="1:16" ht="15">
      <c r="A322" s="66">
        <v>319</v>
      </c>
      <c r="B322" s="240" t="s">
        <v>70</v>
      </c>
      <c r="C322" s="236">
        <v>39766</v>
      </c>
      <c r="D322" s="235" t="s">
        <v>132</v>
      </c>
      <c r="E322" s="235" t="s">
        <v>71</v>
      </c>
      <c r="F322" s="237">
        <v>1</v>
      </c>
      <c r="G322" s="237">
        <v>1</v>
      </c>
      <c r="H322" s="237">
        <v>19</v>
      </c>
      <c r="I322" s="331">
        <v>1124</v>
      </c>
      <c r="J322" s="238">
        <v>213</v>
      </c>
      <c r="K322" s="238">
        <f>J322/G322</f>
        <v>213</v>
      </c>
      <c r="L322" s="239">
        <f>I322/J322</f>
        <v>5.276995305164319</v>
      </c>
      <c r="M322" s="331">
        <f>191668+16358.5+8305+0.5+19699.5+16705.5+7289+4467+3138+2267+1882+6536+9273+1289+852+1124</f>
        <v>290854</v>
      </c>
      <c r="N322" s="238">
        <f>10324+8249+7871+7121+4755+3362+1751+2958+2636+1185+800+596+440+265+961+1648+202+172+213</f>
        <v>55509</v>
      </c>
      <c r="O322" s="241">
        <f>+M322/N322</f>
        <v>5.239762921328073</v>
      </c>
      <c r="P322" s="255"/>
    </row>
    <row r="323" spans="1:16" ht="15">
      <c r="A323" s="66">
        <v>320</v>
      </c>
      <c r="B323" s="240" t="s">
        <v>45</v>
      </c>
      <c r="C323" s="236">
        <v>39780</v>
      </c>
      <c r="D323" s="235" t="s">
        <v>134</v>
      </c>
      <c r="E323" s="235" t="s">
        <v>78</v>
      </c>
      <c r="F323" s="237">
        <v>61</v>
      </c>
      <c r="G323" s="237">
        <v>1</v>
      </c>
      <c r="H323" s="237">
        <v>11</v>
      </c>
      <c r="I323" s="331">
        <v>1119</v>
      </c>
      <c r="J323" s="238">
        <v>246</v>
      </c>
      <c r="K323" s="238">
        <f>(J323/G323)</f>
        <v>246</v>
      </c>
      <c r="L323" s="239">
        <f>I323/J323</f>
        <v>4.548780487804878</v>
      </c>
      <c r="M323" s="331">
        <f>499000.5+313125.5+89561.5+27980+2002.5+4772+1387+1470+1387+1387+1119</f>
        <v>943192</v>
      </c>
      <c r="N323" s="238">
        <f>48458+27725+9315+4737+330+944+309+224+175+250+246</f>
        <v>92713</v>
      </c>
      <c r="O323" s="241">
        <f>M323/N323</f>
        <v>10.173244313095251</v>
      </c>
      <c r="P323" s="297">
        <v>1</v>
      </c>
    </row>
    <row r="324" spans="1:16" ht="15">
      <c r="A324" s="66">
        <v>321</v>
      </c>
      <c r="B324" s="240" t="s">
        <v>23</v>
      </c>
      <c r="C324" s="236">
        <v>39808</v>
      </c>
      <c r="D324" s="235" t="s">
        <v>136</v>
      </c>
      <c r="E324" s="235" t="s">
        <v>24</v>
      </c>
      <c r="F324" s="237">
        <v>198</v>
      </c>
      <c r="G324" s="237">
        <v>2</v>
      </c>
      <c r="H324" s="237">
        <v>8</v>
      </c>
      <c r="I324" s="331">
        <v>1098</v>
      </c>
      <c r="J324" s="238">
        <v>228</v>
      </c>
      <c r="K324" s="238">
        <f>IF(I324&lt;&gt;0,J324/G324,"")</f>
        <v>114</v>
      </c>
      <c r="L324" s="239">
        <f>IF(I324&lt;&gt;0,I324/J324,"")</f>
        <v>4.815789473684211</v>
      </c>
      <c r="M324" s="331">
        <f>909072+532572.5+214521.5+64908+15178.5+4216.5+2023+1098</f>
        <v>1743590</v>
      </c>
      <c r="N324" s="238">
        <f>112486+67146+29772+10700+3086+733+452+228</f>
        <v>224603</v>
      </c>
      <c r="O324" s="241">
        <f>+M324/N324</f>
        <v>7.762986246844433</v>
      </c>
      <c r="P324" s="297"/>
    </row>
    <row r="325" spans="1:16" ht="15">
      <c r="A325" s="66">
        <v>322</v>
      </c>
      <c r="B325" s="49" t="s">
        <v>64</v>
      </c>
      <c r="C325" s="39">
        <v>39759</v>
      </c>
      <c r="D325" s="44" t="s">
        <v>65</v>
      </c>
      <c r="E325" s="44" t="s">
        <v>66</v>
      </c>
      <c r="F325" s="41">
        <v>156</v>
      </c>
      <c r="G325" s="41">
        <v>7</v>
      </c>
      <c r="H325" s="41">
        <v>29</v>
      </c>
      <c r="I325" s="301">
        <v>1097</v>
      </c>
      <c r="J325" s="138">
        <v>217</v>
      </c>
      <c r="K325" s="138">
        <f>J325/G325</f>
        <v>31</v>
      </c>
      <c r="L325" s="139">
        <f>I325/J325</f>
        <v>5.055299539170507</v>
      </c>
      <c r="M325" s="301">
        <v>23379572.5</v>
      </c>
      <c r="N325" s="138">
        <v>2781334</v>
      </c>
      <c r="O325" s="103">
        <f>+M325/N325</f>
        <v>8.405884550363243</v>
      </c>
      <c r="P325" s="255">
        <v>1</v>
      </c>
    </row>
    <row r="326" spans="1:16" ht="15">
      <c r="A326" s="66">
        <v>323</v>
      </c>
      <c r="B326" s="240" t="s">
        <v>139</v>
      </c>
      <c r="C326" s="236">
        <v>39787</v>
      </c>
      <c r="D326" s="235" t="s">
        <v>132</v>
      </c>
      <c r="E326" s="235" t="s">
        <v>140</v>
      </c>
      <c r="F326" s="237">
        <v>1</v>
      </c>
      <c r="G326" s="237">
        <v>1</v>
      </c>
      <c r="H326" s="237">
        <v>13</v>
      </c>
      <c r="I326" s="331">
        <v>1095</v>
      </c>
      <c r="J326" s="238">
        <v>218</v>
      </c>
      <c r="K326" s="238">
        <f>J326/G326</f>
        <v>218</v>
      </c>
      <c r="L326" s="239">
        <f>IF(I326&lt;&gt;0,I326/J326,"")</f>
        <v>5.022935779816514</v>
      </c>
      <c r="M326" s="331">
        <v>18047232</v>
      </c>
      <c r="N326" s="238">
        <v>2310169</v>
      </c>
      <c r="O326" s="241">
        <f>+M326/N326</f>
        <v>7.812083012108638</v>
      </c>
      <c r="P326" s="254"/>
    </row>
    <row r="327" spans="1:16" ht="15">
      <c r="A327" s="66">
        <v>324</v>
      </c>
      <c r="B327" s="240" t="s">
        <v>149</v>
      </c>
      <c r="C327" s="236">
        <v>39801</v>
      </c>
      <c r="D327" s="235" t="s">
        <v>4</v>
      </c>
      <c r="E327" s="235" t="s">
        <v>77</v>
      </c>
      <c r="F327" s="237">
        <v>19</v>
      </c>
      <c r="G327" s="237">
        <v>4</v>
      </c>
      <c r="H327" s="237">
        <v>8</v>
      </c>
      <c r="I327" s="331">
        <v>1078</v>
      </c>
      <c r="J327" s="238">
        <v>156</v>
      </c>
      <c r="K327" s="238">
        <f>J327/G327</f>
        <v>39</v>
      </c>
      <c r="L327" s="239">
        <f aca="true" t="shared" si="18" ref="L327:L333">I327/J327</f>
        <v>6.910256410256411</v>
      </c>
      <c r="M327" s="331">
        <v>139967</v>
      </c>
      <c r="N327" s="238">
        <v>13235</v>
      </c>
      <c r="O327" s="241">
        <f>+M327/N327</f>
        <v>10.57551945598791</v>
      </c>
      <c r="P327" s="255">
        <v>1</v>
      </c>
    </row>
    <row r="328" spans="1:16" ht="15">
      <c r="A328" s="66">
        <v>325</v>
      </c>
      <c r="B328" s="240" t="s">
        <v>60</v>
      </c>
      <c r="C328" s="236">
        <v>39745</v>
      </c>
      <c r="D328" s="235" t="s">
        <v>134</v>
      </c>
      <c r="E328" s="235" t="s">
        <v>106</v>
      </c>
      <c r="F328" s="237">
        <v>7</v>
      </c>
      <c r="G328" s="237">
        <v>1</v>
      </c>
      <c r="H328" s="237">
        <v>12</v>
      </c>
      <c r="I328" s="331">
        <v>1066</v>
      </c>
      <c r="J328" s="238">
        <v>258</v>
      </c>
      <c r="K328" s="238">
        <f>(J328/G328)</f>
        <v>258</v>
      </c>
      <c r="L328" s="239">
        <f t="shared" si="18"/>
        <v>4.131782945736434</v>
      </c>
      <c r="M328" s="331">
        <f>31758.5+8225.5+1958+2180+395+7254.5+494+2046+429+128+135+1066</f>
        <v>56069.5</v>
      </c>
      <c r="N328" s="238">
        <f>2732+851+288+247+46+761+52+333+72+22+23+258</f>
        <v>5685</v>
      </c>
      <c r="O328" s="241">
        <f>M328/N328</f>
        <v>9.862708883025507</v>
      </c>
      <c r="P328" s="255">
        <v>1</v>
      </c>
    </row>
    <row r="329" spans="1:16" ht="15">
      <c r="A329" s="66">
        <v>326</v>
      </c>
      <c r="B329" s="49" t="s">
        <v>25</v>
      </c>
      <c r="C329" s="39">
        <v>39808</v>
      </c>
      <c r="D329" s="44" t="s">
        <v>131</v>
      </c>
      <c r="E329" s="44" t="s">
        <v>111</v>
      </c>
      <c r="F329" s="41">
        <v>112</v>
      </c>
      <c r="G329" s="41">
        <v>4</v>
      </c>
      <c r="H329" s="41">
        <v>16</v>
      </c>
      <c r="I329" s="301">
        <v>1065</v>
      </c>
      <c r="J329" s="138">
        <v>583</v>
      </c>
      <c r="K329" s="138">
        <f>J329/G329</f>
        <v>145.75</v>
      </c>
      <c r="L329" s="139">
        <f t="shared" si="18"/>
        <v>1.8267581475128645</v>
      </c>
      <c r="M329" s="301">
        <v>2051754</v>
      </c>
      <c r="N329" s="138">
        <v>212645</v>
      </c>
      <c r="O329" s="103">
        <f>+M329/N329</f>
        <v>9.648729102494768</v>
      </c>
      <c r="P329" s="253">
        <v>1</v>
      </c>
    </row>
    <row r="330" spans="1:16" ht="15">
      <c r="A330" s="66">
        <v>327</v>
      </c>
      <c r="B330" s="240" t="s">
        <v>144</v>
      </c>
      <c r="C330" s="236">
        <v>39801</v>
      </c>
      <c r="D330" s="235" t="s">
        <v>130</v>
      </c>
      <c r="E330" s="235" t="s">
        <v>122</v>
      </c>
      <c r="F330" s="237">
        <v>69</v>
      </c>
      <c r="G330" s="237">
        <v>1</v>
      </c>
      <c r="H330" s="237">
        <v>11</v>
      </c>
      <c r="I330" s="331">
        <v>1065</v>
      </c>
      <c r="J330" s="238">
        <v>182</v>
      </c>
      <c r="K330" s="238">
        <f>J330/G330</f>
        <v>182</v>
      </c>
      <c r="L330" s="239">
        <f t="shared" si="18"/>
        <v>5.851648351648351</v>
      </c>
      <c r="M330" s="331">
        <f>820286+588484+413907+112495+41441-111+9385+4586+8718+1191+251+1065</f>
        <v>2001698</v>
      </c>
      <c r="N330" s="238">
        <f>83839+57678+42374+12212+5722-11+2124+1350+1256+191+41+182</f>
        <v>206958</v>
      </c>
      <c r="O330" s="241">
        <f>+M330/N330</f>
        <v>9.67200108234521</v>
      </c>
      <c r="P330" s="255">
        <v>1</v>
      </c>
    </row>
    <row r="331" spans="1:16" ht="15">
      <c r="A331" s="66">
        <v>328</v>
      </c>
      <c r="B331" s="275" t="s">
        <v>161</v>
      </c>
      <c r="C331" s="39">
        <v>39766</v>
      </c>
      <c r="D331" s="44" t="s">
        <v>279</v>
      </c>
      <c r="E331" s="44" t="s">
        <v>198</v>
      </c>
      <c r="F331" s="41">
        <v>50</v>
      </c>
      <c r="G331" s="41">
        <v>2</v>
      </c>
      <c r="H331" s="41">
        <v>23</v>
      </c>
      <c r="I331" s="332">
        <v>1054</v>
      </c>
      <c r="J331" s="138">
        <v>295</v>
      </c>
      <c r="K331" s="138">
        <f>J331/G331</f>
        <v>147.5</v>
      </c>
      <c r="L331" s="273">
        <f t="shared" si="18"/>
        <v>3.5728813559322035</v>
      </c>
      <c r="M331" s="332">
        <v>243089</v>
      </c>
      <c r="N331" s="138">
        <v>36781</v>
      </c>
      <c r="O331" s="274">
        <f>+M331/N331</f>
        <v>6.609091650580463</v>
      </c>
      <c r="P331" s="247">
        <v>1</v>
      </c>
    </row>
    <row r="332" spans="1:16" ht="15">
      <c r="A332" s="66">
        <v>329</v>
      </c>
      <c r="B332" s="275" t="s">
        <v>165</v>
      </c>
      <c r="C332" s="39">
        <v>39766</v>
      </c>
      <c r="D332" s="44" t="s">
        <v>197</v>
      </c>
      <c r="E332" s="44" t="s">
        <v>166</v>
      </c>
      <c r="F332" s="41">
        <v>17</v>
      </c>
      <c r="G332" s="41">
        <v>1</v>
      </c>
      <c r="H332" s="41">
        <v>21</v>
      </c>
      <c r="I332" s="332">
        <v>1054</v>
      </c>
      <c r="J332" s="138">
        <v>127</v>
      </c>
      <c r="K332" s="138">
        <f>J332/G332</f>
        <v>127</v>
      </c>
      <c r="L332" s="273">
        <f t="shared" si="18"/>
        <v>8.299212598425196</v>
      </c>
      <c r="M332" s="332">
        <v>85517</v>
      </c>
      <c r="N332" s="138">
        <v>12139</v>
      </c>
      <c r="O332" s="274">
        <f>+M332/N332</f>
        <v>7.0448142351099765</v>
      </c>
      <c r="P332" s="254"/>
    </row>
    <row r="333" spans="1:16" ht="15">
      <c r="A333" s="66">
        <v>330</v>
      </c>
      <c r="B333" s="240" t="s">
        <v>142</v>
      </c>
      <c r="C333" s="236">
        <v>39794</v>
      </c>
      <c r="D333" s="235" t="s">
        <v>134</v>
      </c>
      <c r="E333" s="235" t="s">
        <v>133</v>
      </c>
      <c r="F333" s="237">
        <v>100</v>
      </c>
      <c r="G333" s="237">
        <v>2</v>
      </c>
      <c r="H333" s="237">
        <v>13</v>
      </c>
      <c r="I333" s="331">
        <v>1049</v>
      </c>
      <c r="J333" s="238">
        <v>169</v>
      </c>
      <c r="K333" s="238">
        <f>(J333/G333)</f>
        <v>84.5</v>
      </c>
      <c r="L333" s="239">
        <f t="shared" si="18"/>
        <v>6.207100591715976</v>
      </c>
      <c r="M333" s="331">
        <f>1276778.5+626123+380324+112679.5+54533+36086+4129+3620.5+4348+1030+1904+420+1049</f>
        <v>2503024.5</v>
      </c>
      <c r="N333" s="238">
        <f>133555+68793+41581+14968+8873+6454+539+324+976+204+524+65+169</f>
        <v>277025</v>
      </c>
      <c r="O333" s="241">
        <f>M333/N333</f>
        <v>9.035374063712661</v>
      </c>
      <c r="P333" s="255">
        <v>1</v>
      </c>
    </row>
    <row r="334" spans="1:16" ht="15">
      <c r="A334" s="66">
        <v>331</v>
      </c>
      <c r="B334" s="49" t="s">
        <v>297</v>
      </c>
      <c r="C334" s="39">
        <v>39402</v>
      </c>
      <c r="D334" s="44" t="s">
        <v>136</v>
      </c>
      <c r="E334" s="44" t="s">
        <v>237</v>
      </c>
      <c r="F334" s="41">
        <v>165</v>
      </c>
      <c r="G334" s="41">
        <v>1</v>
      </c>
      <c r="H334" s="41">
        <v>46</v>
      </c>
      <c r="I334" s="301">
        <v>1044</v>
      </c>
      <c r="J334" s="138">
        <v>287</v>
      </c>
      <c r="K334" s="138">
        <f>IF(I334&lt;&gt;0,J334/G334,"")</f>
        <v>287</v>
      </c>
      <c r="L334" s="139">
        <f>IF(I334&lt;&gt;0,I334/J334,"")</f>
        <v>3.637630662020906</v>
      </c>
      <c r="M334" s="301">
        <v>14646024.5</v>
      </c>
      <c r="N334" s="138">
        <v>2030731</v>
      </c>
      <c r="O334" s="103">
        <f>IF(M334&lt;&gt;0,M334/N334,"")</f>
        <v>7.212193293941935</v>
      </c>
      <c r="P334" s="254"/>
    </row>
    <row r="335" spans="1:16" ht="15">
      <c r="A335" s="66">
        <v>332</v>
      </c>
      <c r="B335" s="240" t="s">
        <v>72</v>
      </c>
      <c r="C335" s="236">
        <v>39773</v>
      </c>
      <c r="D335" s="235" t="s">
        <v>131</v>
      </c>
      <c r="E335" s="235" t="s">
        <v>126</v>
      </c>
      <c r="F335" s="237">
        <v>204</v>
      </c>
      <c r="G335" s="237">
        <v>1</v>
      </c>
      <c r="H335" s="237">
        <v>16</v>
      </c>
      <c r="I335" s="331">
        <v>1043</v>
      </c>
      <c r="J335" s="238">
        <v>190</v>
      </c>
      <c r="K335" s="238">
        <f>J335/G335</f>
        <v>190</v>
      </c>
      <c r="L335" s="239">
        <f>+I335/J335</f>
        <v>5.489473684210527</v>
      </c>
      <c r="M335" s="331">
        <v>11441127</v>
      </c>
      <c r="N335" s="238">
        <v>1417347</v>
      </c>
      <c r="O335" s="241">
        <f>+M335/N335</f>
        <v>8.07221308543356</v>
      </c>
      <c r="P335" s="254">
        <v>1</v>
      </c>
    </row>
    <row r="336" spans="1:16" ht="15">
      <c r="A336" s="66">
        <v>333</v>
      </c>
      <c r="B336" s="240" t="s">
        <v>142</v>
      </c>
      <c r="C336" s="236">
        <v>39794</v>
      </c>
      <c r="D336" s="235" t="s">
        <v>134</v>
      </c>
      <c r="E336" s="235" t="s">
        <v>133</v>
      </c>
      <c r="F336" s="237">
        <v>100</v>
      </c>
      <c r="G336" s="237">
        <v>1</v>
      </c>
      <c r="H336" s="237">
        <v>10</v>
      </c>
      <c r="I336" s="331">
        <v>1030</v>
      </c>
      <c r="J336" s="238">
        <v>204</v>
      </c>
      <c r="K336" s="238">
        <f>(J336/G336)</f>
        <v>204</v>
      </c>
      <c r="L336" s="239">
        <f aca="true" t="shared" si="19" ref="L336:L342">I336/J336</f>
        <v>5.049019607843137</v>
      </c>
      <c r="M336" s="331">
        <f>1276778.5+626123+380324+112679.5+54533+36086+4129+3620.5+4348+1030</f>
        <v>2499651.5</v>
      </c>
      <c r="N336" s="238">
        <f>133555+68793+41581+14968+8873+6454+539+324+976+204</f>
        <v>276267</v>
      </c>
      <c r="O336" s="241">
        <f>+M336/N336</f>
        <v>9.047955419937958</v>
      </c>
      <c r="P336" s="253">
        <v>1</v>
      </c>
    </row>
    <row r="337" spans="1:16" ht="15">
      <c r="A337" s="66">
        <v>334</v>
      </c>
      <c r="B337" s="49" t="s">
        <v>22</v>
      </c>
      <c r="C337" s="39">
        <v>39787</v>
      </c>
      <c r="D337" s="44" t="s">
        <v>131</v>
      </c>
      <c r="E337" s="44" t="s">
        <v>138</v>
      </c>
      <c r="F337" s="41">
        <v>406</v>
      </c>
      <c r="G337" s="41">
        <v>2</v>
      </c>
      <c r="H337" s="41">
        <v>32</v>
      </c>
      <c r="I337" s="301">
        <v>1025</v>
      </c>
      <c r="J337" s="138">
        <v>353</v>
      </c>
      <c r="K337" s="138">
        <f>J337/G337</f>
        <v>176.5</v>
      </c>
      <c r="L337" s="139">
        <f t="shared" si="19"/>
        <v>2.903682719546742</v>
      </c>
      <c r="M337" s="301">
        <v>30402650</v>
      </c>
      <c r="N337" s="138">
        <v>3703273</v>
      </c>
      <c r="O337" s="103">
        <f>+M337/N337</f>
        <v>8.209670202547855</v>
      </c>
      <c r="P337" s="255"/>
    </row>
    <row r="338" spans="1:16" ht="15">
      <c r="A338" s="66">
        <v>335</v>
      </c>
      <c r="B338" s="240" t="s">
        <v>144</v>
      </c>
      <c r="C338" s="236">
        <v>39801</v>
      </c>
      <c r="D338" s="235" t="s">
        <v>130</v>
      </c>
      <c r="E338" s="235" t="s">
        <v>122</v>
      </c>
      <c r="F338" s="237">
        <v>69</v>
      </c>
      <c r="G338" s="237">
        <v>1</v>
      </c>
      <c r="H338" s="237">
        <v>13</v>
      </c>
      <c r="I338" s="331">
        <v>1022</v>
      </c>
      <c r="J338" s="238">
        <v>174</v>
      </c>
      <c r="K338" s="238">
        <f>J338/G338</f>
        <v>174</v>
      </c>
      <c r="L338" s="239">
        <f t="shared" si="19"/>
        <v>5.873563218390805</v>
      </c>
      <c r="M338" s="331">
        <f>820286+588484+413907+112495+41441-111+9385+4586+8718+1191+251+1065+1821+1022</f>
        <v>2004541</v>
      </c>
      <c r="N338" s="238">
        <f>83839+57678+42374+12212+5722-11+2124+1350+1256+191+41+182+386+174</f>
        <v>207518</v>
      </c>
      <c r="O338" s="241">
        <f>+M338/N338</f>
        <v>9.659600612958876</v>
      </c>
      <c r="P338" s="255"/>
    </row>
    <row r="339" spans="1:16" ht="15">
      <c r="A339" s="66">
        <v>336</v>
      </c>
      <c r="B339" s="240" t="s">
        <v>69</v>
      </c>
      <c r="C339" s="236">
        <v>39766</v>
      </c>
      <c r="D339" s="235" t="s">
        <v>134</v>
      </c>
      <c r="E339" s="235" t="s">
        <v>50</v>
      </c>
      <c r="F339" s="237">
        <v>20</v>
      </c>
      <c r="G339" s="237">
        <v>1</v>
      </c>
      <c r="H339" s="237">
        <v>12</v>
      </c>
      <c r="I339" s="331">
        <v>1017</v>
      </c>
      <c r="J339" s="238">
        <v>207</v>
      </c>
      <c r="K339" s="238">
        <f>(J339/G339)</f>
        <v>207</v>
      </c>
      <c r="L339" s="239">
        <f t="shared" si="19"/>
        <v>4.913043478260869</v>
      </c>
      <c r="M339" s="331">
        <f>109364.5+38539+31287+12101+5368+8640.5+12331+9410+9143+5719+2775+1424+1017</f>
        <v>247119</v>
      </c>
      <c r="N339" s="238">
        <f>11866+4674+4443+2133+1061+1670+2334+1542+1728+1224+544+356+207</f>
        <v>33782</v>
      </c>
      <c r="O339" s="241">
        <f>M339/N339</f>
        <v>7.315108637736072</v>
      </c>
      <c r="P339" s="247"/>
    </row>
    <row r="340" spans="1:16" ht="15">
      <c r="A340" s="66">
        <v>337</v>
      </c>
      <c r="B340" s="240" t="s">
        <v>26</v>
      </c>
      <c r="C340" s="236">
        <v>39808</v>
      </c>
      <c r="D340" s="235" t="s">
        <v>134</v>
      </c>
      <c r="E340" s="235" t="s">
        <v>133</v>
      </c>
      <c r="F340" s="237">
        <v>75</v>
      </c>
      <c r="G340" s="237">
        <v>2</v>
      </c>
      <c r="H340" s="237">
        <v>9</v>
      </c>
      <c r="I340" s="331">
        <v>1014</v>
      </c>
      <c r="J340" s="238">
        <v>143</v>
      </c>
      <c r="K340" s="238">
        <f>(J340/G340)</f>
        <v>71.5</v>
      </c>
      <c r="L340" s="239">
        <f t="shared" si="19"/>
        <v>7.090909090909091</v>
      </c>
      <c r="M340" s="331">
        <f>681566+578530+317284.5+141025.5+34373.5+6375+4225+7402.5+1014</f>
        <v>1771796</v>
      </c>
      <c r="N340" s="238">
        <f>64102+57106+32401+16644+4655+1030+644+1623+143</f>
        <v>178348</v>
      </c>
      <c r="O340" s="241">
        <f>M340/N340</f>
        <v>9.934487630923812</v>
      </c>
      <c r="P340" s="255">
        <v>1</v>
      </c>
    </row>
    <row r="341" spans="1:16" ht="15">
      <c r="A341" s="66">
        <v>338</v>
      </c>
      <c r="B341" s="240" t="s">
        <v>97</v>
      </c>
      <c r="C341" s="236">
        <v>39752</v>
      </c>
      <c r="D341" s="235" t="s">
        <v>131</v>
      </c>
      <c r="E341" s="235" t="s">
        <v>124</v>
      </c>
      <c r="F341" s="237">
        <v>45</v>
      </c>
      <c r="G341" s="237">
        <v>1</v>
      </c>
      <c r="H341" s="237">
        <v>13</v>
      </c>
      <c r="I341" s="331">
        <v>1012</v>
      </c>
      <c r="J341" s="238">
        <v>165</v>
      </c>
      <c r="K341" s="238">
        <f>J341/G341</f>
        <v>165</v>
      </c>
      <c r="L341" s="239">
        <f t="shared" si="19"/>
        <v>6.133333333333334</v>
      </c>
      <c r="M341" s="331">
        <v>457111</v>
      </c>
      <c r="N341" s="238">
        <v>49853</v>
      </c>
      <c r="O341" s="241">
        <f>+M341/N341</f>
        <v>9.169177381501616</v>
      </c>
      <c r="P341" s="266">
        <v>1</v>
      </c>
    </row>
    <row r="342" spans="1:16" ht="15">
      <c r="A342" s="66">
        <v>339</v>
      </c>
      <c r="B342" s="240" t="s">
        <v>60</v>
      </c>
      <c r="C342" s="236">
        <v>39745</v>
      </c>
      <c r="D342" s="235" t="s">
        <v>134</v>
      </c>
      <c r="E342" s="235" t="s">
        <v>106</v>
      </c>
      <c r="F342" s="237">
        <v>7</v>
      </c>
      <c r="G342" s="237">
        <v>1</v>
      </c>
      <c r="H342" s="237">
        <v>13</v>
      </c>
      <c r="I342" s="331">
        <v>1003</v>
      </c>
      <c r="J342" s="238">
        <v>223</v>
      </c>
      <c r="K342" s="238">
        <f>(J342/G342)</f>
        <v>223</v>
      </c>
      <c r="L342" s="239">
        <f t="shared" si="19"/>
        <v>4.497757847533633</v>
      </c>
      <c r="M342" s="331">
        <f>31758.5+8225.5+1958+2180+395+7254.5+494+2046+429+128+135+1066+1003</f>
        <v>57072.5</v>
      </c>
      <c r="N342" s="238">
        <f>2732+851+288+247+46+761+52+333+72+22+23+258+223</f>
        <v>5908</v>
      </c>
      <c r="O342" s="241">
        <f>M342/N342</f>
        <v>9.660206499661475</v>
      </c>
      <c r="P342" s="255"/>
    </row>
    <row r="343" spans="1:16" ht="15">
      <c r="A343" s="66">
        <v>340</v>
      </c>
      <c r="B343" s="240" t="s">
        <v>145</v>
      </c>
      <c r="C343" s="236">
        <v>39801</v>
      </c>
      <c r="D343" s="235" t="s">
        <v>136</v>
      </c>
      <c r="E343" s="235" t="s">
        <v>146</v>
      </c>
      <c r="F343" s="237">
        <v>84</v>
      </c>
      <c r="G343" s="237">
        <v>1</v>
      </c>
      <c r="H343" s="237">
        <v>11</v>
      </c>
      <c r="I343" s="331">
        <v>998</v>
      </c>
      <c r="J343" s="238">
        <v>159</v>
      </c>
      <c r="K343" s="238">
        <f>J343/G343</f>
        <v>159</v>
      </c>
      <c r="L343" s="239">
        <f>IF(I343&lt;&gt;0,I343/J343,"")</f>
        <v>6.276729559748428</v>
      </c>
      <c r="M343" s="331">
        <f>369313.5+145108.5+43813+31258+11772.5+5392.5+2080+3225+50+354+998</f>
        <v>613365</v>
      </c>
      <c r="N343" s="238">
        <f>41017+16460+6346+5364+2357+1094+419+545+10+69+159</f>
        <v>73840</v>
      </c>
      <c r="O343" s="241">
        <f>+M343/N343</f>
        <v>8.306676598049837</v>
      </c>
      <c r="P343" s="266">
        <v>1</v>
      </c>
    </row>
    <row r="344" spans="1:16" ht="15">
      <c r="A344" s="66">
        <v>341</v>
      </c>
      <c r="B344" s="49" t="s">
        <v>47</v>
      </c>
      <c r="C344" s="40">
        <v>39780</v>
      </c>
      <c r="D344" s="45" t="s">
        <v>134</v>
      </c>
      <c r="E344" s="44" t="s">
        <v>33</v>
      </c>
      <c r="F344" s="41">
        <v>6</v>
      </c>
      <c r="G344" s="41">
        <v>2</v>
      </c>
      <c r="H344" s="41">
        <v>6</v>
      </c>
      <c r="I344" s="327">
        <v>997</v>
      </c>
      <c r="J344" s="328">
        <v>230</v>
      </c>
      <c r="K344" s="140">
        <f>(J344/G344)</f>
        <v>115</v>
      </c>
      <c r="L344" s="141">
        <f>I344/J344</f>
        <v>4.334782608695652</v>
      </c>
      <c r="M344" s="327">
        <f>25457+3030+1123+7370+430+997</f>
        <v>38407</v>
      </c>
      <c r="N344" s="328">
        <f>2151+404+165+1079+59+230</f>
        <v>4088</v>
      </c>
      <c r="O344" s="105">
        <f>M344/N344</f>
        <v>9.395058708414872</v>
      </c>
      <c r="P344" s="255">
        <v>1</v>
      </c>
    </row>
    <row r="345" spans="1:16" ht="15">
      <c r="A345" s="66">
        <v>342</v>
      </c>
      <c r="B345" s="240" t="s">
        <v>149</v>
      </c>
      <c r="C345" s="236">
        <v>39801</v>
      </c>
      <c r="D345" s="235" t="s">
        <v>4</v>
      </c>
      <c r="E345" s="235" t="s">
        <v>77</v>
      </c>
      <c r="F345" s="237">
        <v>19</v>
      </c>
      <c r="G345" s="237">
        <v>3</v>
      </c>
      <c r="H345" s="237">
        <v>7</v>
      </c>
      <c r="I345" s="331">
        <v>996</v>
      </c>
      <c r="J345" s="238">
        <v>189</v>
      </c>
      <c r="K345" s="238">
        <f>J345/G345</f>
        <v>63</v>
      </c>
      <c r="L345" s="239">
        <f>I345/J345</f>
        <v>5.26984126984127</v>
      </c>
      <c r="M345" s="331">
        <v>138889</v>
      </c>
      <c r="N345" s="238">
        <v>13079</v>
      </c>
      <c r="O345" s="241">
        <f aca="true" t="shared" si="20" ref="O345:O352">+M345/N345</f>
        <v>10.619236944720544</v>
      </c>
      <c r="P345" s="247">
        <v>1</v>
      </c>
    </row>
    <row r="346" spans="1:16" ht="15">
      <c r="A346" s="66">
        <v>343</v>
      </c>
      <c r="B346" s="49" t="s">
        <v>70</v>
      </c>
      <c r="C346" s="39">
        <v>39766</v>
      </c>
      <c r="D346" s="44" t="s">
        <v>132</v>
      </c>
      <c r="E346" s="44" t="s">
        <v>71</v>
      </c>
      <c r="F346" s="41">
        <v>24</v>
      </c>
      <c r="G346" s="41">
        <v>1</v>
      </c>
      <c r="H346" s="41">
        <v>27</v>
      </c>
      <c r="I346" s="301">
        <v>990</v>
      </c>
      <c r="J346" s="138">
        <v>119</v>
      </c>
      <c r="K346" s="138">
        <f>J346/G346</f>
        <v>119</v>
      </c>
      <c r="L346" s="139">
        <f>I346/J346</f>
        <v>8.319327731092438</v>
      </c>
      <c r="M346" s="301">
        <f>191668+16358.5+8305+0.5+19699.5+16705.5+7289+4467+3138+2267+1882+6536+9273+1289+852+1124+2416+1164+28+80+1249+807+709+990</f>
        <v>298297</v>
      </c>
      <c r="N346" s="138">
        <f>10324+8249+7871+7121+4755+3362+1751+2958+2636+1185+800+596+440+265+961+1648+202+172+213+528+291+7+20+151+101+89+119</f>
        <v>56815</v>
      </c>
      <c r="O346" s="103">
        <f t="shared" si="20"/>
        <v>5.2503212179882075</v>
      </c>
      <c r="P346" s="253">
        <v>1</v>
      </c>
    </row>
    <row r="347" spans="1:16" ht="15">
      <c r="A347" s="66">
        <v>344</v>
      </c>
      <c r="B347" s="49" t="s">
        <v>268</v>
      </c>
      <c r="C347" s="39">
        <v>39724</v>
      </c>
      <c r="D347" s="44" t="s">
        <v>132</v>
      </c>
      <c r="E347" s="44" t="s">
        <v>107</v>
      </c>
      <c r="F347" s="41">
        <v>40</v>
      </c>
      <c r="G347" s="41">
        <v>1</v>
      </c>
      <c r="H347" s="41">
        <v>17</v>
      </c>
      <c r="I347" s="301">
        <v>988</v>
      </c>
      <c r="J347" s="138">
        <v>109</v>
      </c>
      <c r="K347" s="138">
        <f>J347/G347</f>
        <v>109</v>
      </c>
      <c r="L347" s="139">
        <f>+I347/J347</f>
        <v>9.064220183486238</v>
      </c>
      <c r="M347" s="301">
        <f>192113+96740+52854+14954+6896+10470+13434+2509+289+62+1274+1363+35+40+325+988</f>
        <v>394346</v>
      </c>
      <c r="N347" s="138">
        <f>19993+10602+7693+2633+1151+1896+3059+485+49+7+235+227+5+7+65+109</f>
        <v>48216</v>
      </c>
      <c r="O347" s="103">
        <f t="shared" si="20"/>
        <v>8.178737348597975</v>
      </c>
      <c r="P347" s="254">
        <v>1</v>
      </c>
    </row>
    <row r="348" spans="1:16" ht="15">
      <c r="A348" s="66">
        <v>345</v>
      </c>
      <c r="B348" s="49" t="s">
        <v>486</v>
      </c>
      <c r="C348" s="39">
        <v>39703</v>
      </c>
      <c r="D348" s="44" t="s">
        <v>4</v>
      </c>
      <c r="E348" s="44" t="s">
        <v>77</v>
      </c>
      <c r="F348" s="41">
        <v>5</v>
      </c>
      <c r="G348" s="41">
        <v>3</v>
      </c>
      <c r="H348" s="41">
        <v>53</v>
      </c>
      <c r="I348" s="301">
        <v>974</v>
      </c>
      <c r="J348" s="138">
        <v>166</v>
      </c>
      <c r="K348" s="138">
        <f>+J348/G348</f>
        <v>55.333333333333336</v>
      </c>
      <c r="L348" s="139">
        <f aca="true" t="shared" si="21" ref="L348:L353">I348/J348</f>
        <v>5.867469879518072</v>
      </c>
      <c r="M348" s="301">
        <v>79349</v>
      </c>
      <c r="N348" s="138">
        <v>7559</v>
      </c>
      <c r="O348" s="103">
        <f t="shared" si="20"/>
        <v>10.49728800105834</v>
      </c>
      <c r="P348" s="253"/>
    </row>
    <row r="349" spans="1:16" ht="15">
      <c r="A349" s="66">
        <v>346</v>
      </c>
      <c r="B349" s="240" t="s">
        <v>20</v>
      </c>
      <c r="C349" s="236">
        <v>39773</v>
      </c>
      <c r="D349" s="235" t="s">
        <v>132</v>
      </c>
      <c r="E349" s="235" t="s">
        <v>21</v>
      </c>
      <c r="F349" s="237">
        <v>2</v>
      </c>
      <c r="G349" s="237">
        <v>2</v>
      </c>
      <c r="H349" s="237">
        <v>6</v>
      </c>
      <c r="I349" s="331">
        <v>969</v>
      </c>
      <c r="J349" s="238">
        <v>210</v>
      </c>
      <c r="K349" s="238">
        <f aca="true" t="shared" si="22" ref="K349:K361">J349/G349</f>
        <v>105</v>
      </c>
      <c r="L349" s="239">
        <f t="shared" si="21"/>
        <v>4.614285714285714</v>
      </c>
      <c r="M349" s="331">
        <f>43532.5+13875+1400+341+344+969</f>
        <v>60461.5</v>
      </c>
      <c r="N349" s="238">
        <f>3969+1359+251+52+61+210</f>
        <v>5902</v>
      </c>
      <c r="O349" s="241">
        <f t="shared" si="20"/>
        <v>10.244239240935276</v>
      </c>
      <c r="P349" s="255"/>
    </row>
    <row r="350" spans="1:16" ht="15">
      <c r="A350" s="66">
        <v>347</v>
      </c>
      <c r="B350" s="49" t="s">
        <v>287</v>
      </c>
      <c r="C350" s="39">
        <v>39521</v>
      </c>
      <c r="D350" s="44" t="s">
        <v>197</v>
      </c>
      <c r="E350" s="44" t="s">
        <v>453</v>
      </c>
      <c r="F350" s="41">
        <v>42</v>
      </c>
      <c r="G350" s="41">
        <v>1</v>
      </c>
      <c r="H350" s="41">
        <v>20</v>
      </c>
      <c r="I350" s="301">
        <v>949</v>
      </c>
      <c r="J350" s="138">
        <v>190</v>
      </c>
      <c r="K350" s="138">
        <f t="shared" si="22"/>
        <v>190</v>
      </c>
      <c r="L350" s="139">
        <f t="shared" si="21"/>
        <v>4.994736842105263</v>
      </c>
      <c r="M350" s="301">
        <v>1596882</v>
      </c>
      <c r="N350" s="138">
        <v>196213</v>
      </c>
      <c r="O350" s="103">
        <f t="shared" si="20"/>
        <v>8.138512738707425</v>
      </c>
      <c r="P350" s="253">
        <v>1</v>
      </c>
    </row>
    <row r="351" spans="1:16" ht="15">
      <c r="A351" s="66">
        <v>348</v>
      </c>
      <c r="B351" s="49" t="s">
        <v>161</v>
      </c>
      <c r="C351" s="39">
        <v>39766</v>
      </c>
      <c r="D351" s="44" t="s">
        <v>279</v>
      </c>
      <c r="E351" s="44" t="s">
        <v>198</v>
      </c>
      <c r="F351" s="41">
        <v>50</v>
      </c>
      <c r="G351" s="41">
        <v>1</v>
      </c>
      <c r="H351" s="41">
        <v>26</v>
      </c>
      <c r="I351" s="301">
        <v>949</v>
      </c>
      <c r="J351" s="138">
        <v>190</v>
      </c>
      <c r="K351" s="138">
        <f t="shared" si="22"/>
        <v>190</v>
      </c>
      <c r="L351" s="139">
        <f t="shared" si="21"/>
        <v>4.994736842105263</v>
      </c>
      <c r="M351" s="301">
        <v>245936</v>
      </c>
      <c r="N351" s="138">
        <v>37351</v>
      </c>
      <c r="O351" s="103">
        <f t="shared" si="20"/>
        <v>6.584455570131991</v>
      </c>
      <c r="P351" s="247">
        <v>1</v>
      </c>
    </row>
    <row r="352" spans="1:16" ht="15">
      <c r="A352" s="66">
        <v>349</v>
      </c>
      <c r="B352" s="49" t="s">
        <v>161</v>
      </c>
      <c r="C352" s="39">
        <v>39766</v>
      </c>
      <c r="D352" s="44" t="s">
        <v>197</v>
      </c>
      <c r="E352" s="44" t="s">
        <v>198</v>
      </c>
      <c r="F352" s="41">
        <v>50</v>
      </c>
      <c r="G352" s="41">
        <v>1</v>
      </c>
      <c r="H352" s="41">
        <v>25</v>
      </c>
      <c r="I352" s="301">
        <v>949</v>
      </c>
      <c r="J352" s="138">
        <v>190</v>
      </c>
      <c r="K352" s="138">
        <f t="shared" si="22"/>
        <v>190</v>
      </c>
      <c r="L352" s="139">
        <f t="shared" si="21"/>
        <v>4.994736842105263</v>
      </c>
      <c r="M352" s="301">
        <v>244987</v>
      </c>
      <c r="N352" s="138">
        <v>37161</v>
      </c>
      <c r="O352" s="103">
        <f t="shared" si="20"/>
        <v>6.592583622615107</v>
      </c>
      <c r="P352" s="254"/>
    </row>
    <row r="353" spans="1:16" ht="15">
      <c r="A353" s="66">
        <v>350</v>
      </c>
      <c r="B353" s="49" t="s">
        <v>409</v>
      </c>
      <c r="C353" s="39">
        <v>39577</v>
      </c>
      <c r="D353" s="44" t="s">
        <v>279</v>
      </c>
      <c r="E353" s="44" t="s">
        <v>410</v>
      </c>
      <c r="F353" s="41">
        <v>10</v>
      </c>
      <c r="G353" s="41">
        <v>1</v>
      </c>
      <c r="H353" s="41">
        <v>18</v>
      </c>
      <c r="I353" s="301">
        <v>949</v>
      </c>
      <c r="J353" s="138">
        <v>190</v>
      </c>
      <c r="K353" s="138">
        <f t="shared" si="22"/>
        <v>190</v>
      </c>
      <c r="L353" s="139">
        <f t="shared" si="21"/>
        <v>4.994736842105263</v>
      </c>
      <c r="M353" s="301">
        <v>101983</v>
      </c>
      <c r="N353" s="138">
        <v>11163</v>
      </c>
      <c r="O353" s="103">
        <f>M353/N353</f>
        <v>9.135805786974828</v>
      </c>
      <c r="P353" s="254">
        <v>1</v>
      </c>
    </row>
    <row r="354" spans="1:16" ht="15">
      <c r="A354" s="66">
        <v>351</v>
      </c>
      <c r="B354" s="275" t="s">
        <v>321</v>
      </c>
      <c r="C354" s="39">
        <v>39577</v>
      </c>
      <c r="D354" s="44" t="s">
        <v>131</v>
      </c>
      <c r="E354" s="44" t="s">
        <v>124</v>
      </c>
      <c r="F354" s="41">
        <v>52</v>
      </c>
      <c r="G354" s="41">
        <v>1</v>
      </c>
      <c r="H354" s="41">
        <v>51</v>
      </c>
      <c r="I354" s="332">
        <v>945</v>
      </c>
      <c r="J354" s="138">
        <v>350</v>
      </c>
      <c r="K354" s="138">
        <f t="shared" si="22"/>
        <v>350</v>
      </c>
      <c r="L354" s="273">
        <f>+I354/J354</f>
        <v>2.7</v>
      </c>
      <c r="M354" s="332">
        <v>258720</v>
      </c>
      <c r="N354" s="138">
        <v>34204</v>
      </c>
      <c r="O354" s="274">
        <f aca="true" t="shared" si="23" ref="O354:O361">+M354/N354</f>
        <v>7.564027599111215</v>
      </c>
      <c r="P354" s="255"/>
    </row>
    <row r="355" spans="1:16" ht="15">
      <c r="A355" s="66">
        <v>352</v>
      </c>
      <c r="B355" s="49" t="s">
        <v>307</v>
      </c>
      <c r="C355" s="39">
        <v>39556</v>
      </c>
      <c r="D355" s="44" t="s">
        <v>131</v>
      </c>
      <c r="E355" s="44" t="s">
        <v>43</v>
      </c>
      <c r="F355" s="41">
        <v>37</v>
      </c>
      <c r="G355" s="41">
        <v>1</v>
      </c>
      <c r="H355" s="41">
        <v>53</v>
      </c>
      <c r="I355" s="332">
        <v>945</v>
      </c>
      <c r="J355" s="138">
        <v>350</v>
      </c>
      <c r="K355" s="138">
        <f t="shared" si="22"/>
        <v>350</v>
      </c>
      <c r="L355" s="273">
        <f>+I355/J355</f>
        <v>2.7</v>
      </c>
      <c r="M355" s="332">
        <v>591266</v>
      </c>
      <c r="N355" s="138">
        <v>66803</v>
      </c>
      <c r="O355" s="274">
        <f t="shared" si="23"/>
        <v>8.85088993009296</v>
      </c>
      <c r="P355" s="255">
        <v>1</v>
      </c>
    </row>
    <row r="356" spans="1:16" ht="15">
      <c r="A356" s="66">
        <v>353</v>
      </c>
      <c r="B356" s="49" t="s">
        <v>445</v>
      </c>
      <c r="C356" s="39">
        <v>39808</v>
      </c>
      <c r="D356" s="44" t="s">
        <v>131</v>
      </c>
      <c r="E356" s="44" t="s">
        <v>111</v>
      </c>
      <c r="F356" s="41">
        <v>112</v>
      </c>
      <c r="G356" s="41">
        <v>2</v>
      </c>
      <c r="H356" s="41">
        <v>31</v>
      </c>
      <c r="I356" s="301">
        <v>923</v>
      </c>
      <c r="J356" s="138">
        <v>321</v>
      </c>
      <c r="K356" s="138">
        <f t="shared" si="22"/>
        <v>160.5</v>
      </c>
      <c r="L356" s="139">
        <f>I356/J356</f>
        <v>2.8753894080996885</v>
      </c>
      <c r="M356" s="301">
        <v>2067687</v>
      </c>
      <c r="N356" s="138">
        <v>218375</v>
      </c>
      <c r="O356" s="103">
        <f t="shared" si="23"/>
        <v>9.468515168860904</v>
      </c>
      <c r="P356" s="255">
        <v>1</v>
      </c>
    </row>
    <row r="357" spans="1:16" ht="15">
      <c r="A357" s="66">
        <v>354</v>
      </c>
      <c r="B357" s="240" t="s">
        <v>57</v>
      </c>
      <c r="C357" s="236">
        <v>39745</v>
      </c>
      <c r="D357" s="235" t="s">
        <v>131</v>
      </c>
      <c r="E357" s="235" t="s">
        <v>32</v>
      </c>
      <c r="F357" s="237">
        <v>57</v>
      </c>
      <c r="G357" s="237">
        <v>1</v>
      </c>
      <c r="H357" s="237">
        <v>24</v>
      </c>
      <c r="I357" s="331">
        <v>913</v>
      </c>
      <c r="J357" s="238">
        <v>138</v>
      </c>
      <c r="K357" s="238">
        <f t="shared" si="22"/>
        <v>138</v>
      </c>
      <c r="L357" s="239">
        <f>+I357/J357</f>
        <v>6.615942028985507</v>
      </c>
      <c r="M357" s="331">
        <v>1172773</v>
      </c>
      <c r="N357" s="238">
        <v>127283</v>
      </c>
      <c r="O357" s="241">
        <f t="shared" si="23"/>
        <v>9.213901306537402</v>
      </c>
      <c r="P357" s="255">
        <v>1</v>
      </c>
    </row>
    <row r="358" spans="1:16" ht="15">
      <c r="A358" s="66">
        <v>355</v>
      </c>
      <c r="B358" s="49" t="s">
        <v>56</v>
      </c>
      <c r="C358" s="39">
        <v>39745</v>
      </c>
      <c r="D358" s="44" t="s">
        <v>136</v>
      </c>
      <c r="E358" s="44" t="s">
        <v>46</v>
      </c>
      <c r="F358" s="41">
        <v>104</v>
      </c>
      <c r="G358" s="41">
        <v>3</v>
      </c>
      <c r="H358" s="41">
        <v>27</v>
      </c>
      <c r="I358" s="301">
        <v>908.25</v>
      </c>
      <c r="J358" s="138">
        <v>145</v>
      </c>
      <c r="K358" s="138">
        <f t="shared" si="22"/>
        <v>48.333333333333336</v>
      </c>
      <c r="L358" s="139">
        <f>+I358/J358</f>
        <v>6.2637931034482754</v>
      </c>
      <c r="M358" s="301">
        <v>2770877.25</v>
      </c>
      <c r="N358" s="138">
        <v>370277</v>
      </c>
      <c r="O358" s="103">
        <f t="shared" si="23"/>
        <v>7.48325510361162</v>
      </c>
      <c r="P358" s="255"/>
    </row>
    <row r="359" spans="1:16" ht="15">
      <c r="A359" s="66">
        <v>356</v>
      </c>
      <c r="B359" s="240" t="s">
        <v>57</v>
      </c>
      <c r="C359" s="236">
        <v>39745</v>
      </c>
      <c r="D359" s="235" t="s">
        <v>131</v>
      </c>
      <c r="E359" s="235" t="s">
        <v>32</v>
      </c>
      <c r="F359" s="237">
        <v>57</v>
      </c>
      <c r="G359" s="237">
        <v>1</v>
      </c>
      <c r="H359" s="237">
        <v>23</v>
      </c>
      <c r="I359" s="331">
        <v>908</v>
      </c>
      <c r="J359" s="238">
        <v>141</v>
      </c>
      <c r="K359" s="238">
        <f t="shared" si="22"/>
        <v>141</v>
      </c>
      <c r="L359" s="239">
        <f>+I359/J359</f>
        <v>6.439716312056738</v>
      </c>
      <c r="M359" s="331">
        <v>1171860</v>
      </c>
      <c r="N359" s="238">
        <v>127145</v>
      </c>
      <c r="O359" s="241">
        <f t="shared" si="23"/>
        <v>9.216721066498879</v>
      </c>
      <c r="P359" s="255">
        <v>1</v>
      </c>
    </row>
    <row r="360" spans="1:16" ht="15">
      <c r="A360" s="66">
        <v>357</v>
      </c>
      <c r="B360" s="275" t="s">
        <v>44</v>
      </c>
      <c r="C360" s="39">
        <v>39780</v>
      </c>
      <c r="D360" s="44" t="s">
        <v>131</v>
      </c>
      <c r="E360" s="44" t="s">
        <v>127</v>
      </c>
      <c r="F360" s="41">
        <v>121</v>
      </c>
      <c r="G360" s="41">
        <v>3</v>
      </c>
      <c r="H360" s="41">
        <v>26</v>
      </c>
      <c r="I360" s="332">
        <v>898</v>
      </c>
      <c r="J360" s="138">
        <v>172</v>
      </c>
      <c r="K360" s="138">
        <f t="shared" si="22"/>
        <v>57.333333333333336</v>
      </c>
      <c r="L360" s="273">
        <f>I360/J360</f>
        <v>5.22093023255814</v>
      </c>
      <c r="M360" s="332">
        <v>3471068</v>
      </c>
      <c r="N360" s="138">
        <v>409931</v>
      </c>
      <c r="O360" s="274">
        <f t="shared" si="23"/>
        <v>8.467444521151121</v>
      </c>
      <c r="P360" s="255"/>
    </row>
    <row r="361" spans="1:16" ht="15">
      <c r="A361" s="66">
        <v>358</v>
      </c>
      <c r="B361" s="275" t="s">
        <v>44</v>
      </c>
      <c r="C361" s="39">
        <v>39780</v>
      </c>
      <c r="D361" s="44" t="s">
        <v>131</v>
      </c>
      <c r="E361" s="44" t="s">
        <v>127</v>
      </c>
      <c r="F361" s="41">
        <v>121</v>
      </c>
      <c r="G361" s="41">
        <v>3</v>
      </c>
      <c r="H361" s="41">
        <v>23</v>
      </c>
      <c r="I361" s="332">
        <v>893</v>
      </c>
      <c r="J361" s="138">
        <v>165</v>
      </c>
      <c r="K361" s="138">
        <f t="shared" si="22"/>
        <v>55</v>
      </c>
      <c r="L361" s="273">
        <f>+I361/J361</f>
        <v>5.412121212121212</v>
      </c>
      <c r="M361" s="332">
        <v>3467591</v>
      </c>
      <c r="N361" s="138">
        <v>408818</v>
      </c>
      <c r="O361" s="274">
        <f t="shared" si="23"/>
        <v>8.481991986654208</v>
      </c>
      <c r="P361" s="255">
        <v>1</v>
      </c>
    </row>
    <row r="362" spans="1:16" ht="15">
      <c r="A362" s="66">
        <v>359</v>
      </c>
      <c r="B362" s="49" t="s">
        <v>52</v>
      </c>
      <c r="C362" s="40">
        <v>39738</v>
      </c>
      <c r="D362" s="45" t="s">
        <v>134</v>
      </c>
      <c r="E362" s="44" t="s">
        <v>133</v>
      </c>
      <c r="F362" s="41">
        <v>65</v>
      </c>
      <c r="G362" s="41">
        <v>4</v>
      </c>
      <c r="H362" s="41">
        <v>11</v>
      </c>
      <c r="I362" s="327">
        <v>891</v>
      </c>
      <c r="J362" s="328">
        <v>149</v>
      </c>
      <c r="K362" s="140">
        <f>(J362/G362)</f>
        <v>37.25</v>
      </c>
      <c r="L362" s="141">
        <f>I362/J362</f>
        <v>5.97986577181208</v>
      </c>
      <c r="M362" s="327">
        <f>502954.7+385847+127398.5+41644+35371+15703.5+9494+704+1120.5+952+891</f>
        <v>1122080.2</v>
      </c>
      <c r="N362" s="328">
        <f>51438+39611+14487+7156+6343+2488+1591+176+567+238+149</f>
        <v>124244</v>
      </c>
      <c r="O362" s="105">
        <f>M362/N362</f>
        <v>9.03126267666849</v>
      </c>
      <c r="P362" s="255">
        <v>1</v>
      </c>
    </row>
    <row r="363" spans="1:16" ht="15">
      <c r="A363" s="66">
        <v>360</v>
      </c>
      <c r="B363" s="49" t="s">
        <v>44</v>
      </c>
      <c r="C363" s="39">
        <v>39780</v>
      </c>
      <c r="D363" s="44" t="s">
        <v>131</v>
      </c>
      <c r="E363" s="44" t="s">
        <v>127</v>
      </c>
      <c r="F363" s="41">
        <v>121</v>
      </c>
      <c r="G363" s="41">
        <v>2</v>
      </c>
      <c r="H363" s="41">
        <v>31</v>
      </c>
      <c r="I363" s="301">
        <v>889</v>
      </c>
      <c r="J363" s="138">
        <v>207</v>
      </c>
      <c r="K363" s="138">
        <f>J363/G363</f>
        <v>103.5</v>
      </c>
      <c r="L363" s="139">
        <f>+I363/J363</f>
        <v>4.294685990338165</v>
      </c>
      <c r="M363" s="301">
        <v>3473426</v>
      </c>
      <c r="N363" s="138">
        <v>410643</v>
      </c>
      <c r="O363" s="103">
        <f>+M363/N363</f>
        <v>8.458505319705925</v>
      </c>
      <c r="P363" s="254">
        <v>1</v>
      </c>
    </row>
    <row r="364" spans="1:16" ht="15">
      <c r="A364" s="66">
        <v>361</v>
      </c>
      <c r="B364" s="233" t="s">
        <v>47</v>
      </c>
      <c r="C364" s="40">
        <v>39780</v>
      </c>
      <c r="D364" s="126" t="s">
        <v>134</v>
      </c>
      <c r="E364" s="226" t="s">
        <v>33</v>
      </c>
      <c r="F364" s="227">
        <v>6</v>
      </c>
      <c r="G364" s="227">
        <v>2</v>
      </c>
      <c r="H364" s="227">
        <v>8</v>
      </c>
      <c r="I364" s="325">
        <v>886</v>
      </c>
      <c r="J364" s="326">
        <v>213</v>
      </c>
      <c r="K364" s="232">
        <f>(J364/G364)</f>
        <v>106.5</v>
      </c>
      <c r="L364" s="141">
        <f>I364/J364</f>
        <v>4.15962441314554</v>
      </c>
      <c r="M364" s="325">
        <f>25457+3030+1123+7370+430+997+6202+886</f>
        <v>45495</v>
      </c>
      <c r="N364" s="326">
        <f>2151+404+165+1079+59+230+1523+213</f>
        <v>5824</v>
      </c>
      <c r="O364" s="105">
        <f>M364/N364</f>
        <v>7.811641483516484</v>
      </c>
      <c r="P364" s="255"/>
    </row>
    <row r="365" spans="1:16" ht="15">
      <c r="A365" s="66">
        <v>362</v>
      </c>
      <c r="B365" s="275" t="s">
        <v>44</v>
      </c>
      <c r="C365" s="39">
        <v>39780</v>
      </c>
      <c r="D365" s="44" t="s">
        <v>131</v>
      </c>
      <c r="E365" s="44" t="s">
        <v>127</v>
      </c>
      <c r="F365" s="41">
        <v>121</v>
      </c>
      <c r="G365" s="41">
        <v>2</v>
      </c>
      <c r="H365" s="41">
        <v>22</v>
      </c>
      <c r="I365" s="332">
        <v>885</v>
      </c>
      <c r="J365" s="138">
        <v>145</v>
      </c>
      <c r="K365" s="138">
        <f>J365/G365</f>
        <v>72.5</v>
      </c>
      <c r="L365" s="273">
        <f>+I365/J365</f>
        <v>6.103448275862069</v>
      </c>
      <c r="M365" s="332">
        <v>3466352</v>
      </c>
      <c r="N365" s="138">
        <v>408585</v>
      </c>
      <c r="O365" s="274">
        <f>+M365/N365</f>
        <v>8.483796517248553</v>
      </c>
      <c r="P365" s="253"/>
    </row>
    <row r="366" spans="1:16" ht="15">
      <c r="A366" s="66">
        <v>363</v>
      </c>
      <c r="B366" s="233" t="s">
        <v>73</v>
      </c>
      <c r="C366" s="40">
        <v>39772</v>
      </c>
      <c r="D366" s="126" t="s">
        <v>134</v>
      </c>
      <c r="E366" s="226" t="s">
        <v>105</v>
      </c>
      <c r="F366" s="227">
        <v>195</v>
      </c>
      <c r="G366" s="227">
        <v>2</v>
      </c>
      <c r="H366" s="227">
        <v>10</v>
      </c>
      <c r="I366" s="325">
        <v>882</v>
      </c>
      <c r="J366" s="326">
        <v>202</v>
      </c>
      <c r="K366" s="232">
        <f>(J366/G366)</f>
        <v>101</v>
      </c>
      <c r="L366" s="141">
        <f>I366/J366</f>
        <v>4.366336633663367</v>
      </c>
      <c r="M366" s="325">
        <f>1011017+512350.5+217314+64545+38656.5+8087+9376.5+5786+2876+882</f>
        <v>1870890.5</v>
      </c>
      <c r="N366" s="326">
        <f>136878+68007+31396+9807+8372+1564+2234+1216+601+202</f>
        <v>260277</v>
      </c>
      <c r="O366" s="105">
        <f>M366/N366</f>
        <v>7.188074628184588</v>
      </c>
      <c r="P366" s="255">
        <v>1</v>
      </c>
    </row>
    <row r="367" spans="1:16" ht="15">
      <c r="A367" s="66">
        <v>364</v>
      </c>
      <c r="B367" s="49" t="s">
        <v>26</v>
      </c>
      <c r="C367" s="39">
        <v>39808</v>
      </c>
      <c r="D367" s="44" t="s">
        <v>134</v>
      </c>
      <c r="E367" s="44" t="s">
        <v>133</v>
      </c>
      <c r="F367" s="41">
        <v>75</v>
      </c>
      <c r="G367" s="41">
        <v>1</v>
      </c>
      <c r="H367" s="41">
        <v>18</v>
      </c>
      <c r="I367" s="301">
        <v>873</v>
      </c>
      <c r="J367" s="138">
        <v>181</v>
      </c>
      <c r="K367" s="138">
        <f>(J367/G367)</f>
        <v>181</v>
      </c>
      <c r="L367" s="139">
        <f>I367/J367</f>
        <v>4.823204419889502</v>
      </c>
      <c r="M367" s="301">
        <f>681566+578530+317284.5+141025.5+34373.5+6375+4225+7402.5+1014+4479+2688+2267+1765+1219+204+316+300+873</f>
        <v>1785907</v>
      </c>
      <c r="N367" s="138">
        <f>64102+57106+32401+16644+4655+1030+644+1623+143+828+480+469+323+195+43+62+60+181</f>
        <v>180989</v>
      </c>
      <c r="O367" s="103">
        <f>M367/N367</f>
        <v>9.867489184425573</v>
      </c>
      <c r="P367" s="247">
        <v>1</v>
      </c>
    </row>
    <row r="368" spans="1:16" ht="15">
      <c r="A368" s="66">
        <v>365</v>
      </c>
      <c r="B368" s="48" t="s">
        <v>55</v>
      </c>
      <c r="C368" s="39">
        <v>39750</v>
      </c>
      <c r="D368" s="43" t="s">
        <v>130</v>
      </c>
      <c r="E368" s="42" t="s">
        <v>30</v>
      </c>
      <c r="F368" s="54">
        <v>198</v>
      </c>
      <c r="G368" s="54">
        <v>2</v>
      </c>
      <c r="H368" s="54">
        <v>13</v>
      </c>
      <c r="I368" s="327">
        <v>864</v>
      </c>
      <c r="J368" s="328">
        <v>322</v>
      </c>
      <c r="K368" s="140">
        <f>J368/G368</f>
        <v>161</v>
      </c>
      <c r="L368" s="141">
        <f>I368/J368</f>
        <v>2.6832298136645965</v>
      </c>
      <c r="M368" s="327">
        <f>4975832+1882135+1034271+412191+151618-1635+10999+12408+14293+6423+2375+2787+864</f>
        <v>8504561</v>
      </c>
      <c r="N368" s="328">
        <f>642956+245951+129523+51207+21082-161+1623+2391+2711+1404+495+717+322</f>
        <v>1100221</v>
      </c>
      <c r="O368" s="105">
        <f>+M368/N368</f>
        <v>7.729866090539992</v>
      </c>
      <c r="P368" s="255"/>
    </row>
    <row r="369" spans="1:16" ht="15">
      <c r="A369" s="66">
        <v>366</v>
      </c>
      <c r="B369" s="49" t="s">
        <v>309</v>
      </c>
      <c r="C369" s="39">
        <v>39542</v>
      </c>
      <c r="D369" s="44" t="s">
        <v>4</v>
      </c>
      <c r="E369" s="44" t="s">
        <v>77</v>
      </c>
      <c r="F369" s="41">
        <v>25</v>
      </c>
      <c r="G369" s="41">
        <v>1</v>
      </c>
      <c r="H369" s="41">
        <v>42</v>
      </c>
      <c r="I369" s="332">
        <v>860</v>
      </c>
      <c r="J369" s="138">
        <v>199</v>
      </c>
      <c r="K369" s="138">
        <f>+J369/G369</f>
        <v>199</v>
      </c>
      <c r="L369" s="273">
        <f>+I369/J369</f>
        <v>4.321608040201005</v>
      </c>
      <c r="M369" s="332">
        <v>179895</v>
      </c>
      <c r="N369" s="138">
        <v>19678</v>
      </c>
      <c r="O369" s="274">
        <f>+M369/N369</f>
        <v>9.14193515601179</v>
      </c>
      <c r="P369" s="298"/>
    </row>
    <row r="370" spans="1:16" ht="15">
      <c r="A370" s="66">
        <v>367</v>
      </c>
      <c r="B370" s="240" t="s">
        <v>202</v>
      </c>
      <c r="C370" s="236">
        <v>39808</v>
      </c>
      <c r="D370" s="235" t="s">
        <v>131</v>
      </c>
      <c r="E370" s="235" t="s">
        <v>124</v>
      </c>
      <c r="F370" s="237">
        <v>34</v>
      </c>
      <c r="G370" s="237">
        <v>1</v>
      </c>
      <c r="H370" s="237">
        <v>10</v>
      </c>
      <c r="I370" s="331">
        <v>856</v>
      </c>
      <c r="J370" s="238">
        <v>129</v>
      </c>
      <c r="K370" s="238">
        <f>J370/G370</f>
        <v>129</v>
      </c>
      <c r="L370" s="239">
        <f>+I370/J370</f>
        <v>6.635658914728682</v>
      </c>
      <c r="M370" s="331">
        <v>803840</v>
      </c>
      <c r="N370" s="238">
        <v>90331</v>
      </c>
      <c r="O370" s="241">
        <f>+M370/N370</f>
        <v>8.89882764499452</v>
      </c>
      <c r="P370" s="253"/>
    </row>
    <row r="371" spans="1:16" ht="15">
      <c r="A371" s="66">
        <v>368</v>
      </c>
      <c r="B371" s="240" t="s">
        <v>70</v>
      </c>
      <c r="C371" s="236">
        <v>39766</v>
      </c>
      <c r="D371" s="235" t="s">
        <v>132</v>
      </c>
      <c r="E371" s="235" t="s">
        <v>71</v>
      </c>
      <c r="F371" s="237">
        <v>1</v>
      </c>
      <c r="G371" s="237">
        <v>1</v>
      </c>
      <c r="H371" s="237">
        <v>18</v>
      </c>
      <c r="I371" s="331">
        <v>852</v>
      </c>
      <c r="J371" s="238">
        <v>172</v>
      </c>
      <c r="K371" s="238">
        <f>J371/G371</f>
        <v>172</v>
      </c>
      <c r="L371" s="239">
        <f>I371/J371</f>
        <v>4.953488372093023</v>
      </c>
      <c r="M371" s="331">
        <f>191668+16358.5+8305+0.5+19699.5+16705.5+7289+4467+3138+2267+1882+6536+9273+1289+852</f>
        <v>289730</v>
      </c>
      <c r="N371" s="238">
        <f>10324+8249+7871+7121+4755+3362+1751+2958+2636+1185+800+596+440+265+961+1648+202+172</f>
        <v>55296</v>
      </c>
      <c r="O371" s="241">
        <f>+M371/N371</f>
        <v>5.239619502314815</v>
      </c>
      <c r="P371" s="254"/>
    </row>
    <row r="372" spans="1:16" ht="15">
      <c r="A372" s="66">
        <v>369</v>
      </c>
      <c r="B372" s="240" t="s">
        <v>192</v>
      </c>
      <c r="C372" s="236">
        <v>39556</v>
      </c>
      <c r="D372" s="235" t="s">
        <v>132</v>
      </c>
      <c r="E372" s="235" t="s">
        <v>133</v>
      </c>
      <c r="F372" s="237">
        <v>1</v>
      </c>
      <c r="G372" s="237">
        <v>1</v>
      </c>
      <c r="H372" s="237">
        <v>20</v>
      </c>
      <c r="I372" s="331">
        <v>840</v>
      </c>
      <c r="J372" s="238">
        <v>117</v>
      </c>
      <c r="K372" s="238">
        <f>J372/G372</f>
        <v>117</v>
      </c>
      <c r="L372" s="239">
        <f>I372/J372</f>
        <v>7.17948717948718</v>
      </c>
      <c r="M372" s="331">
        <f>547723+268930+138072.5+72001+47770.5+20534.5+29707+9377+8368.5+23017+5732.5+1280+238+81+2408+580+1042+0.5+260+107+840</f>
        <v>1178070</v>
      </c>
      <c r="N372" s="238">
        <f>69527+33465+19378+11928+8462+4284+6759+1860+1698+5423+992+174+49+18+602+163+76+32+14+117</f>
        <v>165021</v>
      </c>
      <c r="O372" s="241">
        <f>+M372/N372</f>
        <v>7.138909593324486</v>
      </c>
      <c r="P372" s="255">
        <v>1</v>
      </c>
    </row>
    <row r="373" spans="1:16" ht="15">
      <c r="A373" s="66">
        <v>370</v>
      </c>
      <c r="B373" s="240" t="s">
        <v>67</v>
      </c>
      <c r="C373" s="236">
        <v>39759</v>
      </c>
      <c r="D373" s="235" t="s">
        <v>134</v>
      </c>
      <c r="E373" s="235" t="s">
        <v>223</v>
      </c>
      <c r="F373" s="237">
        <v>93</v>
      </c>
      <c r="G373" s="237">
        <v>1</v>
      </c>
      <c r="H373" s="237">
        <v>14</v>
      </c>
      <c r="I373" s="331">
        <v>832</v>
      </c>
      <c r="J373" s="238">
        <v>208</v>
      </c>
      <c r="K373" s="238">
        <f>(J373/G373)</f>
        <v>208</v>
      </c>
      <c r="L373" s="239">
        <f>I373/J373</f>
        <v>4</v>
      </c>
      <c r="M373" s="331">
        <f>224223+136351+27895+24212+1274+3482+7147+2804+5279+2025+2635+2196+1188+832</f>
        <v>441543</v>
      </c>
      <c r="N373" s="238">
        <f>27969+18593+4268+4646+311+857+1472+745+1285+386+636+549+297+208</f>
        <v>62222</v>
      </c>
      <c r="O373" s="241">
        <f>M373/N373</f>
        <v>7.096252129471891</v>
      </c>
      <c r="P373" s="255"/>
    </row>
    <row r="374" spans="1:16" ht="15">
      <c r="A374" s="66">
        <v>371</v>
      </c>
      <c r="B374" s="49" t="s">
        <v>380</v>
      </c>
      <c r="C374" s="39">
        <v>39696</v>
      </c>
      <c r="D374" s="44" t="s">
        <v>4</v>
      </c>
      <c r="E374" s="44" t="s">
        <v>112</v>
      </c>
      <c r="F374" s="41">
        <v>1</v>
      </c>
      <c r="G374" s="41">
        <v>1</v>
      </c>
      <c r="H374" s="41">
        <v>50</v>
      </c>
      <c r="I374" s="301">
        <v>831</v>
      </c>
      <c r="J374" s="138">
        <v>104</v>
      </c>
      <c r="K374" s="138">
        <f>+J374/G374</f>
        <v>104</v>
      </c>
      <c r="L374" s="139">
        <f>+I374/J374</f>
        <v>7.990384615384615</v>
      </c>
      <c r="M374" s="301">
        <v>7314</v>
      </c>
      <c r="N374" s="138">
        <v>710</v>
      </c>
      <c r="O374" s="103">
        <f>+M374/N374</f>
        <v>10.301408450704225</v>
      </c>
      <c r="P374" s="255">
        <v>1</v>
      </c>
    </row>
    <row r="375" spans="1:16" ht="15">
      <c r="A375" s="66">
        <v>372</v>
      </c>
      <c r="B375" s="49" t="s">
        <v>147</v>
      </c>
      <c r="C375" s="39">
        <v>39801</v>
      </c>
      <c r="D375" s="44" t="s">
        <v>134</v>
      </c>
      <c r="E375" s="44" t="s">
        <v>148</v>
      </c>
      <c r="F375" s="41">
        <v>42</v>
      </c>
      <c r="G375" s="41">
        <v>1</v>
      </c>
      <c r="H375" s="41">
        <v>25</v>
      </c>
      <c r="I375" s="301">
        <v>825</v>
      </c>
      <c r="J375" s="138">
        <v>165</v>
      </c>
      <c r="K375" s="138">
        <f>(J375/G375)</f>
        <v>165</v>
      </c>
      <c r="L375" s="139">
        <f>I375/J375</f>
        <v>5</v>
      </c>
      <c r="M375" s="301">
        <f>295344+204961.5+145464.5+116108.5+111972.5+49984+26327+32042+18579+20005+19180+15980+2686.5+3166.5+366+13433+4493+735.5+607.5+2528+83+198+248+2348+825</f>
        <v>1087666</v>
      </c>
      <c r="N375" s="138">
        <f>36142+24747+19417+15404+14719+7567+3314+5289+3173+3275+3534+2826+540+724+52+2536+882+130+150+615+21+66+51+497+165</f>
        <v>145836</v>
      </c>
      <c r="O375" s="103">
        <f>M375/N375</f>
        <v>7.458144765352862</v>
      </c>
      <c r="P375" s="255">
        <v>1</v>
      </c>
    </row>
    <row r="376" spans="1:16" ht="15">
      <c r="A376" s="66">
        <v>373</v>
      </c>
      <c r="B376" s="49" t="s">
        <v>428</v>
      </c>
      <c r="C376" s="39">
        <v>39766</v>
      </c>
      <c r="D376" s="44" t="s">
        <v>131</v>
      </c>
      <c r="E376" s="44" t="s">
        <v>111</v>
      </c>
      <c r="F376" s="41">
        <v>86</v>
      </c>
      <c r="G376" s="41">
        <v>2</v>
      </c>
      <c r="H376" s="41">
        <v>33</v>
      </c>
      <c r="I376" s="301">
        <v>810</v>
      </c>
      <c r="J376" s="138">
        <v>162</v>
      </c>
      <c r="K376" s="138">
        <f>J376/G376</f>
        <v>81</v>
      </c>
      <c r="L376" s="139">
        <f>+I376/J376</f>
        <v>5</v>
      </c>
      <c r="M376" s="301">
        <v>962851</v>
      </c>
      <c r="N376" s="138">
        <v>103638</v>
      </c>
      <c r="O376" s="103">
        <f>+M376/N376</f>
        <v>9.290520851425153</v>
      </c>
      <c r="P376" s="255"/>
    </row>
    <row r="377" spans="1:16" ht="15">
      <c r="A377" s="66">
        <v>374</v>
      </c>
      <c r="B377" s="49" t="s">
        <v>61</v>
      </c>
      <c r="C377" s="39">
        <v>39752</v>
      </c>
      <c r="D377" s="44" t="s">
        <v>134</v>
      </c>
      <c r="E377" s="44" t="s">
        <v>112</v>
      </c>
      <c r="F377" s="41">
        <v>27</v>
      </c>
      <c r="G377" s="41">
        <v>2</v>
      </c>
      <c r="H377" s="41">
        <v>16</v>
      </c>
      <c r="I377" s="301">
        <v>810</v>
      </c>
      <c r="J377" s="138">
        <v>89</v>
      </c>
      <c r="K377" s="138">
        <f>(J377/G377)</f>
        <v>44.5</v>
      </c>
      <c r="L377" s="139">
        <f>I377/J377</f>
        <v>9.101123595505618</v>
      </c>
      <c r="M377" s="301">
        <f>122635.5+51150+18262+4454+16388.5+1375+1246+204+334+67+36+416+360+344+804+810</f>
        <v>218886</v>
      </c>
      <c r="N377" s="138">
        <f>11002+4826+2043+624+2156+227+195+32+110+10+6+60+43+43+117+89</f>
        <v>21583</v>
      </c>
      <c r="O377" s="103">
        <f>M377/N377</f>
        <v>10.141592920353983</v>
      </c>
      <c r="P377" s="255">
        <v>1</v>
      </c>
    </row>
    <row r="378" spans="1:16" ht="15">
      <c r="A378" s="66">
        <v>375</v>
      </c>
      <c r="B378" s="275" t="s">
        <v>70</v>
      </c>
      <c r="C378" s="39">
        <v>39766</v>
      </c>
      <c r="D378" s="44" t="s">
        <v>132</v>
      </c>
      <c r="E378" s="44" t="s">
        <v>71</v>
      </c>
      <c r="F378" s="41">
        <v>24</v>
      </c>
      <c r="G378" s="41">
        <v>1</v>
      </c>
      <c r="H378" s="41">
        <v>25</v>
      </c>
      <c r="I378" s="332">
        <v>807</v>
      </c>
      <c r="J378" s="138">
        <v>101</v>
      </c>
      <c r="K378" s="138">
        <f>J378/G378</f>
        <v>101</v>
      </c>
      <c r="L378" s="273">
        <f>I378/J378</f>
        <v>7.99009900990099</v>
      </c>
      <c r="M378" s="332">
        <f>191668+16358.5+8305+0.5+19699.5+16705.5+7289+4467+3138+2267+1882+6536+9273+1289+852+1124+2416+1164+28+80+1249+807</f>
        <v>296598</v>
      </c>
      <c r="N378" s="138">
        <f>10324+8249+7871+7121+4755+3362+1751+2958+2636+1185+800+596+440+265+961+1648+202+172+213+528+291+7+20+151+101</f>
        <v>56607</v>
      </c>
      <c r="O378" s="274">
        <f>+M378/N378</f>
        <v>5.239599342837458</v>
      </c>
      <c r="P378" s="247">
        <v>1</v>
      </c>
    </row>
    <row r="379" spans="1:16" ht="15">
      <c r="A379" s="66">
        <v>376</v>
      </c>
      <c r="B379" s="49" t="s">
        <v>42</v>
      </c>
      <c r="C379" s="40">
        <v>39640</v>
      </c>
      <c r="D379" s="65" t="s">
        <v>131</v>
      </c>
      <c r="E379" s="65" t="s">
        <v>43</v>
      </c>
      <c r="F379" s="41">
        <v>137</v>
      </c>
      <c r="G379" s="41">
        <v>1</v>
      </c>
      <c r="H379" s="41">
        <v>25</v>
      </c>
      <c r="I379" s="301">
        <v>805</v>
      </c>
      <c r="J379" s="138">
        <v>350</v>
      </c>
      <c r="K379" s="138">
        <f>J379/G379</f>
        <v>350</v>
      </c>
      <c r="L379" s="139">
        <f>+I379/J379</f>
        <v>2.3</v>
      </c>
      <c r="M379" s="301">
        <v>1629170</v>
      </c>
      <c r="N379" s="138">
        <v>217304</v>
      </c>
      <c r="O379" s="103">
        <f>+M379/N379</f>
        <v>7.497192872657659</v>
      </c>
      <c r="P379" s="247">
        <v>1</v>
      </c>
    </row>
    <row r="380" spans="1:16" ht="15">
      <c r="A380" s="66">
        <v>377</v>
      </c>
      <c r="B380" s="275" t="s">
        <v>72</v>
      </c>
      <c r="C380" s="39">
        <v>39773</v>
      </c>
      <c r="D380" s="44" t="s">
        <v>131</v>
      </c>
      <c r="E380" s="44" t="s">
        <v>126</v>
      </c>
      <c r="F380" s="41">
        <v>204</v>
      </c>
      <c r="G380" s="41">
        <v>1</v>
      </c>
      <c r="H380" s="41">
        <v>23</v>
      </c>
      <c r="I380" s="332">
        <v>805</v>
      </c>
      <c r="J380" s="138">
        <v>161</v>
      </c>
      <c r="K380" s="138">
        <f>J380/G380</f>
        <v>161</v>
      </c>
      <c r="L380" s="273">
        <f>+I380/J380</f>
        <v>5</v>
      </c>
      <c r="M380" s="332">
        <v>11442948</v>
      </c>
      <c r="N380" s="138">
        <v>1417650</v>
      </c>
      <c r="O380" s="274">
        <f>+M380/N380</f>
        <v>8.071772299227595</v>
      </c>
      <c r="P380" s="255">
        <v>1</v>
      </c>
    </row>
    <row r="381" spans="1:16" ht="15">
      <c r="A381" s="66">
        <v>378</v>
      </c>
      <c r="B381" s="240" t="s">
        <v>25</v>
      </c>
      <c r="C381" s="236">
        <v>39808</v>
      </c>
      <c r="D381" s="235" t="s">
        <v>131</v>
      </c>
      <c r="E381" s="235" t="s">
        <v>111</v>
      </c>
      <c r="F381" s="237">
        <v>112</v>
      </c>
      <c r="G381" s="237">
        <v>2</v>
      </c>
      <c r="H381" s="237">
        <v>13</v>
      </c>
      <c r="I381" s="331">
        <v>805</v>
      </c>
      <c r="J381" s="238">
        <v>160</v>
      </c>
      <c r="K381" s="238">
        <f>J381/G381</f>
        <v>80</v>
      </c>
      <c r="L381" s="239">
        <f>I381/J381</f>
        <v>5.03125</v>
      </c>
      <c r="M381" s="331">
        <v>2042669</v>
      </c>
      <c r="N381" s="238">
        <v>210672</v>
      </c>
      <c r="O381" s="241">
        <f>+M381/N381</f>
        <v>9.695968140047087</v>
      </c>
      <c r="P381" s="255"/>
    </row>
    <row r="382" spans="1:16" ht="15">
      <c r="A382" s="66">
        <v>379</v>
      </c>
      <c r="B382" s="49" t="s">
        <v>61</v>
      </c>
      <c r="C382" s="39">
        <v>39752</v>
      </c>
      <c r="D382" s="44" t="s">
        <v>134</v>
      </c>
      <c r="E382" s="44" t="s">
        <v>112</v>
      </c>
      <c r="F382" s="41">
        <v>27</v>
      </c>
      <c r="G382" s="41">
        <v>3</v>
      </c>
      <c r="H382" s="41">
        <v>15</v>
      </c>
      <c r="I382" s="301">
        <v>804</v>
      </c>
      <c r="J382" s="138">
        <v>117</v>
      </c>
      <c r="K382" s="138">
        <f>(J382/G382)</f>
        <v>39</v>
      </c>
      <c r="L382" s="139">
        <f>I382/J382</f>
        <v>6.871794871794871</v>
      </c>
      <c r="M382" s="301">
        <f>122635.5+51150+18262+4454+16388.5+1375+1246+204+334+67+36+416+360+344+804</f>
        <v>218076</v>
      </c>
      <c r="N382" s="138">
        <f>11002+4826+2043+624+2156+227+195+32+110+10+6+60+43+43+117</f>
        <v>21494</v>
      </c>
      <c r="O382" s="103">
        <f>M382/N382</f>
        <v>10.145901181725133</v>
      </c>
      <c r="P382" s="254">
        <v>1</v>
      </c>
    </row>
    <row r="383" spans="1:16" ht="15">
      <c r="A383" s="66">
        <v>380</v>
      </c>
      <c r="B383" s="49" t="s">
        <v>445</v>
      </c>
      <c r="C383" s="39">
        <v>39808</v>
      </c>
      <c r="D383" s="44" t="s">
        <v>131</v>
      </c>
      <c r="E383" s="44" t="s">
        <v>111</v>
      </c>
      <c r="F383" s="41">
        <v>112</v>
      </c>
      <c r="G383" s="41">
        <v>2</v>
      </c>
      <c r="H383" s="41">
        <v>29</v>
      </c>
      <c r="I383" s="301">
        <v>801</v>
      </c>
      <c r="J383" s="138">
        <v>352</v>
      </c>
      <c r="K383" s="138">
        <f>J383/G383</f>
        <v>176</v>
      </c>
      <c r="L383" s="139">
        <f>I383/J383</f>
        <v>2.2755681818181817</v>
      </c>
      <c r="M383" s="301">
        <v>2066323</v>
      </c>
      <c r="N383" s="138">
        <v>217774</v>
      </c>
      <c r="O383" s="103">
        <f>+M383/N383</f>
        <v>9.488382451532322</v>
      </c>
      <c r="P383" s="255"/>
    </row>
    <row r="384" spans="1:16" ht="15">
      <c r="A384" s="66">
        <v>381</v>
      </c>
      <c r="B384" s="49" t="s">
        <v>57</v>
      </c>
      <c r="C384" s="40">
        <v>39745</v>
      </c>
      <c r="D384" s="65" t="s">
        <v>131</v>
      </c>
      <c r="E384" s="65" t="s">
        <v>32</v>
      </c>
      <c r="F384" s="41">
        <v>57</v>
      </c>
      <c r="G384" s="41">
        <v>1</v>
      </c>
      <c r="H384" s="41">
        <v>11</v>
      </c>
      <c r="I384" s="301">
        <v>801</v>
      </c>
      <c r="J384" s="138">
        <v>157</v>
      </c>
      <c r="K384" s="138">
        <f>J384/G384</f>
        <v>157</v>
      </c>
      <c r="L384" s="139">
        <f>+I384/J384</f>
        <v>5.101910828025478</v>
      </c>
      <c r="M384" s="301">
        <v>1167434</v>
      </c>
      <c r="N384" s="138">
        <v>125785</v>
      </c>
      <c r="O384" s="103">
        <f>+M384/N384</f>
        <v>9.281186150971896</v>
      </c>
      <c r="P384" s="255"/>
    </row>
    <row r="385" spans="1:16" ht="15">
      <c r="A385" s="66">
        <v>382</v>
      </c>
      <c r="B385" s="49" t="s">
        <v>411</v>
      </c>
      <c r="C385" s="39">
        <v>39535</v>
      </c>
      <c r="D385" s="44" t="s">
        <v>197</v>
      </c>
      <c r="E385" s="44" t="s">
        <v>412</v>
      </c>
      <c r="F385" s="41">
        <v>10</v>
      </c>
      <c r="G385" s="41">
        <v>1</v>
      </c>
      <c r="H385" s="41">
        <v>23</v>
      </c>
      <c r="I385" s="301">
        <v>800</v>
      </c>
      <c r="J385" s="138">
        <v>91</v>
      </c>
      <c r="K385" s="138">
        <f>J385/G385</f>
        <v>91</v>
      </c>
      <c r="L385" s="139">
        <f>I385/J385</f>
        <v>8.791208791208792</v>
      </c>
      <c r="M385" s="301">
        <v>201727</v>
      </c>
      <c r="N385" s="138">
        <v>23938</v>
      </c>
      <c r="O385" s="103">
        <f>M385/N385</f>
        <v>8.427061575737321</v>
      </c>
      <c r="P385" s="253">
        <v>1</v>
      </c>
    </row>
    <row r="386" spans="1:16" ht="15">
      <c r="A386" s="66">
        <v>383</v>
      </c>
      <c r="B386" s="49" t="s">
        <v>486</v>
      </c>
      <c r="C386" s="39">
        <v>39703</v>
      </c>
      <c r="D386" s="44" t="s">
        <v>4</v>
      </c>
      <c r="E386" s="44" t="s">
        <v>77</v>
      </c>
      <c r="F386" s="41">
        <v>5</v>
      </c>
      <c r="G386" s="41">
        <v>3</v>
      </c>
      <c r="H386" s="41">
        <v>52</v>
      </c>
      <c r="I386" s="301">
        <v>798</v>
      </c>
      <c r="J386" s="138">
        <v>139</v>
      </c>
      <c r="K386" s="138">
        <f>+J386/G386</f>
        <v>46.333333333333336</v>
      </c>
      <c r="L386" s="139">
        <f>+I386/J386</f>
        <v>5.741007194244604</v>
      </c>
      <c r="M386" s="301">
        <v>78375</v>
      </c>
      <c r="N386" s="138">
        <v>7393</v>
      </c>
      <c r="O386" s="103">
        <f aca="true" t="shared" si="24" ref="O386:O392">+M386/N386</f>
        <v>10.601244420397673</v>
      </c>
      <c r="P386" s="255"/>
    </row>
    <row r="387" spans="1:16" ht="15">
      <c r="A387" s="66">
        <v>384</v>
      </c>
      <c r="B387" s="240" t="s">
        <v>28</v>
      </c>
      <c r="C387" s="236">
        <v>39808</v>
      </c>
      <c r="D387" s="235" t="s">
        <v>132</v>
      </c>
      <c r="E387" s="235" t="s">
        <v>29</v>
      </c>
      <c r="F387" s="237">
        <v>1</v>
      </c>
      <c r="G387" s="237">
        <v>1</v>
      </c>
      <c r="H387" s="237">
        <v>6</v>
      </c>
      <c r="I387" s="331">
        <v>788</v>
      </c>
      <c r="J387" s="238">
        <v>263</v>
      </c>
      <c r="K387" s="238">
        <f aca="true" t="shared" si="25" ref="K387:K392">J387/G387</f>
        <v>263</v>
      </c>
      <c r="L387" s="239">
        <f>I387/J387</f>
        <v>2.9961977186311786</v>
      </c>
      <c r="M387" s="331">
        <f>173290.5+101994+52183.5+11344+1707+788</f>
        <v>341307</v>
      </c>
      <c r="N387" s="238">
        <f>23989+15166+8100+1911+346+263</f>
        <v>49775</v>
      </c>
      <c r="O387" s="241">
        <f t="shared" si="24"/>
        <v>6.856996484178804</v>
      </c>
      <c r="P387" s="247">
        <v>1</v>
      </c>
    </row>
    <row r="388" spans="1:16" ht="15">
      <c r="A388" s="66">
        <v>385</v>
      </c>
      <c r="B388" s="240" t="s">
        <v>202</v>
      </c>
      <c r="C388" s="236">
        <v>39808</v>
      </c>
      <c r="D388" s="235" t="s">
        <v>131</v>
      </c>
      <c r="E388" s="235" t="s">
        <v>124</v>
      </c>
      <c r="F388" s="237">
        <v>34</v>
      </c>
      <c r="G388" s="237">
        <v>2</v>
      </c>
      <c r="H388" s="237">
        <v>9</v>
      </c>
      <c r="I388" s="331">
        <v>787</v>
      </c>
      <c r="J388" s="238">
        <v>136</v>
      </c>
      <c r="K388" s="238">
        <f t="shared" si="25"/>
        <v>68</v>
      </c>
      <c r="L388" s="239">
        <f>+I388/J388</f>
        <v>5.786764705882353</v>
      </c>
      <c r="M388" s="331">
        <v>802984</v>
      </c>
      <c r="N388" s="238">
        <v>90202</v>
      </c>
      <c r="O388" s="241">
        <f t="shared" si="24"/>
        <v>8.902064255781468</v>
      </c>
      <c r="P388" s="255">
        <v>1</v>
      </c>
    </row>
    <row r="389" spans="1:16" ht="15">
      <c r="A389" s="66">
        <v>386</v>
      </c>
      <c r="B389" s="49" t="s">
        <v>64</v>
      </c>
      <c r="C389" s="39">
        <v>39759</v>
      </c>
      <c r="D389" s="44" t="s">
        <v>65</v>
      </c>
      <c r="E389" s="44" t="s">
        <v>66</v>
      </c>
      <c r="F389" s="41">
        <v>156</v>
      </c>
      <c r="G389" s="41">
        <v>2</v>
      </c>
      <c r="H389" s="41">
        <v>39</v>
      </c>
      <c r="I389" s="301">
        <v>780</v>
      </c>
      <c r="J389" s="138">
        <v>151</v>
      </c>
      <c r="K389" s="138">
        <f t="shared" si="25"/>
        <v>75.5</v>
      </c>
      <c r="L389" s="139">
        <f>+I389/J389</f>
        <v>5.1655629139072845</v>
      </c>
      <c r="M389" s="301">
        <v>23414358</v>
      </c>
      <c r="N389" s="138">
        <v>2787225</v>
      </c>
      <c r="O389" s="103">
        <f t="shared" si="24"/>
        <v>8.40059844468961</v>
      </c>
      <c r="P389" s="253"/>
    </row>
    <row r="390" spans="1:16" ht="15">
      <c r="A390" s="66">
        <v>387</v>
      </c>
      <c r="B390" s="275" t="s">
        <v>84</v>
      </c>
      <c r="C390" s="39">
        <v>39738</v>
      </c>
      <c r="D390" s="44" t="s">
        <v>130</v>
      </c>
      <c r="E390" s="44" t="s">
        <v>122</v>
      </c>
      <c r="F390" s="41">
        <v>52</v>
      </c>
      <c r="G390" s="41">
        <v>1</v>
      </c>
      <c r="H390" s="41">
        <v>12</v>
      </c>
      <c r="I390" s="332">
        <v>766</v>
      </c>
      <c r="J390" s="138">
        <v>125</v>
      </c>
      <c r="K390" s="138">
        <f t="shared" si="25"/>
        <v>125</v>
      </c>
      <c r="L390" s="273">
        <f>I390/J390</f>
        <v>6.128</v>
      </c>
      <c r="M390" s="332">
        <f>406562+322843+70349+13845+3121+7380+8038+2297+3564+114+392+766</f>
        <v>839271</v>
      </c>
      <c r="N390" s="138">
        <f>38224+30194+7191+2669+501+1117+1379+703+1188+19+67+125</f>
        <v>83377</v>
      </c>
      <c r="O390" s="274">
        <f t="shared" si="24"/>
        <v>10.065977427827818</v>
      </c>
      <c r="P390" s="253"/>
    </row>
    <row r="391" spans="1:16" ht="15">
      <c r="A391" s="66">
        <v>388</v>
      </c>
      <c r="B391" s="240" t="s">
        <v>23</v>
      </c>
      <c r="C391" s="236">
        <v>39808</v>
      </c>
      <c r="D391" s="235" t="s">
        <v>136</v>
      </c>
      <c r="E391" s="235" t="s">
        <v>24</v>
      </c>
      <c r="F391" s="237">
        <v>198</v>
      </c>
      <c r="G391" s="237">
        <v>1</v>
      </c>
      <c r="H391" s="237">
        <v>10</v>
      </c>
      <c r="I391" s="331">
        <v>765</v>
      </c>
      <c r="J391" s="238">
        <v>151</v>
      </c>
      <c r="K391" s="238">
        <f t="shared" si="25"/>
        <v>151</v>
      </c>
      <c r="L391" s="239">
        <f>IF(I391&lt;&gt;0,I391/J391,"")</f>
        <v>5.066225165562914</v>
      </c>
      <c r="M391" s="331">
        <f>909072+532572.5+214521.5+64908+15178.5+4216.5+2023+1098+1208+765</f>
        <v>1745563</v>
      </c>
      <c r="N391" s="238">
        <f>112486+67146+29772+10700+3086+733+452+228+242+151</f>
        <v>224996</v>
      </c>
      <c r="O391" s="241">
        <f t="shared" si="24"/>
        <v>7.758195701256911</v>
      </c>
      <c r="P391" s="255"/>
    </row>
    <row r="392" spans="1:16" ht="15">
      <c r="A392" s="66">
        <v>389</v>
      </c>
      <c r="B392" s="49" t="s">
        <v>486</v>
      </c>
      <c r="C392" s="39">
        <v>39703</v>
      </c>
      <c r="D392" s="44" t="s">
        <v>4</v>
      </c>
      <c r="E392" s="44" t="s">
        <v>77</v>
      </c>
      <c r="F392" s="41">
        <v>5</v>
      </c>
      <c r="G392" s="41">
        <v>3</v>
      </c>
      <c r="H392" s="41">
        <v>50</v>
      </c>
      <c r="I392" s="301">
        <v>757</v>
      </c>
      <c r="J392" s="138">
        <v>117</v>
      </c>
      <c r="K392" s="138">
        <f t="shared" si="25"/>
        <v>39</v>
      </c>
      <c r="L392" s="139">
        <f>I392/J392</f>
        <v>6.47008547008547</v>
      </c>
      <c r="M392" s="301">
        <v>77008</v>
      </c>
      <c r="N392" s="138">
        <v>7171</v>
      </c>
      <c r="O392" s="103">
        <f t="shared" si="24"/>
        <v>10.738809092176822</v>
      </c>
      <c r="P392" s="255"/>
    </row>
    <row r="393" spans="1:16" ht="15">
      <c r="A393" s="66">
        <v>390</v>
      </c>
      <c r="B393" s="275" t="s">
        <v>165</v>
      </c>
      <c r="C393" s="39">
        <v>39766</v>
      </c>
      <c r="D393" s="44" t="s">
        <v>279</v>
      </c>
      <c r="E393" s="44" t="s">
        <v>166</v>
      </c>
      <c r="F393" s="41">
        <v>17</v>
      </c>
      <c r="G393" s="41">
        <v>1</v>
      </c>
      <c r="H393" s="41">
        <v>19</v>
      </c>
      <c r="I393" s="332">
        <v>755</v>
      </c>
      <c r="J393" s="138">
        <v>133</v>
      </c>
      <c r="K393" s="138">
        <v>133</v>
      </c>
      <c r="L393" s="273">
        <v>5.676691729323308</v>
      </c>
      <c r="M393" s="332">
        <v>79437</v>
      </c>
      <c r="N393" s="138">
        <v>11051</v>
      </c>
      <c r="O393" s="274">
        <v>7.188218260790879</v>
      </c>
      <c r="P393" s="253">
        <v>1</v>
      </c>
    </row>
    <row r="394" spans="1:16" ht="15">
      <c r="A394" s="66">
        <v>391</v>
      </c>
      <c r="B394" s="49" t="s">
        <v>142</v>
      </c>
      <c r="C394" s="39">
        <v>39794</v>
      </c>
      <c r="D394" s="44" t="s">
        <v>134</v>
      </c>
      <c r="E394" s="44" t="s">
        <v>133</v>
      </c>
      <c r="F394" s="41">
        <v>100</v>
      </c>
      <c r="G394" s="41">
        <v>4</v>
      </c>
      <c r="H394" s="41">
        <v>18</v>
      </c>
      <c r="I394" s="301">
        <v>739</v>
      </c>
      <c r="J394" s="138">
        <v>110</v>
      </c>
      <c r="K394" s="138">
        <f>(J394/G394)</f>
        <v>27.5</v>
      </c>
      <c r="L394" s="139">
        <f aca="true" t="shared" si="26" ref="L394:L402">I394/J394</f>
        <v>6.718181818181818</v>
      </c>
      <c r="M394" s="301">
        <f>1276778.5+626123+380324+112679.5+54533+36086+4129+3620.5+4348+1030+1904+420+1049+5940+2263+280+322+739</f>
        <v>2512568.5</v>
      </c>
      <c r="N394" s="138">
        <f>133555+68793+41581+14968+8873+6454+539+324+976+204+524+65+169+1485+444+55+29+110</f>
        <v>279148</v>
      </c>
      <c r="O394" s="103">
        <f>+M394/N394</f>
        <v>9.000847220829094</v>
      </c>
      <c r="P394" s="255"/>
    </row>
    <row r="395" spans="1:16" ht="15">
      <c r="A395" s="66">
        <v>392</v>
      </c>
      <c r="B395" s="49" t="s">
        <v>145</v>
      </c>
      <c r="C395" s="39">
        <v>39801</v>
      </c>
      <c r="D395" s="44" t="s">
        <v>136</v>
      </c>
      <c r="E395" s="44" t="s">
        <v>146</v>
      </c>
      <c r="F395" s="41">
        <v>84</v>
      </c>
      <c r="G395" s="41">
        <v>1</v>
      </c>
      <c r="H395" s="41">
        <v>15</v>
      </c>
      <c r="I395" s="301">
        <v>716</v>
      </c>
      <c r="J395" s="138">
        <v>141</v>
      </c>
      <c r="K395" s="138">
        <f>J395/G395</f>
        <v>141</v>
      </c>
      <c r="L395" s="139">
        <f t="shared" si="26"/>
        <v>5.078014184397163</v>
      </c>
      <c r="M395" s="301">
        <v>620988</v>
      </c>
      <c r="N395" s="138">
        <v>75362</v>
      </c>
      <c r="O395" s="103">
        <f>+M395/N395</f>
        <v>8.240067938748972</v>
      </c>
      <c r="P395" s="255"/>
    </row>
    <row r="396" spans="1:16" ht="15">
      <c r="A396" s="66">
        <v>393</v>
      </c>
      <c r="B396" s="207" t="s">
        <v>91</v>
      </c>
      <c r="C396" s="195">
        <v>36413</v>
      </c>
      <c r="D396" s="196" t="s">
        <v>92</v>
      </c>
      <c r="E396" s="196" t="s">
        <v>93</v>
      </c>
      <c r="F396" s="197">
        <v>6</v>
      </c>
      <c r="G396" s="197">
        <v>1</v>
      </c>
      <c r="H396" s="197">
        <v>24</v>
      </c>
      <c r="I396" s="321">
        <v>712</v>
      </c>
      <c r="J396" s="322">
        <v>178</v>
      </c>
      <c r="K396" s="201">
        <f>J396/G396</f>
        <v>178</v>
      </c>
      <c r="L396" s="202">
        <f t="shared" si="26"/>
        <v>4</v>
      </c>
      <c r="M396" s="321">
        <v>39786.6</v>
      </c>
      <c r="N396" s="322">
        <v>21271</v>
      </c>
      <c r="O396" s="208">
        <f>+M396/N396</f>
        <v>1.8704621315405952</v>
      </c>
      <c r="P396" s="255">
        <v>1</v>
      </c>
    </row>
    <row r="397" spans="1:16" ht="15">
      <c r="A397" s="66">
        <v>394</v>
      </c>
      <c r="B397" s="275" t="s">
        <v>70</v>
      </c>
      <c r="C397" s="39">
        <v>39766</v>
      </c>
      <c r="D397" s="44" t="s">
        <v>132</v>
      </c>
      <c r="E397" s="44" t="s">
        <v>71</v>
      </c>
      <c r="F397" s="41">
        <v>24</v>
      </c>
      <c r="G397" s="41">
        <v>1</v>
      </c>
      <c r="H397" s="41">
        <v>26</v>
      </c>
      <c r="I397" s="332">
        <v>709</v>
      </c>
      <c r="J397" s="138">
        <v>89</v>
      </c>
      <c r="K397" s="138">
        <f>J397/G397</f>
        <v>89</v>
      </c>
      <c r="L397" s="273">
        <f t="shared" si="26"/>
        <v>7.966292134831461</v>
      </c>
      <c r="M397" s="332">
        <f>191668+16358.5+8305+0.5+19699.5+16705.5+7289+4467+3138+2267+1882+6536+9273+1289+852+1124+2416+1164+28+80+1249+807+709</f>
        <v>297307</v>
      </c>
      <c r="N397" s="138">
        <f>10324+8249+7871+7121+4755+3362+1751+2958+2636+1185+800+596+440+265+961+1648+202+172+213+528+291+7+20+151+101+89</f>
        <v>56696</v>
      </c>
      <c r="O397" s="274">
        <f>+M397/N397</f>
        <v>5.243879638775223</v>
      </c>
      <c r="P397" s="255"/>
    </row>
    <row r="398" spans="1:16" ht="15">
      <c r="A398" s="66">
        <v>395</v>
      </c>
      <c r="B398" s="49" t="s">
        <v>454</v>
      </c>
      <c r="C398" s="39">
        <v>39745</v>
      </c>
      <c r="D398" s="44" t="s">
        <v>131</v>
      </c>
      <c r="E398" s="44" t="s">
        <v>32</v>
      </c>
      <c r="F398" s="41">
        <v>57</v>
      </c>
      <c r="G398" s="41">
        <v>1</v>
      </c>
      <c r="H398" s="41">
        <v>39</v>
      </c>
      <c r="I398" s="301">
        <v>700</v>
      </c>
      <c r="J398" s="138">
        <v>350</v>
      </c>
      <c r="K398" s="138">
        <f>J398/G398</f>
        <v>350</v>
      </c>
      <c r="L398" s="139">
        <f t="shared" si="26"/>
        <v>2</v>
      </c>
      <c r="M398" s="301">
        <v>1173753</v>
      </c>
      <c r="N398" s="138">
        <v>127668</v>
      </c>
      <c r="O398" s="103">
        <f>+M398/N398</f>
        <v>9.193791709747156</v>
      </c>
      <c r="P398" s="255"/>
    </row>
    <row r="399" spans="1:16" ht="15">
      <c r="A399" s="66">
        <v>396</v>
      </c>
      <c r="B399" s="240" t="s">
        <v>47</v>
      </c>
      <c r="C399" s="236">
        <v>39780</v>
      </c>
      <c r="D399" s="235" t="s">
        <v>134</v>
      </c>
      <c r="E399" s="235" t="s">
        <v>33</v>
      </c>
      <c r="F399" s="237">
        <v>6</v>
      </c>
      <c r="G399" s="237">
        <v>1</v>
      </c>
      <c r="H399" s="237">
        <v>9</v>
      </c>
      <c r="I399" s="331">
        <v>691.5</v>
      </c>
      <c r="J399" s="238">
        <v>105</v>
      </c>
      <c r="K399" s="238">
        <f>(J399/G399)</f>
        <v>105</v>
      </c>
      <c r="L399" s="239">
        <f t="shared" si="26"/>
        <v>6.585714285714285</v>
      </c>
      <c r="M399" s="331">
        <f>25457+3030+1123+7370+430+997+6202+886+691.5</f>
        <v>46186.5</v>
      </c>
      <c r="N399" s="238">
        <f>2151+404+165+1079+59+230+1523+213+105</f>
        <v>5929</v>
      </c>
      <c r="O399" s="241">
        <f>M399/N399</f>
        <v>7.789930848372407</v>
      </c>
      <c r="P399" s="255">
        <v>1</v>
      </c>
    </row>
    <row r="400" spans="1:16" ht="15">
      <c r="A400" s="66">
        <v>397</v>
      </c>
      <c r="B400" s="240" t="s">
        <v>201</v>
      </c>
      <c r="C400" s="236">
        <v>39675</v>
      </c>
      <c r="D400" s="235" t="s">
        <v>197</v>
      </c>
      <c r="E400" s="235" t="s">
        <v>197</v>
      </c>
      <c r="F400" s="237">
        <v>54</v>
      </c>
      <c r="G400" s="237">
        <v>1</v>
      </c>
      <c r="H400" s="237">
        <v>10</v>
      </c>
      <c r="I400" s="331">
        <v>690</v>
      </c>
      <c r="J400" s="238">
        <v>230</v>
      </c>
      <c r="K400" s="238">
        <f>J400/G400</f>
        <v>230</v>
      </c>
      <c r="L400" s="239">
        <f t="shared" si="26"/>
        <v>3</v>
      </c>
      <c r="M400" s="331">
        <v>679944</v>
      </c>
      <c r="N400" s="238">
        <v>66454</v>
      </c>
      <c r="O400" s="241">
        <f aca="true" t="shared" si="27" ref="O400:O409">+M400/N400</f>
        <v>10.231799440214283</v>
      </c>
      <c r="P400" s="247">
        <v>1</v>
      </c>
    </row>
    <row r="401" spans="1:16" ht="15">
      <c r="A401" s="66">
        <v>398</v>
      </c>
      <c r="B401" s="240" t="s">
        <v>56</v>
      </c>
      <c r="C401" s="236">
        <v>39745</v>
      </c>
      <c r="D401" s="235" t="s">
        <v>136</v>
      </c>
      <c r="E401" s="235" t="s">
        <v>46</v>
      </c>
      <c r="F401" s="237">
        <v>104</v>
      </c>
      <c r="G401" s="237">
        <v>1</v>
      </c>
      <c r="H401" s="237">
        <v>16</v>
      </c>
      <c r="I401" s="331">
        <v>686</v>
      </c>
      <c r="J401" s="238">
        <v>106</v>
      </c>
      <c r="K401" s="238">
        <f>IF(I401&lt;&gt;0,J401/G401,"")</f>
        <v>106</v>
      </c>
      <c r="L401" s="239">
        <f t="shared" si="26"/>
        <v>6.471698113207547</v>
      </c>
      <c r="M401" s="331">
        <f>821522+622841.5+494230+434015.5+185757.5+145248.5+16130+16159+2033+6489+4346+3565+2540+1323+139+686</f>
        <v>2757025</v>
      </c>
      <c r="N401" s="238">
        <f>99216+78381+65128+58419+30420+24530+3077+3918+431+1704+1003+785+507+195+19+106</f>
        <v>367839</v>
      </c>
      <c r="O401" s="241">
        <f t="shared" si="27"/>
        <v>7.495194908642096</v>
      </c>
      <c r="P401" s="247"/>
    </row>
    <row r="402" spans="1:16" ht="15">
      <c r="A402" s="66">
        <v>399</v>
      </c>
      <c r="B402" s="275" t="s">
        <v>44</v>
      </c>
      <c r="C402" s="39">
        <v>39780</v>
      </c>
      <c r="D402" s="44" t="s">
        <v>131</v>
      </c>
      <c r="E402" s="44" t="s">
        <v>127</v>
      </c>
      <c r="F402" s="41">
        <v>121</v>
      </c>
      <c r="G402" s="41">
        <v>3</v>
      </c>
      <c r="H402" s="41">
        <v>25</v>
      </c>
      <c r="I402" s="332">
        <v>673</v>
      </c>
      <c r="J402" s="138">
        <v>391</v>
      </c>
      <c r="K402" s="138">
        <f>J402/G402</f>
        <v>130.33333333333334</v>
      </c>
      <c r="L402" s="273">
        <f t="shared" si="26"/>
        <v>1.721227621483376</v>
      </c>
      <c r="M402" s="332">
        <v>3470170</v>
      </c>
      <c r="N402" s="138">
        <v>409759</v>
      </c>
      <c r="O402" s="274">
        <f t="shared" si="27"/>
        <v>8.4688072745199</v>
      </c>
      <c r="P402" s="255"/>
    </row>
    <row r="403" spans="1:16" ht="15">
      <c r="A403" s="66">
        <v>400</v>
      </c>
      <c r="B403" s="49" t="s">
        <v>382</v>
      </c>
      <c r="C403" s="39">
        <v>39689</v>
      </c>
      <c r="D403" s="44" t="s">
        <v>4</v>
      </c>
      <c r="E403" s="44" t="s">
        <v>77</v>
      </c>
      <c r="F403" s="41">
        <v>4</v>
      </c>
      <c r="G403" s="41">
        <v>1</v>
      </c>
      <c r="H403" s="41">
        <v>49</v>
      </c>
      <c r="I403" s="301">
        <v>670</v>
      </c>
      <c r="J403" s="138">
        <v>86</v>
      </c>
      <c r="K403" s="138">
        <f>+J403/G403</f>
        <v>86</v>
      </c>
      <c r="L403" s="139">
        <f>+I403/J403</f>
        <v>7.790697674418604</v>
      </c>
      <c r="M403" s="301">
        <v>41886</v>
      </c>
      <c r="N403" s="138">
        <v>3625</v>
      </c>
      <c r="O403" s="103">
        <f t="shared" si="27"/>
        <v>11.554758620689656</v>
      </c>
      <c r="P403" s="247"/>
    </row>
    <row r="404" spans="1:16" ht="15">
      <c r="A404" s="66">
        <v>401</v>
      </c>
      <c r="B404" s="209">
        <v>120</v>
      </c>
      <c r="C404" s="205">
        <v>39493</v>
      </c>
      <c r="D404" s="203" t="s">
        <v>132</v>
      </c>
      <c r="E404" s="203" t="s">
        <v>94</v>
      </c>
      <c r="F404" s="204">
        <v>179</v>
      </c>
      <c r="G404" s="204">
        <v>1</v>
      </c>
      <c r="H404" s="204">
        <v>38</v>
      </c>
      <c r="I404" s="330">
        <v>666</v>
      </c>
      <c r="J404" s="200">
        <v>222</v>
      </c>
      <c r="K404" s="201">
        <f>J404/G404</f>
        <v>222</v>
      </c>
      <c r="L404" s="202">
        <f>I404/J404</f>
        <v>3</v>
      </c>
      <c r="M404" s="330">
        <f>940515+844172.5+750489+533469+396399.5+362067.5+228159+211115.5+153941.5+48+73076.5+60280+47290.5+46690+13789+13717.5+9809+2709.5+1288.5+22597.5+10821.5+12218+7313+44774.5+111294+3629+0.5+41599.5+20470.5+5217-3719.5+10067+1376+10253+13391+15635+48+500+2820+500+666</f>
        <v>5020498.5</v>
      </c>
      <c r="N404" s="200">
        <f>135921+127724+124508+97493+101422+99063+62455+57586+44490+6+19837+19877+15923+15427+4822+4847+3310+822+280+7405+3528+4050+2428+14923+37098+1709+6180+3303+3114+328+3418+4411+5191+12+100+806+100+222</f>
        <v>1034139</v>
      </c>
      <c r="O404" s="208">
        <f t="shared" si="27"/>
        <v>4.854761787341934</v>
      </c>
      <c r="P404" s="255"/>
    </row>
    <row r="405" spans="1:16" ht="15">
      <c r="A405" s="66">
        <v>402</v>
      </c>
      <c r="B405" s="240" t="s">
        <v>283</v>
      </c>
      <c r="C405" s="236">
        <v>39472</v>
      </c>
      <c r="D405" s="235" t="s">
        <v>279</v>
      </c>
      <c r="E405" s="235" t="s">
        <v>284</v>
      </c>
      <c r="F405" s="237">
        <v>70</v>
      </c>
      <c r="G405" s="237">
        <v>1</v>
      </c>
      <c r="H405" s="237">
        <v>29</v>
      </c>
      <c r="I405" s="331">
        <v>666</v>
      </c>
      <c r="J405" s="238">
        <v>164</v>
      </c>
      <c r="K405" s="238">
        <f>J405/G405</f>
        <v>164</v>
      </c>
      <c r="L405" s="239">
        <f>I405/J405</f>
        <v>4.060975609756097</v>
      </c>
      <c r="M405" s="331">
        <v>879310</v>
      </c>
      <c r="N405" s="238">
        <v>111317</v>
      </c>
      <c r="O405" s="241">
        <f t="shared" si="27"/>
        <v>7.899152869732386</v>
      </c>
      <c r="P405" s="255"/>
    </row>
    <row r="406" spans="1:16" ht="15">
      <c r="A406" s="66">
        <v>403</v>
      </c>
      <c r="B406" s="207" t="s">
        <v>149</v>
      </c>
      <c r="C406" s="195">
        <v>39801</v>
      </c>
      <c r="D406" s="196" t="s">
        <v>4</v>
      </c>
      <c r="E406" s="196" t="s">
        <v>77</v>
      </c>
      <c r="F406" s="197">
        <v>19</v>
      </c>
      <c r="G406" s="197">
        <v>4</v>
      </c>
      <c r="H406" s="197">
        <v>4</v>
      </c>
      <c r="I406" s="321">
        <v>661</v>
      </c>
      <c r="J406" s="322">
        <v>120</v>
      </c>
      <c r="K406" s="201">
        <f>J406/G406</f>
        <v>30</v>
      </c>
      <c r="L406" s="202">
        <f>I406/J406</f>
        <v>5.508333333333334</v>
      </c>
      <c r="M406" s="321">
        <v>137299</v>
      </c>
      <c r="N406" s="322">
        <v>12776</v>
      </c>
      <c r="O406" s="208">
        <f t="shared" si="27"/>
        <v>10.746634314339387</v>
      </c>
      <c r="P406" s="255"/>
    </row>
    <row r="407" spans="1:16" ht="15">
      <c r="A407" s="66">
        <v>404</v>
      </c>
      <c r="B407" s="49" t="s">
        <v>144</v>
      </c>
      <c r="C407" s="39">
        <v>39801</v>
      </c>
      <c r="D407" s="44" t="s">
        <v>130</v>
      </c>
      <c r="E407" s="44" t="s">
        <v>122</v>
      </c>
      <c r="F407" s="41">
        <v>69</v>
      </c>
      <c r="G407" s="41">
        <v>1</v>
      </c>
      <c r="H407" s="41">
        <v>15</v>
      </c>
      <c r="I407" s="301">
        <v>647</v>
      </c>
      <c r="J407" s="138">
        <v>159</v>
      </c>
      <c r="K407" s="138">
        <f>J407/G407</f>
        <v>159</v>
      </c>
      <c r="L407" s="139">
        <f>I407/J407</f>
        <v>4.069182389937107</v>
      </c>
      <c r="M407" s="301">
        <f>820286+588484+413907+112495+41441-111+9385+4586+8718+1191+251+1065+1821+1022+443+647</f>
        <v>2005631</v>
      </c>
      <c r="N407" s="138">
        <f>83839+57678+42374+12212+5722-11+2124+1350+1256+191+41+182+386+174+82+159</f>
        <v>207759</v>
      </c>
      <c r="O407" s="103">
        <f t="shared" si="27"/>
        <v>9.653641960155758</v>
      </c>
      <c r="P407" s="255"/>
    </row>
    <row r="408" spans="1:16" ht="15">
      <c r="A408" s="66">
        <v>405</v>
      </c>
      <c r="B408" s="49" t="s">
        <v>380</v>
      </c>
      <c r="C408" s="39">
        <v>39696</v>
      </c>
      <c r="D408" s="44" t="s">
        <v>4</v>
      </c>
      <c r="E408" s="44" t="s">
        <v>112</v>
      </c>
      <c r="F408" s="41">
        <v>1</v>
      </c>
      <c r="G408" s="41">
        <v>1</v>
      </c>
      <c r="H408" s="41">
        <v>52</v>
      </c>
      <c r="I408" s="301">
        <v>633</v>
      </c>
      <c r="J408" s="138">
        <v>109</v>
      </c>
      <c r="K408" s="138">
        <f>+J408/G408</f>
        <v>109</v>
      </c>
      <c r="L408" s="139">
        <f>+I408/J408</f>
        <v>5.807339449541284</v>
      </c>
      <c r="M408" s="301">
        <v>7947</v>
      </c>
      <c r="N408" s="138">
        <v>819</v>
      </c>
      <c r="O408" s="103">
        <f t="shared" si="27"/>
        <v>9.703296703296703</v>
      </c>
      <c r="P408" s="255"/>
    </row>
    <row r="409" spans="1:16" ht="15">
      <c r="A409" s="66">
        <v>406</v>
      </c>
      <c r="B409" s="275" t="s">
        <v>25</v>
      </c>
      <c r="C409" s="39">
        <v>39808</v>
      </c>
      <c r="D409" s="44" t="s">
        <v>131</v>
      </c>
      <c r="E409" s="44" t="s">
        <v>111</v>
      </c>
      <c r="F409" s="41">
        <v>112</v>
      </c>
      <c r="G409" s="41">
        <v>3</v>
      </c>
      <c r="H409" s="41">
        <v>20</v>
      </c>
      <c r="I409" s="332">
        <v>626</v>
      </c>
      <c r="J409" s="138">
        <v>386</v>
      </c>
      <c r="K409" s="138">
        <f>J409/G409</f>
        <v>128.66666666666666</v>
      </c>
      <c r="L409" s="273">
        <f aca="true" t="shared" si="28" ref="L409:L416">I409/J409</f>
        <v>1.621761658031088</v>
      </c>
      <c r="M409" s="332">
        <v>2059346</v>
      </c>
      <c r="N409" s="138">
        <v>215115</v>
      </c>
      <c r="O409" s="274">
        <f t="shared" si="27"/>
        <v>9.573232921925483</v>
      </c>
      <c r="P409" s="255">
        <v>1</v>
      </c>
    </row>
    <row r="410" spans="1:16" ht="15">
      <c r="A410" s="66">
        <v>407</v>
      </c>
      <c r="B410" s="49" t="s">
        <v>60</v>
      </c>
      <c r="C410" s="39">
        <v>39745</v>
      </c>
      <c r="D410" s="44" t="s">
        <v>134</v>
      </c>
      <c r="E410" s="44" t="s">
        <v>106</v>
      </c>
      <c r="F410" s="41">
        <v>7</v>
      </c>
      <c r="G410" s="41">
        <v>1</v>
      </c>
      <c r="H410" s="41">
        <v>14</v>
      </c>
      <c r="I410" s="301">
        <v>620</v>
      </c>
      <c r="J410" s="138">
        <v>133</v>
      </c>
      <c r="K410" s="138">
        <f>(J410/G410)</f>
        <v>133</v>
      </c>
      <c r="L410" s="139">
        <f t="shared" si="28"/>
        <v>4.661654135338346</v>
      </c>
      <c r="M410" s="301">
        <f>31758.5+8225.5+1958+2180+395+7254.5+494+2046+429+128+135+1066+1003+620</f>
        <v>57692.5</v>
      </c>
      <c r="N410" s="138">
        <f>2732+851+288+247+46+761+52+333+72+22+23+258+223+133</f>
        <v>6041</v>
      </c>
      <c r="O410" s="103">
        <f>M410/N410</f>
        <v>9.550157258731998</v>
      </c>
      <c r="P410" s="255"/>
    </row>
    <row r="411" spans="1:16" ht="15">
      <c r="A411" s="66">
        <v>408</v>
      </c>
      <c r="B411" s="49" t="s">
        <v>53</v>
      </c>
      <c r="C411" s="39">
        <v>39738</v>
      </c>
      <c r="D411" s="44" t="s">
        <v>134</v>
      </c>
      <c r="E411" s="44" t="s">
        <v>54</v>
      </c>
      <c r="F411" s="41">
        <v>67</v>
      </c>
      <c r="G411" s="41">
        <v>1</v>
      </c>
      <c r="H411" s="41">
        <v>25</v>
      </c>
      <c r="I411" s="301">
        <v>610</v>
      </c>
      <c r="J411" s="138">
        <v>61</v>
      </c>
      <c r="K411" s="138">
        <f>(J411/G411)</f>
        <v>61</v>
      </c>
      <c r="L411" s="139">
        <f t="shared" si="28"/>
        <v>10</v>
      </c>
      <c r="M411" s="301">
        <f>167196+176809+54428+37340+38330.5+23467+11581+5867+4382+2577+3552+2137+545+4006+9422+7992+4936+1547+1147+288+371+2842+1282+168+610</f>
        <v>562822.5</v>
      </c>
      <c r="N411" s="138">
        <f>19168+21164+7719+6215+6404+4964+2339+1306+907+580+859+440+127+905+2170+1822+1050+392+333+56+73+734+411+21+61</f>
        <v>80220</v>
      </c>
      <c r="O411" s="103">
        <f>M411/N411</f>
        <v>7.015987284966343</v>
      </c>
      <c r="P411" s="255">
        <v>1</v>
      </c>
    </row>
    <row r="412" spans="1:16" ht="15">
      <c r="A412" s="66">
        <v>409</v>
      </c>
      <c r="B412" s="275" t="s">
        <v>147</v>
      </c>
      <c r="C412" s="39">
        <v>39801</v>
      </c>
      <c r="D412" s="44" t="s">
        <v>134</v>
      </c>
      <c r="E412" s="44" t="s">
        <v>148</v>
      </c>
      <c r="F412" s="41">
        <v>42</v>
      </c>
      <c r="G412" s="41">
        <v>1</v>
      </c>
      <c r="H412" s="41">
        <v>19</v>
      </c>
      <c r="I412" s="332">
        <v>607.5</v>
      </c>
      <c r="J412" s="138">
        <v>150</v>
      </c>
      <c r="K412" s="138">
        <f>(J412/G412)</f>
        <v>150</v>
      </c>
      <c r="L412" s="273">
        <f t="shared" si="28"/>
        <v>4.05</v>
      </c>
      <c r="M412" s="332">
        <f>295344+204961.5+145464.5+116108.5+111972.5+49984+26327+32042+18579+20005+19180+15980+2686.5+3166.5+366+13433+4493+735.5+607.5</f>
        <v>1081436</v>
      </c>
      <c r="N412" s="138">
        <f>36142+24747+19417+15404+14719+7567+3314+5289+3173+3275+3534+2826+540+724+52+2536+882+130+150</f>
        <v>144421</v>
      </c>
      <c r="O412" s="274">
        <f>M412/N412</f>
        <v>7.488079988367343</v>
      </c>
      <c r="P412" s="300"/>
    </row>
    <row r="413" spans="1:16" ht="15">
      <c r="A413" s="66">
        <v>410</v>
      </c>
      <c r="B413" s="49" t="s">
        <v>72</v>
      </c>
      <c r="C413" s="39">
        <v>39773</v>
      </c>
      <c r="D413" s="44" t="s">
        <v>131</v>
      </c>
      <c r="E413" s="44" t="s">
        <v>126</v>
      </c>
      <c r="F413" s="41">
        <v>204</v>
      </c>
      <c r="G413" s="41">
        <v>1</v>
      </c>
      <c r="H413" s="41">
        <v>44</v>
      </c>
      <c r="I413" s="301">
        <v>604</v>
      </c>
      <c r="J413" s="138">
        <v>200</v>
      </c>
      <c r="K413" s="138">
        <f>J413/G413</f>
        <v>200</v>
      </c>
      <c r="L413" s="139">
        <f t="shared" si="28"/>
        <v>3.02</v>
      </c>
      <c r="M413" s="301">
        <v>11474933</v>
      </c>
      <c r="N413" s="138">
        <v>1423303</v>
      </c>
      <c r="O413" s="103">
        <f>+M413/N413</f>
        <v>8.062185634401107</v>
      </c>
      <c r="P413" s="255"/>
    </row>
    <row r="414" spans="1:16" ht="15">
      <c r="A414" s="66">
        <v>411</v>
      </c>
      <c r="B414" s="49" t="s">
        <v>95</v>
      </c>
      <c r="C414" s="39">
        <v>39717</v>
      </c>
      <c r="D414" s="44" t="s">
        <v>131</v>
      </c>
      <c r="E414" s="44" t="s">
        <v>111</v>
      </c>
      <c r="F414" s="41">
        <v>130</v>
      </c>
      <c r="G414" s="41">
        <v>1</v>
      </c>
      <c r="H414" s="41">
        <v>44</v>
      </c>
      <c r="I414" s="301">
        <v>604</v>
      </c>
      <c r="J414" s="138">
        <v>200</v>
      </c>
      <c r="K414" s="138">
        <f>J414/G414</f>
        <v>200</v>
      </c>
      <c r="L414" s="139">
        <f t="shared" si="28"/>
        <v>3.02</v>
      </c>
      <c r="M414" s="301">
        <v>1480720</v>
      </c>
      <c r="N414" s="138">
        <v>171932</v>
      </c>
      <c r="O414" s="103">
        <f>+M414/N414</f>
        <v>8.612242049182235</v>
      </c>
      <c r="P414" s="254">
        <v>1</v>
      </c>
    </row>
    <row r="415" spans="1:16" ht="15">
      <c r="A415" s="66">
        <v>412</v>
      </c>
      <c r="B415" s="49" t="s">
        <v>44</v>
      </c>
      <c r="C415" s="39">
        <v>39780</v>
      </c>
      <c r="D415" s="44" t="s">
        <v>131</v>
      </c>
      <c r="E415" s="44" t="s">
        <v>127</v>
      </c>
      <c r="F415" s="41">
        <v>121</v>
      </c>
      <c r="G415" s="41">
        <v>1</v>
      </c>
      <c r="H415" s="41">
        <v>35</v>
      </c>
      <c r="I415" s="301">
        <v>604</v>
      </c>
      <c r="J415" s="138">
        <v>200</v>
      </c>
      <c r="K415" s="138">
        <f>J415/G415</f>
        <v>200</v>
      </c>
      <c r="L415" s="139">
        <f t="shared" si="28"/>
        <v>3.02</v>
      </c>
      <c r="M415" s="301">
        <v>3474438</v>
      </c>
      <c r="N415" s="138">
        <v>410894</v>
      </c>
      <c r="O415" s="103">
        <f>+M415/N415</f>
        <v>8.45580125287787</v>
      </c>
      <c r="P415" s="247"/>
    </row>
    <row r="416" spans="1:16" ht="15">
      <c r="A416" s="66">
        <v>413</v>
      </c>
      <c r="B416" s="49" t="s">
        <v>191</v>
      </c>
      <c r="C416" s="39">
        <v>39787</v>
      </c>
      <c r="D416" s="44" t="s">
        <v>131</v>
      </c>
      <c r="E416" s="44" t="s">
        <v>138</v>
      </c>
      <c r="F416" s="41">
        <v>406</v>
      </c>
      <c r="G416" s="41">
        <v>1</v>
      </c>
      <c r="H416" s="41">
        <v>34</v>
      </c>
      <c r="I416" s="301">
        <v>602</v>
      </c>
      <c r="J416" s="138">
        <v>280</v>
      </c>
      <c r="K416" s="138">
        <f>J416/G416</f>
        <v>280</v>
      </c>
      <c r="L416" s="139">
        <f t="shared" si="28"/>
        <v>2.15</v>
      </c>
      <c r="M416" s="301">
        <v>30403693</v>
      </c>
      <c r="N416" s="138">
        <v>3703833</v>
      </c>
      <c r="O416" s="103">
        <f>+M416/N416</f>
        <v>8.208710543914911</v>
      </c>
      <c r="P416" s="255"/>
    </row>
    <row r="417" spans="1:16" ht="15">
      <c r="A417" s="66">
        <v>414</v>
      </c>
      <c r="B417" s="49" t="s">
        <v>380</v>
      </c>
      <c r="C417" s="39">
        <v>39696</v>
      </c>
      <c r="D417" s="44" t="s">
        <v>4</v>
      </c>
      <c r="E417" s="44" t="s">
        <v>77</v>
      </c>
      <c r="F417" s="41">
        <v>1</v>
      </c>
      <c r="G417" s="41">
        <v>1</v>
      </c>
      <c r="H417" s="41">
        <v>44</v>
      </c>
      <c r="I417" s="301">
        <v>596</v>
      </c>
      <c r="J417" s="138">
        <v>76</v>
      </c>
      <c r="K417" s="138">
        <f>+J417/G417</f>
        <v>76</v>
      </c>
      <c r="L417" s="139">
        <f>+I417/J417</f>
        <v>7.842105263157895</v>
      </c>
      <c r="M417" s="301">
        <v>5334</v>
      </c>
      <c r="N417" s="138">
        <v>508</v>
      </c>
      <c r="O417" s="103">
        <f>+M417/N417</f>
        <v>10.5</v>
      </c>
      <c r="P417" s="255"/>
    </row>
    <row r="418" spans="1:16" ht="15">
      <c r="A418" s="66">
        <v>415</v>
      </c>
      <c r="B418" s="49" t="s">
        <v>19</v>
      </c>
      <c r="C418" s="40">
        <v>39731</v>
      </c>
      <c r="D418" s="45" t="s">
        <v>134</v>
      </c>
      <c r="E418" s="44" t="s">
        <v>35</v>
      </c>
      <c r="F418" s="41">
        <v>37</v>
      </c>
      <c r="G418" s="41">
        <v>1</v>
      </c>
      <c r="H418" s="41">
        <v>12</v>
      </c>
      <c r="I418" s="327">
        <v>594.5</v>
      </c>
      <c r="J418" s="328">
        <v>146</v>
      </c>
      <c r="K418" s="140">
        <f>(J418/G418)</f>
        <v>146</v>
      </c>
      <c r="L418" s="141">
        <f>I418/J418</f>
        <v>4.071917808219178</v>
      </c>
      <c r="M418" s="327">
        <f>129467.5+88890.1+34771+30141+12902+22737.5+2404+24305+405+301+3764.5+594.5</f>
        <v>350683.1</v>
      </c>
      <c r="N418" s="328">
        <f>14410+10160+4854+5433+2399+3960+492+3729+81+64+566+146</f>
        <v>46294</v>
      </c>
      <c r="O418" s="105">
        <f>M418/N418</f>
        <v>7.575130686482049</v>
      </c>
      <c r="P418" s="255"/>
    </row>
    <row r="419" spans="1:16" ht="15">
      <c r="A419" s="66">
        <v>416</v>
      </c>
      <c r="B419" s="275" t="s">
        <v>165</v>
      </c>
      <c r="C419" s="39">
        <v>39766</v>
      </c>
      <c r="D419" s="44" t="s">
        <v>279</v>
      </c>
      <c r="E419" s="44" t="s">
        <v>166</v>
      </c>
      <c r="F419" s="41">
        <v>17</v>
      </c>
      <c r="G419" s="41">
        <v>2</v>
      </c>
      <c r="H419" s="41">
        <v>23</v>
      </c>
      <c r="I419" s="332">
        <v>575</v>
      </c>
      <c r="J419" s="138">
        <v>74</v>
      </c>
      <c r="K419" s="138">
        <f>J419/G419</f>
        <v>37</v>
      </c>
      <c r="L419" s="273">
        <f>I419/J419</f>
        <v>7.77027027027027</v>
      </c>
      <c r="M419" s="332">
        <v>87387</v>
      </c>
      <c r="N419" s="138">
        <v>12400</v>
      </c>
      <c r="O419" s="274">
        <f>+M419/N419</f>
        <v>7.047338709677419</v>
      </c>
      <c r="P419" s="247">
        <v>1</v>
      </c>
    </row>
    <row r="420" spans="1:16" ht="15">
      <c r="A420" s="66">
        <v>417</v>
      </c>
      <c r="B420" s="209" t="s">
        <v>49</v>
      </c>
      <c r="C420" s="205">
        <v>39710</v>
      </c>
      <c r="D420" s="203" t="s">
        <v>107</v>
      </c>
      <c r="E420" s="203" t="s">
        <v>107</v>
      </c>
      <c r="F420" s="204">
        <v>66</v>
      </c>
      <c r="G420" s="204">
        <v>2</v>
      </c>
      <c r="H420" s="204">
        <v>17</v>
      </c>
      <c r="I420" s="330">
        <v>573.5</v>
      </c>
      <c r="J420" s="200">
        <v>137</v>
      </c>
      <c r="K420" s="201">
        <f>J420/G420</f>
        <v>68.5</v>
      </c>
      <c r="L420" s="202">
        <f>I420/J420</f>
        <v>4.186131386861314</v>
      </c>
      <c r="M420" s="330">
        <f>152576+127511+68854.5+21974+10111.5+7103+7290+0.5+1014+3149+989+3524+0.5+3768+138+2528+257+351.5+573.5</f>
        <v>411713</v>
      </c>
      <c r="N420" s="200">
        <f>50018+825+47+65+137</f>
        <v>51092</v>
      </c>
      <c r="O420" s="208">
        <f>+M420/N420</f>
        <v>8.058267439129414</v>
      </c>
      <c r="P420" s="254">
        <v>1</v>
      </c>
    </row>
    <row r="421" spans="1:16" ht="15">
      <c r="A421" s="66">
        <v>418</v>
      </c>
      <c r="B421" s="49" t="s">
        <v>486</v>
      </c>
      <c r="C421" s="39">
        <v>39703</v>
      </c>
      <c r="D421" s="44" t="s">
        <v>4</v>
      </c>
      <c r="E421" s="44" t="s">
        <v>77</v>
      </c>
      <c r="F421" s="41">
        <v>5</v>
      </c>
      <c r="G421" s="41">
        <v>2</v>
      </c>
      <c r="H421" s="41">
        <v>51</v>
      </c>
      <c r="I421" s="301">
        <v>569</v>
      </c>
      <c r="J421" s="138">
        <v>83</v>
      </c>
      <c r="K421" s="138">
        <f>+J421/G421</f>
        <v>41.5</v>
      </c>
      <c r="L421" s="139">
        <f>+I421/J421</f>
        <v>6.855421686746988</v>
      </c>
      <c r="M421" s="301">
        <v>77577</v>
      </c>
      <c r="N421" s="138">
        <v>7254</v>
      </c>
      <c r="O421" s="103">
        <f>+M421/N421</f>
        <v>10.694375516956162</v>
      </c>
      <c r="P421" s="255">
        <v>1</v>
      </c>
    </row>
    <row r="422" spans="1:16" ht="15">
      <c r="A422" s="66">
        <v>419</v>
      </c>
      <c r="B422" s="275" t="s">
        <v>352</v>
      </c>
      <c r="C422" s="39">
        <v>39297</v>
      </c>
      <c r="D422" s="44" t="s">
        <v>136</v>
      </c>
      <c r="E422" s="44" t="s">
        <v>353</v>
      </c>
      <c r="F422" s="41">
        <v>40</v>
      </c>
      <c r="G422" s="41">
        <v>1</v>
      </c>
      <c r="H422" s="41">
        <v>14</v>
      </c>
      <c r="I422" s="332">
        <v>560</v>
      </c>
      <c r="J422" s="138">
        <v>112</v>
      </c>
      <c r="K422" s="138">
        <f>J422/G422</f>
        <v>112</v>
      </c>
      <c r="L422" s="273">
        <f>I422/J422</f>
        <v>5</v>
      </c>
      <c r="M422" s="332">
        <v>389130.5</v>
      </c>
      <c r="N422" s="138">
        <v>50598</v>
      </c>
      <c r="O422" s="274">
        <f>+M422/N422</f>
        <v>7.690630064429424</v>
      </c>
      <c r="P422" s="255">
        <v>1</v>
      </c>
    </row>
    <row r="423" spans="1:16" ht="15">
      <c r="A423" s="66">
        <v>420</v>
      </c>
      <c r="B423" s="275" t="s">
        <v>358</v>
      </c>
      <c r="C423" s="39">
        <v>39556</v>
      </c>
      <c r="D423" s="44" t="s">
        <v>4</v>
      </c>
      <c r="E423" s="44" t="s">
        <v>77</v>
      </c>
      <c r="F423" s="41">
        <v>48</v>
      </c>
      <c r="G423" s="41">
        <v>1</v>
      </c>
      <c r="H423" s="41">
        <v>58</v>
      </c>
      <c r="I423" s="332">
        <v>560</v>
      </c>
      <c r="J423" s="138">
        <v>93</v>
      </c>
      <c r="K423" s="138">
        <f>+J423/G423</f>
        <v>93</v>
      </c>
      <c r="L423" s="273">
        <f>+I423/J423</f>
        <v>6.021505376344086</v>
      </c>
      <c r="M423" s="332">
        <v>59132</v>
      </c>
      <c r="N423" s="138">
        <v>8014</v>
      </c>
      <c r="O423" s="274">
        <f>+M423/N423</f>
        <v>7.378587471924133</v>
      </c>
      <c r="P423" s="255"/>
    </row>
    <row r="424" spans="1:16" ht="15">
      <c r="A424" s="66">
        <v>421</v>
      </c>
      <c r="B424" s="48" t="s">
        <v>68</v>
      </c>
      <c r="C424" s="39">
        <v>39759</v>
      </c>
      <c r="D424" s="42" t="s">
        <v>136</v>
      </c>
      <c r="E424" s="42" t="s">
        <v>31</v>
      </c>
      <c r="F424" s="54">
        <v>40</v>
      </c>
      <c r="G424" s="54">
        <v>1</v>
      </c>
      <c r="H424" s="54">
        <v>9</v>
      </c>
      <c r="I424" s="329">
        <v>556</v>
      </c>
      <c r="J424" s="140">
        <v>77</v>
      </c>
      <c r="K424" s="136">
        <f>IF(I424&lt;&gt;0,J424/G424,"")</f>
        <v>77</v>
      </c>
      <c r="L424" s="137">
        <f>IF(I424&lt;&gt;0,I424/J424,"")</f>
        <v>7.220779220779221</v>
      </c>
      <c r="M424" s="329">
        <f>84918+52341+11404+7823+3207+2014+937+2034+556</f>
        <v>165234</v>
      </c>
      <c r="N424" s="138">
        <f>10694+7043+2046+1560+538+345+174+389+77</f>
        <v>22866</v>
      </c>
      <c r="O424" s="104">
        <f>IF(M424&lt;&gt;0,M424/N424,"")</f>
        <v>7.226187352400944</v>
      </c>
      <c r="P424" s="255">
        <v>1</v>
      </c>
    </row>
    <row r="425" spans="1:16" ht="15">
      <c r="A425" s="66">
        <v>422</v>
      </c>
      <c r="B425" s="53" t="s">
        <v>149</v>
      </c>
      <c r="C425" s="39">
        <v>39801</v>
      </c>
      <c r="D425" s="45" t="s">
        <v>4</v>
      </c>
      <c r="E425" s="45" t="s">
        <v>77</v>
      </c>
      <c r="F425" s="50">
        <v>19</v>
      </c>
      <c r="G425" s="50">
        <v>2</v>
      </c>
      <c r="H425" s="50">
        <v>5</v>
      </c>
      <c r="I425" s="327">
        <v>554</v>
      </c>
      <c r="J425" s="328">
        <v>108</v>
      </c>
      <c r="K425" s="136">
        <f>+J425/G425</f>
        <v>54</v>
      </c>
      <c r="L425" s="137">
        <f>+I425/J425</f>
        <v>5.12962962962963</v>
      </c>
      <c r="M425" s="327">
        <v>137853</v>
      </c>
      <c r="N425" s="328">
        <v>12884</v>
      </c>
      <c r="O425" s="104">
        <f>+M425/N425</f>
        <v>10.699549829245576</v>
      </c>
      <c r="P425" s="300"/>
    </row>
    <row r="426" spans="1:16" ht="15">
      <c r="A426" s="66">
        <v>423</v>
      </c>
      <c r="B426" s="209" t="s">
        <v>53</v>
      </c>
      <c r="C426" s="205">
        <v>39738</v>
      </c>
      <c r="D426" s="196" t="s">
        <v>134</v>
      </c>
      <c r="E426" s="203" t="s">
        <v>54</v>
      </c>
      <c r="F426" s="204">
        <v>67</v>
      </c>
      <c r="G426" s="204">
        <v>5</v>
      </c>
      <c r="H426" s="204">
        <v>13</v>
      </c>
      <c r="I426" s="321">
        <v>545</v>
      </c>
      <c r="J426" s="322">
        <v>127</v>
      </c>
      <c r="K426" s="201">
        <f>(J426/G426)</f>
        <v>25.4</v>
      </c>
      <c r="L426" s="202">
        <f>I426/J426</f>
        <v>4.291338582677166</v>
      </c>
      <c r="M426" s="321">
        <f>167196+176809+54428+37340+38330.5+23467+11581+5867+4382+2577+3552+2137+545</f>
        <v>528211.5</v>
      </c>
      <c r="N426" s="322">
        <f>19168+21164+7719+6215+6404+4964+2339+1306+907+580+859+440+127</f>
        <v>72192</v>
      </c>
      <c r="O426" s="208">
        <f>M426/N426</f>
        <v>7.3167594747340425</v>
      </c>
      <c r="P426" s="254"/>
    </row>
    <row r="427" spans="1:16" ht="15">
      <c r="A427" s="66">
        <v>424</v>
      </c>
      <c r="B427" s="49" t="s">
        <v>149</v>
      </c>
      <c r="C427" s="39">
        <v>39801</v>
      </c>
      <c r="D427" s="44" t="s">
        <v>4</v>
      </c>
      <c r="E427" s="44" t="s">
        <v>77</v>
      </c>
      <c r="F427" s="41">
        <v>19</v>
      </c>
      <c r="G427" s="41">
        <v>2</v>
      </c>
      <c r="H427" s="41">
        <v>17</v>
      </c>
      <c r="I427" s="301">
        <v>543</v>
      </c>
      <c r="J427" s="138">
        <v>86</v>
      </c>
      <c r="K427" s="138">
        <f>+J427/G427</f>
        <v>43</v>
      </c>
      <c r="L427" s="139">
        <f>+I427/J427</f>
        <v>6.313953488372093</v>
      </c>
      <c r="M427" s="301">
        <v>148172</v>
      </c>
      <c r="N427" s="138">
        <v>14597</v>
      </c>
      <c r="O427" s="103">
        <f>+M427/N427</f>
        <v>10.150852914982531</v>
      </c>
      <c r="P427" s="300">
        <v>1</v>
      </c>
    </row>
    <row r="428" spans="1:16" ht="15">
      <c r="A428" s="66">
        <v>425</v>
      </c>
      <c r="B428" s="49" t="s">
        <v>52</v>
      </c>
      <c r="C428" s="39">
        <v>39738</v>
      </c>
      <c r="D428" s="44" t="s">
        <v>134</v>
      </c>
      <c r="E428" s="44" t="s">
        <v>133</v>
      </c>
      <c r="F428" s="41">
        <v>65</v>
      </c>
      <c r="G428" s="41">
        <v>3</v>
      </c>
      <c r="H428" s="41">
        <v>17</v>
      </c>
      <c r="I428" s="301">
        <v>516</v>
      </c>
      <c r="J428" s="138">
        <v>45</v>
      </c>
      <c r="K428" s="138">
        <f>(J428/G428)</f>
        <v>15</v>
      </c>
      <c r="L428" s="139">
        <f>I428/J428</f>
        <v>11.466666666666667</v>
      </c>
      <c r="M428" s="301">
        <f>502954.7+385847+127398.5+41644+35371+15703.5+9494+704+1120.5+952+891+302+72+55+187+88+516</f>
        <v>1123300.2</v>
      </c>
      <c r="N428" s="138">
        <f>51438+39611+14487+7156+6343+2488+1591+176+567+238+149+50+12+9+18+8+45</f>
        <v>124386</v>
      </c>
      <c r="O428" s="103">
        <f>M428/N428</f>
        <v>9.03076069654141</v>
      </c>
      <c r="P428" s="255">
        <v>1</v>
      </c>
    </row>
    <row r="429" spans="1:16" ht="15">
      <c r="A429" s="66">
        <v>426</v>
      </c>
      <c r="B429" s="240" t="s">
        <v>47</v>
      </c>
      <c r="C429" s="236">
        <v>39780</v>
      </c>
      <c r="D429" s="235" t="s">
        <v>134</v>
      </c>
      <c r="E429" s="235" t="s">
        <v>266</v>
      </c>
      <c r="F429" s="237">
        <v>6</v>
      </c>
      <c r="G429" s="237">
        <v>1</v>
      </c>
      <c r="H429" s="237">
        <v>12</v>
      </c>
      <c r="I429" s="331">
        <v>504</v>
      </c>
      <c r="J429" s="238">
        <v>108</v>
      </c>
      <c r="K429" s="238">
        <f>(J429/G429)</f>
        <v>108</v>
      </c>
      <c r="L429" s="239">
        <f>I429/J429</f>
        <v>4.666666666666667</v>
      </c>
      <c r="M429" s="331">
        <f>25457+3030+1123+7370+430+997+6202+886+691.5+1289+1188+504</f>
        <v>49167.5</v>
      </c>
      <c r="N429" s="238">
        <f>2151+404+165+1079+59+230+1523+213+105+142+297+108</f>
        <v>6476</v>
      </c>
      <c r="O429" s="241">
        <f>M429/N429</f>
        <v>7.592263743051266</v>
      </c>
      <c r="P429" s="255">
        <v>1</v>
      </c>
    </row>
    <row r="430" spans="1:16" ht="15">
      <c r="A430" s="66">
        <v>427</v>
      </c>
      <c r="B430" s="49" t="s">
        <v>191</v>
      </c>
      <c r="C430" s="39">
        <v>39787</v>
      </c>
      <c r="D430" s="44" t="s">
        <v>131</v>
      </c>
      <c r="E430" s="44" t="s">
        <v>138</v>
      </c>
      <c r="F430" s="41">
        <v>406</v>
      </c>
      <c r="G430" s="41">
        <v>1</v>
      </c>
      <c r="H430" s="41">
        <v>37</v>
      </c>
      <c r="I430" s="301">
        <v>504</v>
      </c>
      <c r="J430" s="138">
        <v>72</v>
      </c>
      <c r="K430" s="138">
        <f>J430/G430</f>
        <v>72</v>
      </c>
      <c r="L430" s="139">
        <f>+I430/J430</f>
        <v>7</v>
      </c>
      <c r="M430" s="301">
        <v>30424262</v>
      </c>
      <c r="N430" s="138">
        <v>3707086</v>
      </c>
      <c r="O430" s="103">
        <f>+M430/N430</f>
        <v>8.207055892417927</v>
      </c>
      <c r="P430" s="247"/>
    </row>
    <row r="431" spans="1:16" ht="15">
      <c r="A431" s="66">
        <v>428</v>
      </c>
      <c r="B431" s="49" t="s">
        <v>26</v>
      </c>
      <c r="C431" s="39">
        <v>39808</v>
      </c>
      <c r="D431" s="44" t="s">
        <v>134</v>
      </c>
      <c r="E431" s="44" t="s">
        <v>133</v>
      </c>
      <c r="F431" s="41">
        <v>75</v>
      </c>
      <c r="G431" s="41">
        <v>5</v>
      </c>
      <c r="H431" s="41">
        <v>24</v>
      </c>
      <c r="I431" s="301">
        <v>498.5</v>
      </c>
      <c r="J431" s="138">
        <v>41</v>
      </c>
      <c r="K431" s="138">
        <f>(J431/G431)</f>
        <v>8.2</v>
      </c>
      <c r="L431" s="139">
        <f>I431/J431</f>
        <v>12.158536585365853</v>
      </c>
      <c r="M431" s="301">
        <f>681566+578530+317284.5+141025.5+34373.5+6375+4225+7402.5+1014+4479+2688+2267+1765+1219+204+316+300+873+1730+496+330+1664+421+498.5</f>
        <v>1791046.5</v>
      </c>
      <c r="N431" s="138">
        <f>64102+57106+32401+16644+4655+1030+644+1623+143+828+480+469+323+195+43+62+60+181+410+62+33+416+52+41</f>
        <v>182003</v>
      </c>
      <c r="O431" s="103">
        <f>M431/N431</f>
        <v>9.840752624956732</v>
      </c>
      <c r="P431" s="253">
        <v>1</v>
      </c>
    </row>
    <row r="432" spans="1:16" ht="15">
      <c r="A432" s="66">
        <v>429</v>
      </c>
      <c r="B432" s="49" t="s">
        <v>26</v>
      </c>
      <c r="C432" s="39">
        <v>39808</v>
      </c>
      <c r="D432" s="44" t="s">
        <v>134</v>
      </c>
      <c r="E432" s="44" t="s">
        <v>133</v>
      </c>
      <c r="F432" s="41">
        <v>75</v>
      </c>
      <c r="G432" s="41">
        <v>1</v>
      </c>
      <c r="H432" s="41">
        <v>20</v>
      </c>
      <c r="I432" s="301">
        <v>496</v>
      </c>
      <c r="J432" s="138">
        <v>62</v>
      </c>
      <c r="K432" s="138">
        <f>(J432/G432)</f>
        <v>62</v>
      </c>
      <c r="L432" s="139">
        <f>I432/J432</f>
        <v>8</v>
      </c>
      <c r="M432" s="301">
        <f>681566+578530+317284.5+141025.5+34373.5+6375+4225+7402.5+1014+4479+2688+2267+1765+1219+204+316+300+873+1730+496</f>
        <v>1788133</v>
      </c>
      <c r="N432" s="138">
        <f>64102+57106+32401+16644+4655+1030+644+1623+143+828+480+469+323+195+43+62+60+181+410+62</f>
        <v>181461</v>
      </c>
      <c r="O432" s="103">
        <f>M432/N432</f>
        <v>9.854089859529045</v>
      </c>
      <c r="P432" s="247"/>
    </row>
    <row r="433" spans="1:16" ht="15">
      <c r="A433" s="66">
        <v>430</v>
      </c>
      <c r="B433" s="49" t="s">
        <v>161</v>
      </c>
      <c r="C433" s="39">
        <v>39766</v>
      </c>
      <c r="D433" s="44" t="s">
        <v>197</v>
      </c>
      <c r="E433" s="44" t="s">
        <v>198</v>
      </c>
      <c r="F433" s="41">
        <v>50</v>
      </c>
      <c r="G433" s="41">
        <v>2</v>
      </c>
      <c r="H433" s="41">
        <v>28</v>
      </c>
      <c r="I433" s="301">
        <v>490</v>
      </c>
      <c r="J433" s="138">
        <v>75</v>
      </c>
      <c r="K433" s="138">
        <f>J433/G433</f>
        <v>37.5</v>
      </c>
      <c r="L433" s="139">
        <f>I433/J433</f>
        <v>6.533333333333333</v>
      </c>
      <c r="M433" s="301">
        <v>258371</v>
      </c>
      <c r="N433" s="138">
        <v>38764</v>
      </c>
      <c r="O433" s="103">
        <f>+M433/N433</f>
        <v>6.665230626354349</v>
      </c>
      <c r="P433" s="255">
        <v>1</v>
      </c>
    </row>
    <row r="434" spans="1:16" ht="15">
      <c r="A434" s="66">
        <v>431</v>
      </c>
      <c r="B434" s="49" t="s">
        <v>149</v>
      </c>
      <c r="C434" s="39">
        <v>39801</v>
      </c>
      <c r="D434" s="44" t="s">
        <v>4</v>
      </c>
      <c r="E434" s="44" t="s">
        <v>77</v>
      </c>
      <c r="F434" s="41">
        <v>19</v>
      </c>
      <c r="G434" s="41">
        <v>1</v>
      </c>
      <c r="H434" s="41">
        <v>36</v>
      </c>
      <c r="I434" s="301">
        <v>480</v>
      </c>
      <c r="J434" s="138">
        <v>60</v>
      </c>
      <c r="K434" s="138">
        <f>J434/G434</f>
        <v>60</v>
      </c>
      <c r="L434" s="139">
        <f>I434/J434</f>
        <v>8</v>
      </c>
      <c r="M434" s="301">
        <v>149368</v>
      </c>
      <c r="N434" s="138">
        <v>14833</v>
      </c>
      <c r="O434" s="103">
        <f>+M434/N434</f>
        <v>10.069979100653947</v>
      </c>
      <c r="P434" s="255">
        <v>1</v>
      </c>
    </row>
    <row r="435" spans="1:16" ht="15">
      <c r="A435" s="66">
        <v>432</v>
      </c>
      <c r="B435" s="49" t="s">
        <v>64</v>
      </c>
      <c r="C435" s="39">
        <v>39759</v>
      </c>
      <c r="D435" s="44" t="s">
        <v>65</v>
      </c>
      <c r="E435" s="44" t="s">
        <v>66</v>
      </c>
      <c r="F435" s="41">
        <v>156</v>
      </c>
      <c r="G435" s="41">
        <v>2</v>
      </c>
      <c r="H435" s="41">
        <v>42</v>
      </c>
      <c r="I435" s="301">
        <v>478</v>
      </c>
      <c r="J435" s="138">
        <v>88</v>
      </c>
      <c r="K435" s="138">
        <f>+J435/G435</f>
        <v>44</v>
      </c>
      <c r="L435" s="139">
        <f>+I435/J435</f>
        <v>5.431818181818182</v>
      </c>
      <c r="M435" s="301">
        <v>23415765</v>
      </c>
      <c r="N435" s="138">
        <v>2787469</v>
      </c>
      <c r="O435" s="103">
        <f>+M435/N435</f>
        <v>8.400367860593247</v>
      </c>
      <c r="P435" s="254"/>
    </row>
    <row r="436" spans="1:16" ht="15">
      <c r="A436" s="66">
        <v>433</v>
      </c>
      <c r="B436" s="49" t="s">
        <v>26</v>
      </c>
      <c r="C436" s="39">
        <v>39808</v>
      </c>
      <c r="D436" s="44" t="s">
        <v>134</v>
      </c>
      <c r="E436" s="44" t="s">
        <v>133</v>
      </c>
      <c r="F436" s="41">
        <v>75</v>
      </c>
      <c r="G436" s="41">
        <v>2</v>
      </c>
      <c r="H436" s="41">
        <v>25</v>
      </c>
      <c r="I436" s="301">
        <v>478</v>
      </c>
      <c r="J436" s="138">
        <v>47</v>
      </c>
      <c r="K436" s="138">
        <f>(J436/G436)</f>
        <v>23.5</v>
      </c>
      <c r="L436" s="139">
        <f>I436/J436</f>
        <v>10.170212765957446</v>
      </c>
      <c r="M436" s="301">
        <f>681566+578530+317284.5+141025.5+34373.5+6375+4225+7402.5+1014+4479+2688+2267+1765+1219+204+316+300+873+1730+496+330+1664+421+498.5+478</f>
        <v>1791524.5</v>
      </c>
      <c r="N436" s="138">
        <f>64102+57106+32401+16644+4655+1030+644+1623+143+828+480+469+323+195+43+62+60+181+410+62+33+416+52+41+47</f>
        <v>182050</v>
      </c>
      <c r="O436" s="103">
        <f>M436/N436</f>
        <v>9.840837681955506</v>
      </c>
      <c r="P436" s="255"/>
    </row>
    <row r="437" spans="1:16" ht="15">
      <c r="A437" s="66">
        <v>434</v>
      </c>
      <c r="B437" s="53" t="s">
        <v>82</v>
      </c>
      <c r="C437" s="39">
        <v>39633</v>
      </c>
      <c r="D437" s="45" t="s">
        <v>4</v>
      </c>
      <c r="E437" s="45" t="s">
        <v>77</v>
      </c>
      <c r="F437" s="50">
        <v>28</v>
      </c>
      <c r="G437" s="50">
        <v>1</v>
      </c>
      <c r="H437" s="50">
        <v>27</v>
      </c>
      <c r="I437" s="327">
        <v>475</v>
      </c>
      <c r="J437" s="328">
        <v>95</v>
      </c>
      <c r="K437" s="136">
        <f>+J437/G437</f>
        <v>95</v>
      </c>
      <c r="L437" s="137">
        <f>+I437/J437</f>
        <v>5</v>
      </c>
      <c r="M437" s="327">
        <v>315463</v>
      </c>
      <c r="N437" s="328">
        <v>42108</v>
      </c>
      <c r="O437" s="104">
        <f aca="true" t="shared" si="29" ref="O437:O457">+M437/N437</f>
        <v>7.491759285646433</v>
      </c>
      <c r="P437" s="253"/>
    </row>
    <row r="438" spans="1:16" ht="15">
      <c r="A438" s="66">
        <v>435</v>
      </c>
      <c r="B438" s="275" t="s">
        <v>149</v>
      </c>
      <c r="C438" s="39">
        <v>39801</v>
      </c>
      <c r="D438" s="44" t="s">
        <v>4</v>
      </c>
      <c r="E438" s="44" t="s">
        <v>77</v>
      </c>
      <c r="F438" s="41">
        <v>19</v>
      </c>
      <c r="G438" s="41">
        <v>1</v>
      </c>
      <c r="H438" s="41">
        <v>20</v>
      </c>
      <c r="I438" s="332">
        <v>468</v>
      </c>
      <c r="J438" s="138">
        <v>133</v>
      </c>
      <c r="K438" s="138">
        <f>+J438/G438</f>
        <v>133</v>
      </c>
      <c r="L438" s="273">
        <f>+I438/J438</f>
        <v>3.518796992481203</v>
      </c>
      <c r="M438" s="332">
        <v>148640</v>
      </c>
      <c r="N438" s="138">
        <v>14730</v>
      </c>
      <c r="O438" s="274">
        <f t="shared" si="29"/>
        <v>10.090970807875085</v>
      </c>
      <c r="P438" s="247"/>
    </row>
    <row r="439" spans="1:16" ht="15">
      <c r="A439" s="66">
        <v>436</v>
      </c>
      <c r="B439" s="49" t="s">
        <v>436</v>
      </c>
      <c r="C439" s="39">
        <v>39689</v>
      </c>
      <c r="D439" s="44" t="s">
        <v>4</v>
      </c>
      <c r="E439" s="44" t="s">
        <v>77</v>
      </c>
      <c r="F439" s="41">
        <v>4</v>
      </c>
      <c r="G439" s="41">
        <v>2</v>
      </c>
      <c r="H439" s="41">
        <v>44</v>
      </c>
      <c r="I439" s="301">
        <v>457</v>
      </c>
      <c r="J439" s="138">
        <v>72</v>
      </c>
      <c r="K439" s="138">
        <f>+J439/G439</f>
        <v>36</v>
      </c>
      <c r="L439" s="139">
        <f>+I439/J439</f>
        <v>6.347222222222222</v>
      </c>
      <c r="M439" s="301">
        <v>41216</v>
      </c>
      <c r="N439" s="138">
        <v>3539</v>
      </c>
      <c r="O439" s="103">
        <f t="shared" si="29"/>
        <v>11.646227747951398</v>
      </c>
      <c r="P439" s="255"/>
    </row>
    <row r="440" spans="1:16" ht="15">
      <c r="A440" s="66">
        <v>437</v>
      </c>
      <c r="B440" s="275" t="s">
        <v>25</v>
      </c>
      <c r="C440" s="39">
        <v>39808</v>
      </c>
      <c r="D440" s="44" t="s">
        <v>131</v>
      </c>
      <c r="E440" s="44" t="s">
        <v>111</v>
      </c>
      <c r="F440" s="41">
        <v>112</v>
      </c>
      <c r="G440" s="41">
        <v>3</v>
      </c>
      <c r="H440" s="41">
        <v>19</v>
      </c>
      <c r="I440" s="332">
        <v>455</v>
      </c>
      <c r="J440" s="138">
        <v>98</v>
      </c>
      <c r="K440" s="138">
        <f>J440/G440</f>
        <v>32.666666666666664</v>
      </c>
      <c r="L440" s="273">
        <f>+I440/J440</f>
        <v>4.642857142857143</v>
      </c>
      <c r="M440" s="332">
        <v>2058720</v>
      </c>
      <c r="N440" s="138">
        <v>214729</v>
      </c>
      <c r="O440" s="274">
        <f t="shared" si="29"/>
        <v>9.587526603299974</v>
      </c>
      <c r="P440" s="255">
        <v>1</v>
      </c>
    </row>
    <row r="441" spans="1:16" ht="15">
      <c r="A441" s="66">
        <v>438</v>
      </c>
      <c r="B441" s="49" t="s">
        <v>516</v>
      </c>
      <c r="C441" s="39">
        <v>39038</v>
      </c>
      <c r="D441" s="44" t="s">
        <v>132</v>
      </c>
      <c r="E441" s="44" t="s">
        <v>517</v>
      </c>
      <c r="F441" s="41">
        <v>20</v>
      </c>
      <c r="G441" s="41">
        <v>1</v>
      </c>
      <c r="H441" s="41">
        <v>29</v>
      </c>
      <c r="I441" s="301">
        <v>455</v>
      </c>
      <c r="J441" s="138">
        <v>91</v>
      </c>
      <c r="K441" s="138">
        <f>J441/G441</f>
        <v>91</v>
      </c>
      <c r="L441" s="139">
        <f>I441/J441</f>
        <v>5</v>
      </c>
      <c r="M441" s="301">
        <f>85423.5+40609.5+16428+10894.5+3106.5+2427+2630+460+1511+1189+1802+286+188+1782+2376+2230+1880+1432+216+1901+710+24+29+1510.5+2376+380+155+450+455</f>
        <v>184861.5</v>
      </c>
      <c r="N441" s="138">
        <f>10842+5203+2181+1838+640+457+494+92+303+238+212+63+42+446+475+446+376+205+25+475+4+142+5+378+594+76+31+90+91</f>
        <v>26464</v>
      </c>
      <c r="O441" s="103">
        <f t="shared" si="29"/>
        <v>6.985395253929867</v>
      </c>
      <c r="P441" s="255">
        <v>1</v>
      </c>
    </row>
    <row r="442" spans="1:16" ht="15">
      <c r="A442" s="66">
        <v>439</v>
      </c>
      <c r="B442" s="275" t="s">
        <v>367</v>
      </c>
      <c r="C442" s="39">
        <v>39528</v>
      </c>
      <c r="D442" s="44" t="s">
        <v>131</v>
      </c>
      <c r="E442" s="44" t="s">
        <v>127</v>
      </c>
      <c r="F442" s="41">
        <v>33</v>
      </c>
      <c r="G442" s="41">
        <v>1</v>
      </c>
      <c r="H442" s="41">
        <v>62</v>
      </c>
      <c r="I442" s="332">
        <v>450</v>
      </c>
      <c r="J442" s="138">
        <v>150</v>
      </c>
      <c r="K442" s="138">
        <f>J442/G442</f>
        <v>150</v>
      </c>
      <c r="L442" s="273">
        <f>I442/J442</f>
        <v>3</v>
      </c>
      <c r="M442" s="332">
        <v>130633</v>
      </c>
      <c r="N442" s="138">
        <v>14153</v>
      </c>
      <c r="O442" s="274">
        <f t="shared" si="29"/>
        <v>9.230057231682329</v>
      </c>
      <c r="P442" s="255"/>
    </row>
    <row r="443" spans="1:16" ht="15">
      <c r="A443" s="66">
        <v>440</v>
      </c>
      <c r="B443" s="49" t="s">
        <v>436</v>
      </c>
      <c r="C443" s="39">
        <v>39689</v>
      </c>
      <c r="D443" s="44" t="s">
        <v>4</v>
      </c>
      <c r="E443" s="44" t="s">
        <v>77</v>
      </c>
      <c r="F443" s="41">
        <v>4</v>
      </c>
      <c r="G443" s="41">
        <v>1</v>
      </c>
      <c r="H443" s="41">
        <v>43</v>
      </c>
      <c r="I443" s="301">
        <v>448</v>
      </c>
      <c r="J443" s="138">
        <v>56</v>
      </c>
      <c r="K443" s="138">
        <f>+J443/G443</f>
        <v>56</v>
      </c>
      <c r="L443" s="139">
        <f>+I443/J443</f>
        <v>8</v>
      </c>
      <c r="M443" s="301">
        <v>40759</v>
      </c>
      <c r="N443" s="138">
        <v>3467</v>
      </c>
      <c r="O443" s="103">
        <f t="shared" si="29"/>
        <v>11.75627343524661</v>
      </c>
      <c r="P443" s="255">
        <v>1</v>
      </c>
    </row>
    <row r="444" spans="1:16" ht="15">
      <c r="A444" s="66">
        <v>441</v>
      </c>
      <c r="B444" s="240" t="s">
        <v>144</v>
      </c>
      <c r="C444" s="236">
        <v>39801</v>
      </c>
      <c r="D444" s="235" t="s">
        <v>130</v>
      </c>
      <c r="E444" s="235" t="s">
        <v>122</v>
      </c>
      <c r="F444" s="237">
        <v>69</v>
      </c>
      <c r="G444" s="237">
        <v>1</v>
      </c>
      <c r="H444" s="237">
        <v>14</v>
      </c>
      <c r="I444" s="331">
        <v>443</v>
      </c>
      <c r="J444" s="238">
        <v>82</v>
      </c>
      <c r="K444" s="238">
        <f aca="true" t="shared" si="30" ref="K444:K452">J444/G444</f>
        <v>82</v>
      </c>
      <c r="L444" s="239">
        <f>I444/J444</f>
        <v>5.402439024390244</v>
      </c>
      <c r="M444" s="331">
        <f>820286+588484+413907+112495+41441-111+9385+4586+8718+1191+251+1065+1821+1022+443</f>
        <v>2004984</v>
      </c>
      <c r="N444" s="238">
        <f>83839+57678+42374+12212+5722-11+2124+1350+1256+191+41+182+386+174+82</f>
        <v>207600</v>
      </c>
      <c r="O444" s="241">
        <f t="shared" si="29"/>
        <v>9.657919075144509</v>
      </c>
      <c r="P444" s="247"/>
    </row>
    <row r="445" spans="1:16" ht="15">
      <c r="A445" s="66">
        <v>442</v>
      </c>
      <c r="B445" s="49" t="s">
        <v>83</v>
      </c>
      <c r="C445" s="39">
        <v>39633</v>
      </c>
      <c r="D445" s="44" t="s">
        <v>131</v>
      </c>
      <c r="E445" s="44" t="s">
        <v>127</v>
      </c>
      <c r="F445" s="41">
        <v>123</v>
      </c>
      <c r="G445" s="41">
        <v>1</v>
      </c>
      <c r="H445" s="41">
        <v>48</v>
      </c>
      <c r="I445" s="301">
        <v>441</v>
      </c>
      <c r="J445" s="138">
        <v>350</v>
      </c>
      <c r="K445" s="138">
        <f t="shared" si="30"/>
        <v>350</v>
      </c>
      <c r="L445" s="139">
        <f>+I445/J445</f>
        <v>1.26</v>
      </c>
      <c r="M445" s="301">
        <v>1543564</v>
      </c>
      <c r="N445" s="138">
        <v>213892</v>
      </c>
      <c r="O445" s="103">
        <f t="shared" si="29"/>
        <v>7.216557889028108</v>
      </c>
      <c r="P445" s="255">
        <v>1</v>
      </c>
    </row>
    <row r="446" spans="1:16" ht="15">
      <c r="A446" s="66">
        <v>443</v>
      </c>
      <c r="B446" s="49" t="s">
        <v>214</v>
      </c>
      <c r="C446" s="39">
        <v>39808</v>
      </c>
      <c r="D446" s="44" t="s">
        <v>131</v>
      </c>
      <c r="E446" s="44" t="s">
        <v>111</v>
      </c>
      <c r="F446" s="41">
        <v>112</v>
      </c>
      <c r="G446" s="41">
        <v>1</v>
      </c>
      <c r="H446" s="41">
        <v>25</v>
      </c>
      <c r="I446" s="301">
        <v>441</v>
      </c>
      <c r="J446" s="138">
        <v>350</v>
      </c>
      <c r="K446" s="138">
        <f t="shared" si="30"/>
        <v>350</v>
      </c>
      <c r="L446" s="139">
        <f>I446/J446</f>
        <v>1.26</v>
      </c>
      <c r="M446" s="301">
        <v>2065081</v>
      </c>
      <c r="N446" s="138">
        <v>217142</v>
      </c>
      <c r="O446" s="103">
        <f t="shared" si="29"/>
        <v>9.510278987943373</v>
      </c>
      <c r="P446" s="255">
        <v>1</v>
      </c>
    </row>
    <row r="447" spans="1:16" ht="15">
      <c r="A447" s="66">
        <v>444</v>
      </c>
      <c r="B447" s="240" t="s">
        <v>22</v>
      </c>
      <c r="C447" s="236">
        <v>39787</v>
      </c>
      <c r="D447" s="235" t="s">
        <v>131</v>
      </c>
      <c r="E447" s="235" t="s">
        <v>138</v>
      </c>
      <c r="F447" s="237">
        <v>406</v>
      </c>
      <c r="G447" s="237">
        <v>1</v>
      </c>
      <c r="H447" s="237">
        <v>17</v>
      </c>
      <c r="I447" s="331">
        <v>441</v>
      </c>
      <c r="J447" s="238">
        <v>350</v>
      </c>
      <c r="K447" s="238">
        <f t="shared" si="30"/>
        <v>350</v>
      </c>
      <c r="L447" s="239">
        <f>+I447/J447</f>
        <v>1.26</v>
      </c>
      <c r="M447" s="331">
        <v>30401184</v>
      </c>
      <c r="N447" s="238">
        <v>3702640</v>
      </c>
      <c r="O447" s="241">
        <f t="shared" si="29"/>
        <v>8.210677786660328</v>
      </c>
      <c r="P447" s="255"/>
    </row>
    <row r="448" spans="1:16" ht="15">
      <c r="A448" s="66">
        <v>445</v>
      </c>
      <c r="B448" s="210" t="s">
        <v>95</v>
      </c>
      <c r="C448" s="205">
        <v>39717</v>
      </c>
      <c r="D448" s="203" t="s">
        <v>131</v>
      </c>
      <c r="E448" s="203" t="s">
        <v>96</v>
      </c>
      <c r="F448" s="204">
        <v>130</v>
      </c>
      <c r="G448" s="204">
        <v>1</v>
      </c>
      <c r="H448" s="204">
        <v>16</v>
      </c>
      <c r="I448" s="330">
        <v>441</v>
      </c>
      <c r="J448" s="200">
        <v>350</v>
      </c>
      <c r="K448" s="200">
        <f t="shared" si="30"/>
        <v>350</v>
      </c>
      <c r="L448" s="206">
        <f>+I448/J448</f>
        <v>1.26</v>
      </c>
      <c r="M448" s="330">
        <v>1478708</v>
      </c>
      <c r="N448" s="200">
        <v>170677</v>
      </c>
      <c r="O448" s="211">
        <f t="shared" si="29"/>
        <v>8.663780122687884</v>
      </c>
      <c r="P448" s="255"/>
    </row>
    <row r="449" spans="1:16" ht="15">
      <c r="A449" s="66">
        <v>446</v>
      </c>
      <c r="B449" s="49" t="s">
        <v>83</v>
      </c>
      <c r="C449" s="40">
        <v>39633</v>
      </c>
      <c r="D449" s="65" t="s">
        <v>131</v>
      </c>
      <c r="E449" s="44" t="s">
        <v>127</v>
      </c>
      <c r="F449" s="41">
        <v>123</v>
      </c>
      <c r="G449" s="41">
        <v>1</v>
      </c>
      <c r="H449" s="41">
        <v>24</v>
      </c>
      <c r="I449" s="301">
        <v>441</v>
      </c>
      <c r="J449" s="138">
        <v>350</v>
      </c>
      <c r="K449" s="138">
        <f t="shared" si="30"/>
        <v>350</v>
      </c>
      <c r="L449" s="139">
        <f>+I449/J449</f>
        <v>1.26</v>
      </c>
      <c r="M449" s="301">
        <v>1541323</v>
      </c>
      <c r="N449" s="138">
        <v>212942</v>
      </c>
      <c r="O449" s="103">
        <f t="shared" si="29"/>
        <v>7.238229189168882</v>
      </c>
      <c r="P449" s="247"/>
    </row>
    <row r="450" spans="1:16" ht="15">
      <c r="A450" s="66">
        <v>447</v>
      </c>
      <c r="B450" s="275" t="s">
        <v>72</v>
      </c>
      <c r="C450" s="39">
        <v>39773</v>
      </c>
      <c r="D450" s="44" t="s">
        <v>131</v>
      </c>
      <c r="E450" s="44" t="s">
        <v>126</v>
      </c>
      <c r="F450" s="41">
        <v>204</v>
      </c>
      <c r="G450" s="41">
        <v>1</v>
      </c>
      <c r="H450" s="41">
        <v>25</v>
      </c>
      <c r="I450" s="332">
        <v>441</v>
      </c>
      <c r="J450" s="138">
        <v>350</v>
      </c>
      <c r="K450" s="138">
        <f t="shared" si="30"/>
        <v>350</v>
      </c>
      <c r="L450" s="273">
        <f>I450/J450</f>
        <v>1.26</v>
      </c>
      <c r="M450" s="332">
        <v>11443781</v>
      </c>
      <c r="N450" s="138">
        <v>1418076</v>
      </c>
      <c r="O450" s="274">
        <f t="shared" si="29"/>
        <v>8.069934897706469</v>
      </c>
      <c r="P450" s="247"/>
    </row>
    <row r="451" spans="1:16" ht="15">
      <c r="A451" s="66">
        <v>448</v>
      </c>
      <c r="B451" s="49" t="s">
        <v>191</v>
      </c>
      <c r="C451" s="39">
        <v>39787</v>
      </c>
      <c r="D451" s="44" t="s">
        <v>131</v>
      </c>
      <c r="E451" s="44" t="s">
        <v>138</v>
      </c>
      <c r="F451" s="41">
        <v>406</v>
      </c>
      <c r="G451" s="41">
        <v>1</v>
      </c>
      <c r="H451" s="41">
        <v>33</v>
      </c>
      <c r="I451" s="301">
        <v>441</v>
      </c>
      <c r="J451" s="138">
        <v>280</v>
      </c>
      <c r="K451" s="138">
        <f t="shared" si="30"/>
        <v>280</v>
      </c>
      <c r="L451" s="139">
        <f>I451/J451</f>
        <v>1.575</v>
      </c>
      <c r="M451" s="301">
        <v>30403091</v>
      </c>
      <c r="N451" s="138">
        <v>3703553</v>
      </c>
      <c r="O451" s="103">
        <f t="shared" si="29"/>
        <v>8.209168601070377</v>
      </c>
      <c r="P451" s="255"/>
    </row>
    <row r="452" spans="1:16" ht="15">
      <c r="A452" s="66">
        <v>449</v>
      </c>
      <c r="B452" s="49" t="s">
        <v>445</v>
      </c>
      <c r="C452" s="39">
        <v>39808</v>
      </c>
      <c r="D452" s="44" t="s">
        <v>131</v>
      </c>
      <c r="E452" s="44" t="s">
        <v>111</v>
      </c>
      <c r="F452" s="41">
        <v>112</v>
      </c>
      <c r="G452" s="41">
        <v>1</v>
      </c>
      <c r="H452" s="41">
        <v>30</v>
      </c>
      <c r="I452" s="301">
        <v>441</v>
      </c>
      <c r="J452" s="138">
        <v>280</v>
      </c>
      <c r="K452" s="138">
        <f t="shared" si="30"/>
        <v>280</v>
      </c>
      <c r="L452" s="139">
        <f>I452/J452</f>
        <v>1.575</v>
      </c>
      <c r="M452" s="301">
        <v>2066764</v>
      </c>
      <c r="N452" s="138">
        <v>218054</v>
      </c>
      <c r="O452" s="103">
        <f t="shared" si="29"/>
        <v>9.478220991130637</v>
      </c>
      <c r="P452" s="255"/>
    </row>
    <row r="453" spans="1:16" ht="15">
      <c r="A453" s="66">
        <v>450</v>
      </c>
      <c r="B453" s="240" t="s">
        <v>58</v>
      </c>
      <c r="C453" s="236">
        <v>39745</v>
      </c>
      <c r="D453" s="235" t="s">
        <v>4</v>
      </c>
      <c r="E453" s="235" t="s">
        <v>59</v>
      </c>
      <c r="F453" s="237">
        <v>71</v>
      </c>
      <c r="G453" s="237">
        <v>1</v>
      </c>
      <c r="H453" s="237">
        <v>17</v>
      </c>
      <c r="I453" s="331">
        <v>440</v>
      </c>
      <c r="J453" s="238">
        <v>83</v>
      </c>
      <c r="K453" s="238">
        <f>+J453/G453</f>
        <v>83</v>
      </c>
      <c r="L453" s="239">
        <f>+I453/J453</f>
        <v>5.301204819277109</v>
      </c>
      <c r="M453" s="331">
        <v>1288589</v>
      </c>
      <c r="N453" s="238">
        <v>145943</v>
      </c>
      <c r="O453" s="241">
        <f t="shared" si="29"/>
        <v>8.829399148982821</v>
      </c>
      <c r="P453" s="255"/>
    </row>
    <row r="454" spans="1:16" ht="15">
      <c r="A454" s="66">
        <v>451</v>
      </c>
      <c r="B454" s="210" t="s">
        <v>97</v>
      </c>
      <c r="C454" s="205">
        <v>39752</v>
      </c>
      <c r="D454" s="203" t="s">
        <v>131</v>
      </c>
      <c r="E454" s="203" t="s">
        <v>124</v>
      </c>
      <c r="F454" s="204">
        <v>45</v>
      </c>
      <c r="G454" s="204">
        <v>1</v>
      </c>
      <c r="H454" s="204">
        <v>10</v>
      </c>
      <c r="I454" s="330">
        <v>435</v>
      </c>
      <c r="J454" s="200">
        <v>87</v>
      </c>
      <c r="K454" s="200">
        <f>J454/G454</f>
        <v>87</v>
      </c>
      <c r="L454" s="206">
        <f>+I454/J454</f>
        <v>5</v>
      </c>
      <c r="M454" s="330">
        <v>454346</v>
      </c>
      <c r="N454" s="200">
        <v>49344</v>
      </c>
      <c r="O454" s="211">
        <f t="shared" si="29"/>
        <v>9.207725356679637</v>
      </c>
      <c r="P454" s="255"/>
    </row>
    <row r="455" spans="1:16" ht="15">
      <c r="A455" s="66">
        <v>452</v>
      </c>
      <c r="B455" s="49" t="s">
        <v>44</v>
      </c>
      <c r="C455" s="39">
        <v>39780</v>
      </c>
      <c r="D455" s="44" t="s">
        <v>131</v>
      </c>
      <c r="E455" s="44" t="s">
        <v>127</v>
      </c>
      <c r="F455" s="41">
        <v>121</v>
      </c>
      <c r="G455" s="41">
        <v>2</v>
      </c>
      <c r="H455" s="41">
        <v>20</v>
      </c>
      <c r="I455" s="301">
        <v>435</v>
      </c>
      <c r="J455" s="138">
        <v>76</v>
      </c>
      <c r="K455" s="138">
        <f>J455/G455</f>
        <v>38</v>
      </c>
      <c r="L455" s="139">
        <f aca="true" t="shared" si="31" ref="L455:L461">I455/J455</f>
        <v>5.723684210526316</v>
      </c>
      <c r="M455" s="301">
        <v>3463801</v>
      </c>
      <c r="N455" s="138">
        <v>407626</v>
      </c>
      <c r="O455" s="103">
        <f t="shared" si="29"/>
        <v>8.497497706230712</v>
      </c>
      <c r="P455" s="255">
        <v>1</v>
      </c>
    </row>
    <row r="456" spans="1:16" ht="15">
      <c r="A456" s="66">
        <v>453</v>
      </c>
      <c r="B456" s="49" t="s">
        <v>58</v>
      </c>
      <c r="C456" s="39">
        <v>39745</v>
      </c>
      <c r="D456" s="44" t="s">
        <v>4</v>
      </c>
      <c r="E456" s="44" t="s">
        <v>59</v>
      </c>
      <c r="F456" s="41">
        <v>72</v>
      </c>
      <c r="G456" s="41">
        <v>1</v>
      </c>
      <c r="H456" s="41">
        <v>37</v>
      </c>
      <c r="I456" s="301">
        <v>424</v>
      </c>
      <c r="J456" s="138">
        <v>57</v>
      </c>
      <c r="K456" s="138">
        <f>+J456/G456</f>
        <v>57</v>
      </c>
      <c r="L456" s="139">
        <f t="shared" si="31"/>
        <v>7.43859649122807</v>
      </c>
      <c r="M456" s="301">
        <v>1650790</v>
      </c>
      <c r="N456" s="138">
        <v>187072</v>
      </c>
      <c r="O456" s="103">
        <f t="shared" si="29"/>
        <v>8.824356397536777</v>
      </c>
      <c r="P456" s="255"/>
    </row>
    <row r="457" spans="1:16" ht="15">
      <c r="A457" s="66">
        <v>454</v>
      </c>
      <c r="B457" s="49" t="s">
        <v>161</v>
      </c>
      <c r="C457" s="39">
        <v>39766</v>
      </c>
      <c r="D457" s="44" t="s">
        <v>197</v>
      </c>
      <c r="E457" s="44" t="s">
        <v>198</v>
      </c>
      <c r="F457" s="41">
        <v>50</v>
      </c>
      <c r="G457" s="41">
        <v>3</v>
      </c>
      <c r="H457" s="41">
        <v>29</v>
      </c>
      <c r="I457" s="301">
        <v>421</v>
      </c>
      <c r="J457" s="138">
        <v>79</v>
      </c>
      <c r="K457" s="138">
        <f>J457/G457</f>
        <v>26.333333333333332</v>
      </c>
      <c r="L457" s="139">
        <f t="shared" si="31"/>
        <v>5.329113924050633</v>
      </c>
      <c r="M457" s="301">
        <v>258792</v>
      </c>
      <c r="N457" s="138">
        <v>38843</v>
      </c>
      <c r="O457" s="103">
        <f t="shared" si="29"/>
        <v>6.662513194140514</v>
      </c>
      <c r="P457" s="255"/>
    </row>
    <row r="458" spans="1:16" ht="15">
      <c r="A458" s="66">
        <v>455</v>
      </c>
      <c r="B458" s="49" t="s">
        <v>26</v>
      </c>
      <c r="C458" s="39">
        <v>39808</v>
      </c>
      <c r="D458" s="44" t="s">
        <v>134</v>
      </c>
      <c r="E458" s="44" t="s">
        <v>133</v>
      </c>
      <c r="F458" s="41">
        <v>75</v>
      </c>
      <c r="G458" s="41">
        <v>2</v>
      </c>
      <c r="H458" s="41">
        <v>23</v>
      </c>
      <c r="I458" s="301">
        <v>421</v>
      </c>
      <c r="J458" s="138">
        <v>52</v>
      </c>
      <c r="K458" s="138">
        <f>(J458/G458)</f>
        <v>26</v>
      </c>
      <c r="L458" s="139">
        <f t="shared" si="31"/>
        <v>8.096153846153847</v>
      </c>
      <c r="M458" s="301">
        <f>681566+578530+317284.5+141025.5+34373.5+6375+4225+7402.5+1014+4479+2688+2267+1765+1219+204+316+300+873+1730+496+330+1664+421</f>
        <v>1790548</v>
      </c>
      <c r="N458" s="138">
        <f>64102+57106+32401+16644+4655+1030+644+1623+143+828+480+469+323+195+43+62+60+181+410+62+33+416+52</f>
        <v>181962</v>
      </c>
      <c r="O458" s="103">
        <f>M458/N458</f>
        <v>9.840230377771183</v>
      </c>
      <c r="P458" s="255"/>
    </row>
    <row r="459" spans="1:16" ht="15">
      <c r="A459" s="66">
        <v>456</v>
      </c>
      <c r="B459" s="240" t="s">
        <v>142</v>
      </c>
      <c r="C459" s="236">
        <v>39794</v>
      </c>
      <c r="D459" s="235" t="s">
        <v>134</v>
      </c>
      <c r="E459" s="235" t="s">
        <v>133</v>
      </c>
      <c r="F459" s="237">
        <v>100</v>
      </c>
      <c r="G459" s="237">
        <v>1</v>
      </c>
      <c r="H459" s="237">
        <v>12</v>
      </c>
      <c r="I459" s="331">
        <v>420</v>
      </c>
      <c r="J459" s="238">
        <v>65</v>
      </c>
      <c r="K459" s="238">
        <f>(J459/G459)</f>
        <v>65</v>
      </c>
      <c r="L459" s="239">
        <f t="shared" si="31"/>
        <v>6.461538461538462</v>
      </c>
      <c r="M459" s="331">
        <f>1276778.5+626123+380324+112679.5+54533+36086+4129+3620.5+4348+1030+1904+420</f>
        <v>2501975.5</v>
      </c>
      <c r="N459" s="238">
        <f>133555+68793+41581+14968+8873+6454+539+324+976+204+524+65</f>
        <v>276856</v>
      </c>
      <c r="O459" s="241">
        <f>M459/N459</f>
        <v>9.03710051434681</v>
      </c>
      <c r="P459" s="255"/>
    </row>
    <row r="460" spans="1:16" ht="15">
      <c r="A460" s="66">
        <v>457</v>
      </c>
      <c r="B460" s="49" t="s">
        <v>64</v>
      </c>
      <c r="C460" s="39">
        <v>39759</v>
      </c>
      <c r="D460" s="44" t="s">
        <v>65</v>
      </c>
      <c r="E460" s="44" t="s">
        <v>66</v>
      </c>
      <c r="F460" s="41">
        <v>156</v>
      </c>
      <c r="G460" s="41">
        <v>3</v>
      </c>
      <c r="H460" s="41">
        <v>30</v>
      </c>
      <c r="I460" s="301">
        <v>417</v>
      </c>
      <c r="J460" s="138">
        <v>75</v>
      </c>
      <c r="K460" s="138">
        <f>J460/G460</f>
        <v>25</v>
      </c>
      <c r="L460" s="139">
        <f t="shared" si="31"/>
        <v>5.56</v>
      </c>
      <c r="M460" s="301">
        <v>23379989.5</v>
      </c>
      <c r="N460" s="138">
        <v>2781409</v>
      </c>
      <c r="O460" s="103">
        <f>+M460/N460</f>
        <v>8.405807811796107</v>
      </c>
      <c r="P460" s="300"/>
    </row>
    <row r="461" spans="1:16" ht="15">
      <c r="A461" s="66">
        <v>458</v>
      </c>
      <c r="B461" s="240" t="s">
        <v>61</v>
      </c>
      <c r="C461" s="236">
        <v>39752</v>
      </c>
      <c r="D461" s="235" t="s">
        <v>134</v>
      </c>
      <c r="E461" s="235" t="s">
        <v>112</v>
      </c>
      <c r="F461" s="237">
        <v>27</v>
      </c>
      <c r="G461" s="237">
        <v>1</v>
      </c>
      <c r="H461" s="237">
        <v>12</v>
      </c>
      <c r="I461" s="331">
        <v>416</v>
      </c>
      <c r="J461" s="238">
        <v>60</v>
      </c>
      <c r="K461" s="238">
        <f>(J461/G461)</f>
        <v>60</v>
      </c>
      <c r="L461" s="239">
        <f t="shared" si="31"/>
        <v>6.933333333333334</v>
      </c>
      <c r="M461" s="331">
        <f>122635.5+51150+18262+4454+16388.5+1375+1246+204+334+67+36+416</f>
        <v>216568</v>
      </c>
      <c r="N461" s="238">
        <f>11002+4826+2043+624+2156+227+195+32+110+10+6+60</f>
        <v>21291</v>
      </c>
      <c r="O461" s="241">
        <f>+M461/N461</f>
        <v>10.17180968484336</v>
      </c>
      <c r="P461" s="254">
        <v>1</v>
      </c>
    </row>
    <row r="462" spans="1:16" ht="15">
      <c r="A462" s="66">
        <v>459</v>
      </c>
      <c r="B462" s="240" t="s">
        <v>57</v>
      </c>
      <c r="C462" s="236">
        <v>39745</v>
      </c>
      <c r="D462" s="235" t="s">
        <v>131</v>
      </c>
      <c r="E462" s="235" t="s">
        <v>32</v>
      </c>
      <c r="F462" s="237">
        <v>57</v>
      </c>
      <c r="G462" s="237">
        <v>1</v>
      </c>
      <c r="H462" s="237">
        <v>20</v>
      </c>
      <c r="I462" s="331">
        <v>400</v>
      </c>
      <c r="J462" s="238">
        <v>67</v>
      </c>
      <c r="K462" s="238">
        <f>J462/G462</f>
        <v>67</v>
      </c>
      <c r="L462" s="239">
        <f>+I462/J462</f>
        <v>5.970149253731344</v>
      </c>
      <c r="M462" s="331">
        <v>1170952</v>
      </c>
      <c r="N462" s="238">
        <v>127004</v>
      </c>
      <c r="O462" s="241">
        <f>+M462/N462</f>
        <v>9.219804100658248</v>
      </c>
      <c r="P462" s="255">
        <v>1</v>
      </c>
    </row>
    <row r="463" spans="1:16" ht="15">
      <c r="A463" s="66">
        <v>460</v>
      </c>
      <c r="B463" s="240" t="s">
        <v>45</v>
      </c>
      <c r="C463" s="236">
        <v>39780</v>
      </c>
      <c r="D463" s="235" t="s">
        <v>134</v>
      </c>
      <c r="E463" s="235" t="s">
        <v>78</v>
      </c>
      <c r="F463" s="237">
        <v>61</v>
      </c>
      <c r="G463" s="237">
        <v>1</v>
      </c>
      <c r="H463" s="237">
        <v>12</v>
      </c>
      <c r="I463" s="331">
        <v>396</v>
      </c>
      <c r="J463" s="238">
        <v>84</v>
      </c>
      <c r="K463" s="238">
        <f>(J463/G463)</f>
        <v>84</v>
      </c>
      <c r="L463" s="239">
        <f>I463/J463</f>
        <v>4.714285714285714</v>
      </c>
      <c r="M463" s="331">
        <f>499000.5+313125.5+89561.5+27980+2002.5+4772+1387+1470+1387+1387+1119+396</f>
        <v>943588</v>
      </c>
      <c r="N463" s="238">
        <f>48458+27725+9315+4737+330+944+309+224+175+250+246+84</f>
        <v>92797</v>
      </c>
      <c r="O463" s="241">
        <f>M463/N463</f>
        <v>10.168302854618146</v>
      </c>
      <c r="P463" s="255"/>
    </row>
    <row r="464" spans="1:16" ht="15">
      <c r="A464" s="66">
        <v>461</v>
      </c>
      <c r="B464" s="49" t="s">
        <v>147</v>
      </c>
      <c r="C464" s="39">
        <v>39801</v>
      </c>
      <c r="D464" s="44" t="s">
        <v>134</v>
      </c>
      <c r="E464" s="44" t="s">
        <v>148</v>
      </c>
      <c r="F464" s="41">
        <v>42</v>
      </c>
      <c r="G464" s="41">
        <v>2</v>
      </c>
      <c r="H464" s="41">
        <v>27</v>
      </c>
      <c r="I464" s="301">
        <v>393</v>
      </c>
      <c r="J464" s="138">
        <v>78</v>
      </c>
      <c r="K464" s="138">
        <f>(J464/G464)</f>
        <v>39</v>
      </c>
      <c r="L464" s="139">
        <f>I464/J464</f>
        <v>5.038461538461538</v>
      </c>
      <c r="M464" s="301">
        <f>295344+204961.5+145464.5+116108.5+111972.5+49984+26327+32042+18579+20005+19180+15980+2686.5+3166.5+366+13433+4493+735.5+607.5+2528+83+198+248+2348+825+2700+2268+393</f>
        <v>1093027</v>
      </c>
      <c r="N464" s="138">
        <f>36142+24747+19417+15404+14719+7567+3314+5289+3173+3275+3534+2826+540+724+52+2536+882+130+150+615+21+66+51+497+165+675+506+78</f>
        <v>147095</v>
      </c>
      <c r="O464" s="103">
        <f>M464/N464</f>
        <v>7.430755634114008</v>
      </c>
      <c r="P464" s="255"/>
    </row>
    <row r="465" spans="1:16" ht="15">
      <c r="A465" s="66">
        <v>462</v>
      </c>
      <c r="B465" s="275" t="s">
        <v>72</v>
      </c>
      <c r="C465" s="39">
        <v>39773</v>
      </c>
      <c r="D465" s="44" t="s">
        <v>131</v>
      </c>
      <c r="E465" s="44" t="s">
        <v>126</v>
      </c>
      <c r="F465" s="41">
        <v>204</v>
      </c>
      <c r="G465" s="41">
        <v>1</v>
      </c>
      <c r="H465" s="41">
        <v>24</v>
      </c>
      <c r="I465" s="332">
        <v>392</v>
      </c>
      <c r="J465" s="138">
        <v>76</v>
      </c>
      <c r="K465" s="138">
        <f>J465/G465</f>
        <v>76</v>
      </c>
      <c r="L465" s="273">
        <f>+I465/J465</f>
        <v>5.157894736842105</v>
      </c>
      <c r="M465" s="332">
        <v>11443340</v>
      </c>
      <c r="N465" s="138">
        <v>1417726</v>
      </c>
      <c r="O465" s="274">
        <f aca="true" t="shared" si="32" ref="O465:O470">+M465/N465</f>
        <v>8.071616095070556</v>
      </c>
      <c r="P465" s="247"/>
    </row>
    <row r="466" spans="1:16" ht="15">
      <c r="A466" s="66">
        <v>463</v>
      </c>
      <c r="B466" s="48" t="s">
        <v>84</v>
      </c>
      <c r="C466" s="39">
        <v>39738</v>
      </c>
      <c r="D466" s="43" t="s">
        <v>130</v>
      </c>
      <c r="E466" s="42" t="s">
        <v>122</v>
      </c>
      <c r="F466" s="54">
        <v>52</v>
      </c>
      <c r="G466" s="54">
        <v>1</v>
      </c>
      <c r="H466" s="54">
        <v>11</v>
      </c>
      <c r="I466" s="327">
        <v>392</v>
      </c>
      <c r="J466" s="328">
        <v>67</v>
      </c>
      <c r="K466" s="140">
        <f>J466/G466</f>
        <v>67</v>
      </c>
      <c r="L466" s="141">
        <f>I466/J466</f>
        <v>5.850746268656716</v>
      </c>
      <c r="M466" s="327">
        <f>406562+322843+70349+13845+3121+7380+8038+2297+3564+114+392</f>
        <v>838505</v>
      </c>
      <c r="N466" s="328">
        <f>38224+30194+7191+2669+501+1117+1379+703+1188+19+67</f>
        <v>83252</v>
      </c>
      <c r="O466" s="105">
        <f t="shared" si="32"/>
        <v>10.071890164800845</v>
      </c>
      <c r="P466" s="255">
        <v>1</v>
      </c>
    </row>
    <row r="467" spans="1:16" ht="15">
      <c r="A467" s="66">
        <v>464</v>
      </c>
      <c r="B467" s="49" t="s">
        <v>22</v>
      </c>
      <c r="C467" s="236">
        <v>39787</v>
      </c>
      <c r="D467" s="235" t="s">
        <v>131</v>
      </c>
      <c r="E467" s="65" t="s">
        <v>138</v>
      </c>
      <c r="F467" s="237">
        <v>406</v>
      </c>
      <c r="G467" s="237">
        <v>1</v>
      </c>
      <c r="H467" s="237">
        <v>15</v>
      </c>
      <c r="I467" s="331">
        <v>385</v>
      </c>
      <c r="J467" s="238">
        <v>81</v>
      </c>
      <c r="K467" s="238">
        <f>J467/G467</f>
        <v>81</v>
      </c>
      <c r="L467" s="239">
        <f>+I467/J467</f>
        <v>4.753086419753086</v>
      </c>
      <c r="M467" s="331">
        <v>30400302</v>
      </c>
      <c r="N467" s="238">
        <v>3701940</v>
      </c>
      <c r="O467" s="241">
        <f t="shared" si="32"/>
        <v>8.21199209063356</v>
      </c>
      <c r="P467" s="266">
        <v>1</v>
      </c>
    </row>
    <row r="468" spans="1:16" ht="15">
      <c r="A468" s="66">
        <v>465</v>
      </c>
      <c r="B468" s="240" t="s">
        <v>285</v>
      </c>
      <c r="C468" s="236">
        <v>39465</v>
      </c>
      <c r="D468" s="235" t="s">
        <v>4</v>
      </c>
      <c r="E468" s="235" t="s">
        <v>286</v>
      </c>
      <c r="F468" s="237">
        <v>16</v>
      </c>
      <c r="G468" s="237">
        <v>1</v>
      </c>
      <c r="H468" s="237">
        <v>62</v>
      </c>
      <c r="I468" s="331">
        <v>379</v>
      </c>
      <c r="J468" s="238">
        <v>62</v>
      </c>
      <c r="K468" s="238">
        <f>+J468/G468</f>
        <v>62</v>
      </c>
      <c r="L468" s="239">
        <f>+I468/J468</f>
        <v>6.112903225806452</v>
      </c>
      <c r="M468" s="331">
        <v>157388</v>
      </c>
      <c r="N468" s="238">
        <v>16293</v>
      </c>
      <c r="O468" s="241">
        <f t="shared" si="32"/>
        <v>9.659853924998465</v>
      </c>
      <c r="P468" s="255"/>
    </row>
    <row r="469" spans="1:16" ht="15">
      <c r="A469" s="66">
        <v>466</v>
      </c>
      <c r="B469" s="275" t="s">
        <v>309</v>
      </c>
      <c r="C469" s="39">
        <v>39542</v>
      </c>
      <c r="D469" s="44" t="s">
        <v>4</v>
      </c>
      <c r="E469" s="44" t="s">
        <v>77</v>
      </c>
      <c r="F469" s="41">
        <v>24</v>
      </c>
      <c r="G469" s="41">
        <v>1</v>
      </c>
      <c r="H469" s="41">
        <v>58</v>
      </c>
      <c r="I469" s="332">
        <v>376</v>
      </c>
      <c r="J469" s="138">
        <v>83</v>
      </c>
      <c r="K469" s="138">
        <f>+J469/G469</f>
        <v>83</v>
      </c>
      <c r="L469" s="273">
        <f>+I469/J469</f>
        <v>4.530120481927711</v>
      </c>
      <c r="M469" s="332">
        <v>179895</v>
      </c>
      <c r="N469" s="138">
        <v>19678</v>
      </c>
      <c r="O469" s="274">
        <f t="shared" si="32"/>
        <v>9.14193515601179</v>
      </c>
      <c r="P469" s="255">
        <v>1</v>
      </c>
    </row>
    <row r="470" spans="1:16" ht="15">
      <c r="A470" s="66">
        <v>467</v>
      </c>
      <c r="B470" s="49" t="s">
        <v>298</v>
      </c>
      <c r="C470" s="39">
        <v>39766</v>
      </c>
      <c r="D470" s="44" t="s">
        <v>131</v>
      </c>
      <c r="E470" s="44" t="s">
        <v>111</v>
      </c>
      <c r="F470" s="41">
        <v>86</v>
      </c>
      <c r="G470" s="41">
        <v>2</v>
      </c>
      <c r="H470" s="41">
        <v>22</v>
      </c>
      <c r="I470" s="301">
        <v>369</v>
      </c>
      <c r="J470" s="138">
        <v>68</v>
      </c>
      <c r="K470" s="138">
        <f>J470/G470</f>
        <v>34</v>
      </c>
      <c r="L470" s="139">
        <f>I470/J470</f>
        <v>5.426470588235294</v>
      </c>
      <c r="M470" s="301">
        <v>962041</v>
      </c>
      <c r="N470" s="138">
        <v>103478</v>
      </c>
      <c r="O470" s="103">
        <f t="shared" si="32"/>
        <v>9.29705831191171</v>
      </c>
      <c r="P470" s="255"/>
    </row>
    <row r="471" spans="1:16" ht="15">
      <c r="A471" s="66">
        <v>468</v>
      </c>
      <c r="B471" s="240" t="s">
        <v>147</v>
      </c>
      <c r="C471" s="236">
        <v>39801</v>
      </c>
      <c r="D471" s="235" t="s">
        <v>134</v>
      </c>
      <c r="E471" s="235" t="s">
        <v>148</v>
      </c>
      <c r="F471" s="237">
        <v>42</v>
      </c>
      <c r="G471" s="237">
        <v>2</v>
      </c>
      <c r="H471" s="237">
        <v>15</v>
      </c>
      <c r="I471" s="331">
        <v>366</v>
      </c>
      <c r="J471" s="238">
        <v>52</v>
      </c>
      <c r="K471" s="238">
        <f>(J471/G471)</f>
        <v>26</v>
      </c>
      <c r="L471" s="239">
        <f>I471/J471</f>
        <v>7.038461538461538</v>
      </c>
      <c r="M471" s="331">
        <f>295344+204961.5+145464.5+116108.5+111972.5+49984+26327+32042+18579+20005+19180+15980+2686.5+3166.5+366</f>
        <v>1062167</v>
      </c>
      <c r="N471" s="238">
        <f>36142+24747+19417+15404+14719+7567+3314+5289+3173+3275+3534+2826+540+724+52</f>
        <v>140723</v>
      </c>
      <c r="O471" s="241">
        <f>M471/N471</f>
        <v>7.547927488754503</v>
      </c>
      <c r="P471" s="247"/>
    </row>
    <row r="472" spans="1:16" ht="15">
      <c r="A472" s="66">
        <v>469</v>
      </c>
      <c r="B472" s="49" t="s">
        <v>67</v>
      </c>
      <c r="C472" s="39">
        <v>39759</v>
      </c>
      <c r="D472" s="44" t="s">
        <v>134</v>
      </c>
      <c r="E472" s="44" t="s">
        <v>223</v>
      </c>
      <c r="F472" s="41">
        <v>93</v>
      </c>
      <c r="G472" s="41">
        <v>1</v>
      </c>
      <c r="H472" s="41">
        <v>16</v>
      </c>
      <c r="I472" s="301">
        <v>360</v>
      </c>
      <c r="J472" s="138">
        <v>80</v>
      </c>
      <c r="K472" s="138">
        <f>(J472/G472)</f>
        <v>80</v>
      </c>
      <c r="L472" s="139">
        <f>I472/J472</f>
        <v>4.5</v>
      </c>
      <c r="M472" s="301">
        <f>224223+136351+27895+24212+1274+3482+7147+2804+5279+2025+2635+2196+1188+832+2140+360</f>
        <v>444043</v>
      </c>
      <c r="N472" s="138">
        <f>27969+18593+4268+4646+311+857+1472+745+1285+386+636+549+297+208+535+80</f>
        <v>62837</v>
      </c>
      <c r="O472" s="103">
        <f>M472/N472</f>
        <v>7.066584973821156</v>
      </c>
      <c r="P472" s="247">
        <v>1</v>
      </c>
    </row>
    <row r="473" spans="1:16" ht="15">
      <c r="A473" s="66">
        <v>470</v>
      </c>
      <c r="B473" s="49" t="s">
        <v>61</v>
      </c>
      <c r="C473" s="39">
        <v>39752</v>
      </c>
      <c r="D473" s="44" t="s">
        <v>134</v>
      </c>
      <c r="E473" s="44" t="s">
        <v>112</v>
      </c>
      <c r="F473" s="41">
        <v>27</v>
      </c>
      <c r="G473" s="41">
        <v>2</v>
      </c>
      <c r="H473" s="41">
        <v>13</v>
      </c>
      <c r="I473" s="301">
        <v>360</v>
      </c>
      <c r="J473" s="138">
        <v>43</v>
      </c>
      <c r="K473" s="138">
        <f>(J473/G473)</f>
        <v>21.5</v>
      </c>
      <c r="L473" s="139">
        <f>I473/J473</f>
        <v>8.372093023255815</v>
      </c>
      <c r="M473" s="301">
        <f>122635.5+51150+18262+4454+16388.5+1375+1246+204+334+67+36+416+360</f>
        <v>216928</v>
      </c>
      <c r="N473" s="138">
        <f>11002+4826+2043+624+2156+227+195+32+110+10+6+60+43</f>
        <v>21334</v>
      </c>
      <c r="O473" s="103">
        <f>M473/N473</f>
        <v>10.168182244304866</v>
      </c>
      <c r="P473" s="255"/>
    </row>
    <row r="474" spans="1:16" ht="15">
      <c r="A474" s="66">
        <v>471</v>
      </c>
      <c r="B474" s="240" t="s">
        <v>145</v>
      </c>
      <c r="C474" s="236">
        <v>39801</v>
      </c>
      <c r="D474" s="235" t="s">
        <v>136</v>
      </c>
      <c r="E474" s="235" t="s">
        <v>146</v>
      </c>
      <c r="F474" s="237">
        <v>84</v>
      </c>
      <c r="G474" s="237">
        <v>1</v>
      </c>
      <c r="H474" s="237">
        <v>10</v>
      </c>
      <c r="I474" s="331">
        <v>354</v>
      </c>
      <c r="J474" s="238">
        <v>69</v>
      </c>
      <c r="K474" s="238">
        <f>IF(I474&lt;&gt;0,J474/G474,"")</f>
        <v>69</v>
      </c>
      <c r="L474" s="239">
        <f>I474/J474</f>
        <v>5.130434782608695</v>
      </c>
      <c r="M474" s="331">
        <f>369313.5+145108.5+43813+31258+11772.5+5392.5+2080+3225+50+354</f>
        <v>612367</v>
      </c>
      <c r="N474" s="238">
        <f>41017+16460+6346+5364+2357+1094+419+545+10+69</f>
        <v>73681</v>
      </c>
      <c r="O474" s="241">
        <f>+M474/N474</f>
        <v>8.311057124631859</v>
      </c>
      <c r="P474" s="255"/>
    </row>
    <row r="475" spans="1:16" ht="15">
      <c r="A475" s="66">
        <v>472</v>
      </c>
      <c r="B475" s="49" t="s">
        <v>49</v>
      </c>
      <c r="C475" s="40">
        <v>39710</v>
      </c>
      <c r="D475" s="44" t="s">
        <v>107</v>
      </c>
      <c r="E475" s="44" t="s">
        <v>107</v>
      </c>
      <c r="F475" s="41">
        <v>66</v>
      </c>
      <c r="G475" s="41">
        <v>4</v>
      </c>
      <c r="H475" s="41">
        <v>16</v>
      </c>
      <c r="I475" s="301">
        <v>351.5</v>
      </c>
      <c r="J475" s="138">
        <v>65</v>
      </c>
      <c r="K475" s="136">
        <f>+J475/G475</f>
        <v>16.25</v>
      </c>
      <c r="L475" s="137">
        <f>+I475/J475</f>
        <v>5.407692307692308</v>
      </c>
      <c r="M475" s="301">
        <f>152576+127511+68854.5+21974+10111.5+7103+7290+0.5+1014+3149+989+3524+0.5+3768+138+2528+257+351.5</f>
        <v>411139.5</v>
      </c>
      <c r="N475" s="138">
        <f>50018+825+47+65</f>
        <v>50955</v>
      </c>
      <c r="O475" s="104">
        <f>+M475/N475</f>
        <v>8.068678245510744</v>
      </c>
      <c r="P475" s="253"/>
    </row>
    <row r="476" spans="1:16" ht="15">
      <c r="A476" s="66">
        <v>473</v>
      </c>
      <c r="B476" s="275" t="s">
        <v>380</v>
      </c>
      <c r="C476" s="39">
        <v>39696</v>
      </c>
      <c r="D476" s="44" t="s">
        <v>4</v>
      </c>
      <c r="E476" s="44" t="s">
        <v>77</v>
      </c>
      <c r="F476" s="41">
        <v>1</v>
      </c>
      <c r="G476" s="41">
        <v>1</v>
      </c>
      <c r="H476" s="41">
        <v>39</v>
      </c>
      <c r="I476" s="332">
        <v>350</v>
      </c>
      <c r="J476" s="138">
        <v>41</v>
      </c>
      <c r="K476" s="138">
        <f>+J476/G476</f>
        <v>41</v>
      </c>
      <c r="L476" s="273">
        <f>+I476/J476</f>
        <v>8.536585365853659</v>
      </c>
      <c r="M476" s="332">
        <v>4575</v>
      </c>
      <c r="N476" s="138">
        <v>407</v>
      </c>
      <c r="O476" s="274">
        <f>+M476/N476</f>
        <v>11.24078624078624</v>
      </c>
      <c r="P476" s="247"/>
    </row>
    <row r="477" spans="1:16" ht="15">
      <c r="A477" s="66">
        <v>474</v>
      </c>
      <c r="B477" s="49" t="s">
        <v>299</v>
      </c>
      <c r="C477" s="39">
        <v>39528</v>
      </c>
      <c r="D477" s="44" t="s">
        <v>4</v>
      </c>
      <c r="E477" s="44" t="s">
        <v>300</v>
      </c>
      <c r="F477" s="41">
        <v>34</v>
      </c>
      <c r="G477" s="41">
        <v>1</v>
      </c>
      <c r="H477" s="41">
        <v>56</v>
      </c>
      <c r="I477" s="301">
        <v>347</v>
      </c>
      <c r="J477" s="138">
        <v>67</v>
      </c>
      <c r="K477" s="138">
        <f>+J477/G477</f>
        <v>67</v>
      </c>
      <c r="L477" s="139">
        <f>+I477/J477</f>
        <v>5.17910447761194</v>
      </c>
      <c r="M477" s="301">
        <v>910275</v>
      </c>
      <c r="N477" s="138">
        <v>102714</v>
      </c>
      <c r="O477" s="103">
        <f>+M477/N477</f>
        <v>8.862229102167182</v>
      </c>
      <c r="P477" s="247"/>
    </row>
    <row r="478" spans="1:16" ht="15">
      <c r="A478" s="66">
        <v>475</v>
      </c>
      <c r="B478" s="240" t="s">
        <v>40</v>
      </c>
      <c r="C478" s="236">
        <v>39752</v>
      </c>
      <c r="D478" s="235" t="s">
        <v>255</v>
      </c>
      <c r="E478" s="235" t="s">
        <v>1</v>
      </c>
      <c r="F478" s="237">
        <v>1</v>
      </c>
      <c r="G478" s="237">
        <v>1</v>
      </c>
      <c r="H478" s="237">
        <v>7</v>
      </c>
      <c r="I478" s="331">
        <v>345</v>
      </c>
      <c r="J478" s="238">
        <v>69</v>
      </c>
      <c r="K478" s="238">
        <f>(J478/G478)</f>
        <v>69</v>
      </c>
      <c r="L478" s="239">
        <f aca="true" t="shared" si="33" ref="L478:L483">I478/J478</f>
        <v>5</v>
      </c>
      <c r="M478" s="331">
        <f>5026+4844+3356+2376+712+1590+345</f>
        <v>18249</v>
      </c>
      <c r="N478" s="238">
        <f>591+575+394+594+178+189+69</f>
        <v>2590</v>
      </c>
      <c r="O478" s="241">
        <f>M478/N478</f>
        <v>7.045945945945946</v>
      </c>
      <c r="P478" s="255"/>
    </row>
    <row r="479" spans="1:16" ht="15">
      <c r="A479" s="66">
        <v>476</v>
      </c>
      <c r="B479" s="49" t="s">
        <v>20</v>
      </c>
      <c r="C479" s="40">
        <v>39773</v>
      </c>
      <c r="D479" s="44" t="s">
        <v>132</v>
      </c>
      <c r="E479" s="44" t="s">
        <v>21</v>
      </c>
      <c r="F479" s="41">
        <v>10</v>
      </c>
      <c r="G479" s="41">
        <v>2</v>
      </c>
      <c r="H479" s="41">
        <v>5</v>
      </c>
      <c r="I479" s="301">
        <v>344</v>
      </c>
      <c r="J479" s="138">
        <v>61</v>
      </c>
      <c r="K479" s="140">
        <f>(J479/G479)</f>
        <v>30.5</v>
      </c>
      <c r="L479" s="141">
        <f t="shared" si="33"/>
        <v>5.639344262295082</v>
      </c>
      <c r="M479" s="301">
        <f>43532.5+13875+1400+341+344</f>
        <v>59492.5</v>
      </c>
      <c r="N479" s="138">
        <f>3969+1359+251+52+61</f>
        <v>5692</v>
      </c>
      <c r="O479" s="105">
        <f>M479/N479</f>
        <v>10.451950105411104</v>
      </c>
      <c r="P479" s="254">
        <v>1</v>
      </c>
    </row>
    <row r="480" spans="1:16" ht="15">
      <c r="A480" s="66">
        <v>477</v>
      </c>
      <c r="B480" s="49" t="s">
        <v>61</v>
      </c>
      <c r="C480" s="39">
        <v>39752</v>
      </c>
      <c r="D480" s="44" t="s">
        <v>134</v>
      </c>
      <c r="E480" s="44" t="s">
        <v>112</v>
      </c>
      <c r="F480" s="41">
        <v>27</v>
      </c>
      <c r="G480" s="41">
        <v>1</v>
      </c>
      <c r="H480" s="41">
        <v>14</v>
      </c>
      <c r="I480" s="301">
        <v>344</v>
      </c>
      <c r="J480" s="138">
        <v>43</v>
      </c>
      <c r="K480" s="138">
        <f>(J480/G480)</f>
        <v>43</v>
      </c>
      <c r="L480" s="139">
        <f t="shared" si="33"/>
        <v>8</v>
      </c>
      <c r="M480" s="301">
        <f>122635.5+51150+18262+4454+16388.5+1375+1246+204+334+67+36+416+360+344</f>
        <v>217272</v>
      </c>
      <c r="N480" s="138">
        <f>11002+4826+2043+624+2156+227+195+32+110+10+6+60+43+43</f>
        <v>21377</v>
      </c>
      <c r="O480" s="103">
        <f>M480/N480</f>
        <v>10.16382092903588</v>
      </c>
      <c r="P480" s="300"/>
    </row>
    <row r="481" spans="1:16" ht="15">
      <c r="A481" s="66">
        <v>478</v>
      </c>
      <c r="B481" s="49" t="s">
        <v>147</v>
      </c>
      <c r="C481" s="39">
        <v>39801</v>
      </c>
      <c r="D481" s="44" t="s">
        <v>134</v>
      </c>
      <c r="E481" s="44" t="s">
        <v>148</v>
      </c>
      <c r="F481" s="41">
        <v>42</v>
      </c>
      <c r="G481" s="41">
        <v>1</v>
      </c>
      <c r="H481" s="41">
        <v>31</v>
      </c>
      <c r="I481" s="301">
        <v>343</v>
      </c>
      <c r="J481" s="138">
        <v>59</v>
      </c>
      <c r="K481" s="138">
        <f>(J481/G481)</f>
        <v>59</v>
      </c>
      <c r="L481" s="139">
        <f t="shared" si="33"/>
        <v>5.813559322033898</v>
      </c>
      <c r="M481" s="301">
        <f>295344+204961.5+145464.5+116108.5+111972.5+49984+26327+32042+18579+20005+19180+15980+2686.5+3166.5+366+13433+4493+735.5+607.5+2528+83+198+248+2348+825+2700+2268+393+2002+2063+343</f>
        <v>1097435</v>
      </c>
      <c r="N481" s="138">
        <f>36142+24747+19417+15404+14719+7567+3314+5289+3173+3275+3534+2826+540+724+52+2536+882+130+150+615+21+66+51+497+165+675+506+78+241+404+59</f>
        <v>147799</v>
      </c>
      <c r="O481" s="103">
        <f>M481/N481</f>
        <v>7.425185556059243</v>
      </c>
      <c r="P481" s="255"/>
    </row>
    <row r="482" spans="1:16" ht="15">
      <c r="A482" s="66">
        <v>479</v>
      </c>
      <c r="B482" s="240" t="s">
        <v>44</v>
      </c>
      <c r="C482" s="236">
        <v>39780</v>
      </c>
      <c r="D482" s="235" t="s">
        <v>131</v>
      </c>
      <c r="E482" s="235" t="s">
        <v>127</v>
      </c>
      <c r="F482" s="237">
        <v>121</v>
      </c>
      <c r="G482" s="237">
        <v>2</v>
      </c>
      <c r="H482" s="237">
        <v>17</v>
      </c>
      <c r="I482" s="331">
        <v>341</v>
      </c>
      <c r="J482" s="238">
        <v>57</v>
      </c>
      <c r="K482" s="238">
        <f>J482/G482</f>
        <v>28.5</v>
      </c>
      <c r="L482" s="239">
        <f t="shared" si="33"/>
        <v>5.982456140350878</v>
      </c>
      <c r="M482" s="331">
        <v>3457039</v>
      </c>
      <c r="N482" s="238">
        <v>406135</v>
      </c>
      <c r="O482" s="241">
        <f>+M482/N482</f>
        <v>8.51204402477009</v>
      </c>
      <c r="P482" s="255"/>
    </row>
    <row r="483" spans="1:16" ht="15">
      <c r="A483" s="66">
        <v>480</v>
      </c>
      <c r="B483" s="240" t="s">
        <v>69</v>
      </c>
      <c r="C483" s="236">
        <v>39766</v>
      </c>
      <c r="D483" s="235" t="s">
        <v>134</v>
      </c>
      <c r="E483" s="235" t="s">
        <v>50</v>
      </c>
      <c r="F483" s="237">
        <v>20</v>
      </c>
      <c r="G483" s="237">
        <v>1</v>
      </c>
      <c r="H483" s="237">
        <v>13</v>
      </c>
      <c r="I483" s="331">
        <v>338</v>
      </c>
      <c r="J483" s="238">
        <v>68</v>
      </c>
      <c r="K483" s="238">
        <f>(J483/G483)</f>
        <v>68</v>
      </c>
      <c r="L483" s="239">
        <f t="shared" si="33"/>
        <v>4.970588235294118</v>
      </c>
      <c r="M483" s="331">
        <f>109364.5+38539+31287+12101+5368+8640.5+12331+9410+9143+5719+2775+1424+1017+338</f>
        <v>247457</v>
      </c>
      <c r="N483" s="238">
        <f>11866+4674+4443+2133+1061+1670+2334+1542+1728+1224+544+356+207+68</f>
        <v>33850</v>
      </c>
      <c r="O483" s="241">
        <f>M483/N483</f>
        <v>7.3103988183161</v>
      </c>
      <c r="P483" s="255">
        <v>1</v>
      </c>
    </row>
    <row r="484" spans="1:16" ht="15">
      <c r="A484" s="66">
        <v>481</v>
      </c>
      <c r="B484" s="49" t="s">
        <v>23</v>
      </c>
      <c r="C484" s="39">
        <v>39808</v>
      </c>
      <c r="D484" s="44" t="s">
        <v>136</v>
      </c>
      <c r="E484" s="44" t="s">
        <v>24</v>
      </c>
      <c r="F484" s="41">
        <v>198</v>
      </c>
      <c r="G484" s="41">
        <v>1</v>
      </c>
      <c r="H484" s="41">
        <v>16</v>
      </c>
      <c r="I484" s="301">
        <v>337</v>
      </c>
      <c r="J484" s="138">
        <v>66</v>
      </c>
      <c r="K484" s="138">
        <f>IF(I484&lt;&gt;0,J484/G484,"")</f>
        <v>66</v>
      </c>
      <c r="L484" s="139">
        <f>IF(I484&lt;&gt;0,I484/J484,"")</f>
        <v>5.106060606060606</v>
      </c>
      <c r="M484" s="301">
        <v>1762384</v>
      </c>
      <c r="N484" s="138">
        <v>228467</v>
      </c>
      <c r="O484" s="103">
        <f>IF(M484&lt;&gt;0,M484/N484,"")</f>
        <v>7.713954312876695</v>
      </c>
      <c r="P484" s="255"/>
    </row>
    <row r="485" spans="1:16" ht="15">
      <c r="A485" s="66">
        <v>482</v>
      </c>
      <c r="B485" s="49" t="s">
        <v>359</v>
      </c>
      <c r="C485" s="39">
        <v>39738</v>
      </c>
      <c r="D485" s="44" t="s">
        <v>131</v>
      </c>
      <c r="E485" s="44" t="s">
        <v>43</v>
      </c>
      <c r="F485" s="41">
        <v>62</v>
      </c>
      <c r="G485" s="41">
        <v>1</v>
      </c>
      <c r="H485" s="41">
        <v>38</v>
      </c>
      <c r="I485" s="301">
        <v>336</v>
      </c>
      <c r="J485" s="138">
        <v>42</v>
      </c>
      <c r="K485" s="138">
        <f>J485/G485</f>
        <v>42</v>
      </c>
      <c r="L485" s="139">
        <f>+I485/J485</f>
        <v>8</v>
      </c>
      <c r="M485" s="301">
        <v>732194</v>
      </c>
      <c r="N485" s="138">
        <v>88344</v>
      </c>
      <c r="O485" s="103">
        <f>+M485/N485</f>
        <v>8.287987865616227</v>
      </c>
      <c r="P485" s="255">
        <v>1</v>
      </c>
    </row>
    <row r="486" spans="1:16" ht="15">
      <c r="A486" s="66">
        <v>483</v>
      </c>
      <c r="B486" s="49" t="s">
        <v>26</v>
      </c>
      <c r="C486" s="39">
        <v>39808</v>
      </c>
      <c r="D486" s="44" t="s">
        <v>134</v>
      </c>
      <c r="E486" s="44" t="s">
        <v>133</v>
      </c>
      <c r="F486" s="41">
        <v>75</v>
      </c>
      <c r="G486" s="41">
        <v>1</v>
      </c>
      <c r="H486" s="41">
        <v>21</v>
      </c>
      <c r="I486" s="301">
        <v>330</v>
      </c>
      <c r="J486" s="138">
        <v>33</v>
      </c>
      <c r="K486" s="138">
        <f>(J486/G486)</f>
        <v>33</v>
      </c>
      <c r="L486" s="139">
        <f>I486/J486</f>
        <v>10</v>
      </c>
      <c r="M486" s="301">
        <f>681566+578530+317284.5+141025.5+34373.5+6375+4225+7402.5+1014+4479+2688+2267+1765+1219+204+316+300+873+1730+496+330</f>
        <v>1788463</v>
      </c>
      <c r="N486" s="138">
        <f>64102+57106+32401+16644+4655+1030+644+1623+143+828+480+469+323+195+43+62+60+181+410+62+33</f>
        <v>181494</v>
      </c>
      <c r="O486" s="103">
        <f>M486/N486</f>
        <v>9.854116389522519</v>
      </c>
      <c r="P486" s="300">
        <v>1</v>
      </c>
    </row>
    <row r="487" spans="1:16" ht="15">
      <c r="A487" s="66">
        <v>484</v>
      </c>
      <c r="B487" s="49" t="s">
        <v>268</v>
      </c>
      <c r="C487" s="39">
        <v>39724</v>
      </c>
      <c r="D487" s="44" t="s">
        <v>132</v>
      </c>
      <c r="E487" s="44" t="s">
        <v>107</v>
      </c>
      <c r="F487" s="41">
        <v>40</v>
      </c>
      <c r="G487" s="41">
        <v>1</v>
      </c>
      <c r="H487" s="41">
        <v>16</v>
      </c>
      <c r="I487" s="301">
        <v>325</v>
      </c>
      <c r="J487" s="138">
        <v>65</v>
      </c>
      <c r="K487" s="138">
        <f>J487/G487</f>
        <v>65</v>
      </c>
      <c r="L487" s="139">
        <f>I487/J487</f>
        <v>5</v>
      </c>
      <c r="M487" s="301">
        <f>192113+96740+52854+14954+6896+10470+13434+2509+289+62+1274+1363+35+40+325</f>
        <v>393358</v>
      </c>
      <c r="N487" s="138">
        <f>19993+10602+7693+2633+1151+1896+3059+485+49+7+235+227+5+7+65</f>
        <v>48107</v>
      </c>
      <c r="O487" s="103">
        <f>+M487/N487</f>
        <v>8.176731037063213</v>
      </c>
      <c r="P487" s="255">
        <v>1</v>
      </c>
    </row>
    <row r="488" spans="1:16" ht="15">
      <c r="A488" s="66">
        <v>485</v>
      </c>
      <c r="B488" s="49" t="s">
        <v>142</v>
      </c>
      <c r="C488" s="39">
        <v>39794</v>
      </c>
      <c r="D488" s="44" t="s">
        <v>134</v>
      </c>
      <c r="E488" s="44" t="s">
        <v>133</v>
      </c>
      <c r="F488" s="41">
        <v>100</v>
      </c>
      <c r="G488" s="41">
        <v>4</v>
      </c>
      <c r="H488" s="41">
        <v>17</v>
      </c>
      <c r="I488" s="301">
        <v>322</v>
      </c>
      <c r="J488" s="138">
        <v>29</v>
      </c>
      <c r="K488" s="138">
        <f>(J488/G488)</f>
        <v>7.25</v>
      </c>
      <c r="L488" s="139">
        <f>I488/J488</f>
        <v>11.10344827586207</v>
      </c>
      <c r="M488" s="301">
        <f>1276778.5+626123+380324+112679.5+54533+36086+4129+3620.5+4348+1030+1904+420+1049+5940+2263+280+322</f>
        <v>2511829.5</v>
      </c>
      <c r="N488" s="138">
        <f>133555+68793+41581+14968+8873+6454+539+324+976+204+524+65+169+1485+444+55+29</f>
        <v>279038</v>
      </c>
      <c r="O488" s="103">
        <f>M488/N488</f>
        <v>9.001747073875244</v>
      </c>
      <c r="P488" s="255"/>
    </row>
    <row r="489" spans="1:16" ht="15">
      <c r="A489" s="66">
        <v>486</v>
      </c>
      <c r="B489" s="49" t="s">
        <v>420</v>
      </c>
      <c r="C489" s="39">
        <v>39787</v>
      </c>
      <c r="D489" s="44" t="s">
        <v>132</v>
      </c>
      <c r="E489" s="44" t="s">
        <v>140</v>
      </c>
      <c r="F489" s="41">
        <v>241</v>
      </c>
      <c r="G489" s="41">
        <v>1</v>
      </c>
      <c r="H489" s="41">
        <v>19</v>
      </c>
      <c r="I489" s="301">
        <v>321</v>
      </c>
      <c r="J489" s="138">
        <v>54</v>
      </c>
      <c r="K489" s="138">
        <f>J489/G489</f>
        <v>54</v>
      </c>
      <c r="L489" s="139">
        <f>+I489/J489</f>
        <v>5.944444444444445</v>
      </c>
      <c r="M489" s="301">
        <f>18073242.5+321</f>
        <v>18073563.5</v>
      </c>
      <c r="N489" s="138">
        <f>2315848+54</f>
        <v>2315902</v>
      </c>
      <c r="O489" s="103">
        <f>+M489/N489</f>
        <v>7.804114120545688</v>
      </c>
      <c r="P489" s="255">
        <v>1</v>
      </c>
    </row>
    <row r="490" spans="1:16" ht="15">
      <c r="A490" s="66">
        <v>487</v>
      </c>
      <c r="B490" s="49" t="s">
        <v>69</v>
      </c>
      <c r="C490" s="39">
        <v>39766</v>
      </c>
      <c r="D490" s="44" t="s">
        <v>134</v>
      </c>
      <c r="E490" s="44" t="s">
        <v>50</v>
      </c>
      <c r="F490" s="41">
        <v>20</v>
      </c>
      <c r="G490" s="41">
        <v>1</v>
      </c>
      <c r="H490" s="41">
        <v>22</v>
      </c>
      <c r="I490" s="301">
        <v>320</v>
      </c>
      <c r="J490" s="138">
        <v>64</v>
      </c>
      <c r="K490" s="138">
        <f>(J490/G490)</f>
        <v>64</v>
      </c>
      <c r="L490" s="139">
        <f>I490/J490</f>
        <v>5</v>
      </c>
      <c r="M490" s="301">
        <f>109364.5+38539+31287+12101+5368+8640.5+12331+9410+9143+5719+2775+1424+1017+338+1223+1447+5587+2013+2140+304+245+320</f>
        <v>260736</v>
      </c>
      <c r="N490" s="138">
        <f>11866+4674+4443+2133+1061+1670+2334+1542+1728+1224+544+356+207+68+185+229+749+298+535+76+49+64</f>
        <v>36035</v>
      </c>
      <c r="O490" s="103">
        <f>M490/N490</f>
        <v>7.235632024420702</v>
      </c>
      <c r="P490" s="254"/>
    </row>
    <row r="491" spans="1:16" ht="15">
      <c r="A491" s="66">
        <v>488</v>
      </c>
      <c r="B491" s="275" t="s">
        <v>26</v>
      </c>
      <c r="C491" s="39">
        <v>39808</v>
      </c>
      <c r="D491" s="44" t="s">
        <v>134</v>
      </c>
      <c r="E491" s="44" t="s">
        <v>133</v>
      </c>
      <c r="F491" s="41">
        <v>75</v>
      </c>
      <c r="G491" s="41">
        <v>1</v>
      </c>
      <c r="H491" s="41">
        <v>16</v>
      </c>
      <c r="I491" s="332">
        <v>316</v>
      </c>
      <c r="J491" s="138">
        <v>62</v>
      </c>
      <c r="K491" s="138">
        <f>(J491/G491)</f>
        <v>62</v>
      </c>
      <c r="L491" s="273">
        <f>I491/J491</f>
        <v>5.096774193548387</v>
      </c>
      <c r="M491" s="332">
        <f>681566+578530+317284.5+141025.5+34373.5+6375+4225+7402.5+1014+4479+2688+2267+1765+1219+204+316</f>
        <v>1784734</v>
      </c>
      <c r="N491" s="138">
        <f>64102+57106+32401+16644+4655+1030+644+1623+143+828+480+469+323+195+43+62</f>
        <v>180748</v>
      </c>
      <c r="O491" s="274">
        <f>M491/N491</f>
        <v>9.87415628388696</v>
      </c>
      <c r="P491" s="255">
        <v>1</v>
      </c>
    </row>
    <row r="492" spans="1:16" ht="15">
      <c r="A492" s="66">
        <v>489</v>
      </c>
      <c r="B492" s="49" t="s">
        <v>402</v>
      </c>
      <c r="C492" s="39">
        <v>37162</v>
      </c>
      <c r="D492" s="44" t="s">
        <v>92</v>
      </c>
      <c r="E492" s="44" t="s">
        <v>403</v>
      </c>
      <c r="F492" s="41">
        <v>9</v>
      </c>
      <c r="G492" s="41">
        <v>1</v>
      </c>
      <c r="H492" s="41">
        <v>64</v>
      </c>
      <c r="I492" s="301">
        <v>315</v>
      </c>
      <c r="J492" s="138">
        <v>63</v>
      </c>
      <c r="K492" s="138">
        <f>J492/G492</f>
        <v>63</v>
      </c>
      <c r="L492" s="139">
        <f>I492/J492</f>
        <v>5</v>
      </c>
      <c r="M492" s="301">
        <v>172554.15</v>
      </c>
      <c r="N492" s="138">
        <v>51899</v>
      </c>
      <c r="O492" s="103">
        <f>+M492/N492</f>
        <v>3.3248068363552283</v>
      </c>
      <c r="P492" s="255"/>
    </row>
    <row r="493" spans="1:16" ht="15">
      <c r="A493" s="66">
        <v>490</v>
      </c>
      <c r="B493" s="49" t="s">
        <v>47</v>
      </c>
      <c r="C493" s="39">
        <v>39780</v>
      </c>
      <c r="D493" s="44" t="s">
        <v>134</v>
      </c>
      <c r="E493" s="44" t="s">
        <v>296</v>
      </c>
      <c r="F493" s="41">
        <v>6</v>
      </c>
      <c r="G493" s="41">
        <v>1</v>
      </c>
      <c r="H493" s="41">
        <v>13</v>
      </c>
      <c r="I493" s="301">
        <v>312</v>
      </c>
      <c r="J493" s="138">
        <v>68</v>
      </c>
      <c r="K493" s="138">
        <f>(J493/G493)</f>
        <v>68</v>
      </c>
      <c r="L493" s="139">
        <f>I493/J493</f>
        <v>4.588235294117647</v>
      </c>
      <c r="M493" s="301">
        <f>25457+3030+1123+7370+430+997+6202+886+691.5+1289+1188+504+312</f>
        <v>49479.5</v>
      </c>
      <c r="N493" s="138">
        <f>2151+404+165+1079+59+230+1523+213+105+142+297+108+68</f>
        <v>6544</v>
      </c>
      <c r="O493" s="103">
        <f>M493/N493</f>
        <v>7.561048288508557</v>
      </c>
      <c r="P493" s="255"/>
    </row>
    <row r="494" spans="1:16" ht="15">
      <c r="A494" s="66">
        <v>491</v>
      </c>
      <c r="B494" s="49" t="s">
        <v>167</v>
      </c>
      <c r="C494" s="39">
        <v>39472</v>
      </c>
      <c r="D494" s="44" t="s">
        <v>132</v>
      </c>
      <c r="E494" s="44" t="s">
        <v>107</v>
      </c>
      <c r="F494" s="41">
        <v>59</v>
      </c>
      <c r="G494" s="41">
        <v>1</v>
      </c>
      <c r="H494" s="41">
        <v>33</v>
      </c>
      <c r="I494" s="301">
        <v>312</v>
      </c>
      <c r="J494" s="138">
        <v>52</v>
      </c>
      <c r="K494" s="138">
        <f>J494/G494</f>
        <v>52</v>
      </c>
      <c r="L494" s="139">
        <f>I494/J494</f>
        <v>6</v>
      </c>
      <c r="M494" s="301">
        <f>395290.5+262822+75939+23709.5+4083+1327+9321+1445+1267+2173+4575+201+1748+3343+728+28+948+1329+163+182+173+15521.5+171+40+110+75+183.5+127+124.5+1976+312</f>
        <v>809435.5</v>
      </c>
      <c r="N494" s="138">
        <f>47426+32442+9866+4010+887+225+2185+263+226+460+1077+33+367+887+230+4+139+355+32+35+32+3859+49+8+22+15+68+46+45+659+52</f>
        <v>106004</v>
      </c>
      <c r="O494" s="103">
        <f>+M494/N494</f>
        <v>7.635895815252255</v>
      </c>
      <c r="P494" s="255">
        <v>1</v>
      </c>
    </row>
    <row r="495" spans="1:16" ht="15">
      <c r="A495" s="66">
        <v>492</v>
      </c>
      <c r="B495" s="343" t="s">
        <v>25</v>
      </c>
      <c r="C495" s="40">
        <v>39808</v>
      </c>
      <c r="D495" s="65" t="s">
        <v>131</v>
      </c>
      <c r="E495" s="44" t="s">
        <v>111</v>
      </c>
      <c r="F495" s="41">
        <v>112</v>
      </c>
      <c r="G495" s="41">
        <v>1</v>
      </c>
      <c r="H495" s="41">
        <v>24</v>
      </c>
      <c r="I495" s="301">
        <v>309</v>
      </c>
      <c r="J495" s="138">
        <v>50</v>
      </c>
      <c r="K495" s="138">
        <f>J495/G495</f>
        <v>50</v>
      </c>
      <c r="L495" s="139">
        <f>+I495/J495</f>
        <v>6.18</v>
      </c>
      <c r="M495" s="301">
        <v>2064640</v>
      </c>
      <c r="N495" s="138">
        <v>216792</v>
      </c>
      <c r="O495" s="103">
        <f>+M495/N495</f>
        <v>9.523598656777002</v>
      </c>
      <c r="P495" s="255"/>
    </row>
    <row r="496" spans="1:16" ht="15">
      <c r="A496" s="66">
        <v>493</v>
      </c>
      <c r="B496" s="53" t="s">
        <v>51</v>
      </c>
      <c r="C496" s="39">
        <v>39731</v>
      </c>
      <c r="D496" s="45" t="s">
        <v>4</v>
      </c>
      <c r="E496" s="45" t="s">
        <v>77</v>
      </c>
      <c r="F496" s="50">
        <v>20</v>
      </c>
      <c r="G496" s="50">
        <v>1</v>
      </c>
      <c r="H496" s="50">
        <v>13</v>
      </c>
      <c r="I496" s="327">
        <v>305</v>
      </c>
      <c r="J496" s="334">
        <v>61</v>
      </c>
      <c r="K496" s="136">
        <f>+J496/G496</f>
        <v>61</v>
      </c>
      <c r="L496" s="137">
        <f>+I496/J496</f>
        <v>5</v>
      </c>
      <c r="M496" s="327">
        <v>397120</v>
      </c>
      <c r="N496" s="334">
        <v>35350</v>
      </c>
      <c r="O496" s="104">
        <f>+M496/N496</f>
        <v>11.233946251768034</v>
      </c>
      <c r="P496" s="255"/>
    </row>
    <row r="497" spans="1:16" ht="15">
      <c r="A497" s="66">
        <v>494</v>
      </c>
      <c r="B497" s="275" t="s">
        <v>69</v>
      </c>
      <c r="C497" s="39">
        <v>39766</v>
      </c>
      <c r="D497" s="44" t="s">
        <v>134</v>
      </c>
      <c r="E497" s="44" t="s">
        <v>50</v>
      </c>
      <c r="F497" s="41">
        <v>20</v>
      </c>
      <c r="G497" s="41">
        <v>1</v>
      </c>
      <c r="H497" s="41">
        <v>20</v>
      </c>
      <c r="I497" s="332">
        <v>304</v>
      </c>
      <c r="J497" s="138">
        <v>76</v>
      </c>
      <c r="K497" s="138">
        <f>(J497/G497)</f>
        <v>76</v>
      </c>
      <c r="L497" s="273">
        <f>I497/J497</f>
        <v>4</v>
      </c>
      <c r="M497" s="332">
        <f>109364.5+38539+31287+12101+5368+8640.5+12331+9410+9143+5719+2775+1424+1017+338+1223+1447+5587+2013+2140+304</f>
        <v>260171</v>
      </c>
      <c r="N497" s="138">
        <f>11866+4674+4443+2133+1061+1670+2334+1542+1728+1224+544+356+207+68+185+229+749+298+535+76</f>
        <v>35922</v>
      </c>
      <c r="O497" s="274">
        <f>M497/N497</f>
        <v>7.242664662323924</v>
      </c>
      <c r="P497" s="255"/>
    </row>
    <row r="498" spans="1:16" ht="15">
      <c r="A498" s="66">
        <v>495</v>
      </c>
      <c r="B498" s="210" t="s">
        <v>52</v>
      </c>
      <c r="C498" s="205">
        <v>39738</v>
      </c>
      <c r="D498" s="196" t="s">
        <v>134</v>
      </c>
      <c r="E498" s="203" t="s">
        <v>133</v>
      </c>
      <c r="F498" s="204">
        <v>65</v>
      </c>
      <c r="G498" s="204">
        <v>2</v>
      </c>
      <c r="H498" s="204">
        <v>12</v>
      </c>
      <c r="I498" s="321">
        <v>302</v>
      </c>
      <c r="J498" s="322">
        <v>50</v>
      </c>
      <c r="K498" s="201">
        <f>(J498/G498)</f>
        <v>25</v>
      </c>
      <c r="L498" s="202">
        <f>I498/J498</f>
        <v>6.04</v>
      </c>
      <c r="M498" s="321">
        <f>502954.7+385847+127398.5+41644+35371+15703.5+9494+704+1120.5+952+891+302</f>
        <v>1122382.2</v>
      </c>
      <c r="N498" s="322">
        <f>51438+39611+14487+7156+6343+2488+1591+176+567+238+149+50</f>
        <v>124294</v>
      </c>
      <c r="O498" s="208">
        <f>M498/N498</f>
        <v>9.030059375351987</v>
      </c>
      <c r="P498" s="255">
        <v>1</v>
      </c>
    </row>
    <row r="499" spans="1:16" ht="15">
      <c r="A499" s="66">
        <v>496</v>
      </c>
      <c r="B499" s="49" t="s">
        <v>297</v>
      </c>
      <c r="C499" s="39">
        <v>39402</v>
      </c>
      <c r="D499" s="44" t="s">
        <v>136</v>
      </c>
      <c r="E499" s="44" t="s">
        <v>237</v>
      </c>
      <c r="F499" s="41">
        <v>165</v>
      </c>
      <c r="G499" s="41">
        <v>1</v>
      </c>
      <c r="H499" s="41">
        <v>46</v>
      </c>
      <c r="I499" s="301">
        <v>301</v>
      </c>
      <c r="J499" s="138">
        <v>52</v>
      </c>
      <c r="K499" s="138">
        <v>52</v>
      </c>
      <c r="L499" s="139">
        <v>5.788461538461538</v>
      </c>
      <c r="M499" s="301">
        <v>14646325.5</v>
      </c>
      <c r="N499" s="138">
        <v>2030783</v>
      </c>
      <c r="O499" s="103">
        <v>7.2121568380275</v>
      </c>
      <c r="P499" s="255"/>
    </row>
    <row r="500" spans="1:16" ht="15">
      <c r="A500" s="66">
        <v>497</v>
      </c>
      <c r="B500" s="275" t="s">
        <v>26</v>
      </c>
      <c r="C500" s="39">
        <v>39808</v>
      </c>
      <c r="D500" s="44" t="s">
        <v>134</v>
      </c>
      <c r="E500" s="44" t="s">
        <v>133</v>
      </c>
      <c r="F500" s="41">
        <v>75</v>
      </c>
      <c r="G500" s="41">
        <v>1</v>
      </c>
      <c r="H500" s="41">
        <v>17</v>
      </c>
      <c r="I500" s="332">
        <v>300</v>
      </c>
      <c r="J500" s="138">
        <v>60</v>
      </c>
      <c r="K500" s="138">
        <f>(J500/G500)</f>
        <v>60</v>
      </c>
      <c r="L500" s="273">
        <f aca="true" t="shared" si="34" ref="L500:L507">I500/J500</f>
        <v>5</v>
      </c>
      <c r="M500" s="332">
        <f>681566+578530+317284.5+141025.5+34373.5+6375+4225+7402.5+1014+4479+2688+2267+1765+1219+204+316+300</f>
        <v>1785034</v>
      </c>
      <c r="N500" s="138">
        <f>64102+57106+32401+16644+4655+1030+644+1623+143+828+480+469+323+195+43+62+60</f>
        <v>180808</v>
      </c>
      <c r="O500" s="274">
        <f>M500/N500</f>
        <v>9.872538825715676</v>
      </c>
      <c r="P500" s="253"/>
    </row>
    <row r="501" spans="1:16" ht="15">
      <c r="A501" s="66">
        <v>498</v>
      </c>
      <c r="B501" s="275" t="s">
        <v>359</v>
      </c>
      <c r="C501" s="39">
        <v>39738</v>
      </c>
      <c r="D501" s="44" t="s">
        <v>131</v>
      </c>
      <c r="E501" s="44" t="s">
        <v>43</v>
      </c>
      <c r="F501" s="41">
        <v>62</v>
      </c>
      <c r="G501" s="41">
        <v>1</v>
      </c>
      <c r="H501" s="41">
        <v>31</v>
      </c>
      <c r="I501" s="332">
        <v>294</v>
      </c>
      <c r="J501" s="138">
        <v>113</v>
      </c>
      <c r="K501" s="138">
        <f>J501/G501</f>
        <v>113</v>
      </c>
      <c r="L501" s="273">
        <f t="shared" si="34"/>
        <v>2.601769911504425</v>
      </c>
      <c r="M501" s="332">
        <v>731858</v>
      </c>
      <c r="N501" s="138">
        <v>88302</v>
      </c>
      <c r="O501" s="274">
        <f>+M501/N501</f>
        <v>8.288124844284388</v>
      </c>
      <c r="P501" s="253">
        <v>1</v>
      </c>
    </row>
    <row r="502" spans="1:16" ht="15">
      <c r="A502" s="66">
        <v>499</v>
      </c>
      <c r="B502" s="49" t="s">
        <v>58</v>
      </c>
      <c r="C502" s="39">
        <v>39745</v>
      </c>
      <c r="D502" s="44" t="s">
        <v>4</v>
      </c>
      <c r="E502" s="44" t="s">
        <v>59</v>
      </c>
      <c r="F502" s="41">
        <v>68</v>
      </c>
      <c r="G502" s="41">
        <v>1</v>
      </c>
      <c r="H502" s="41">
        <v>45</v>
      </c>
      <c r="I502" s="301">
        <v>289</v>
      </c>
      <c r="J502" s="138">
        <v>48</v>
      </c>
      <c r="K502" s="138">
        <f>J502/G502</f>
        <v>48</v>
      </c>
      <c r="L502" s="139">
        <f t="shared" si="34"/>
        <v>6.020833333333333</v>
      </c>
      <c r="M502" s="301">
        <v>1651376</v>
      </c>
      <c r="N502" s="138">
        <v>187185</v>
      </c>
      <c r="O502" s="103">
        <f>+M502/N502</f>
        <v>8.822159895290755</v>
      </c>
      <c r="P502" s="247">
        <v>1</v>
      </c>
    </row>
    <row r="503" spans="1:16" ht="15">
      <c r="A503" s="66">
        <v>500</v>
      </c>
      <c r="B503" s="240" t="s">
        <v>165</v>
      </c>
      <c r="C503" s="236">
        <v>39703</v>
      </c>
      <c r="D503" s="235" t="s">
        <v>197</v>
      </c>
      <c r="E503" s="235" t="s">
        <v>166</v>
      </c>
      <c r="F503" s="237">
        <v>16</v>
      </c>
      <c r="G503" s="237">
        <v>1</v>
      </c>
      <c r="H503" s="237">
        <v>13</v>
      </c>
      <c r="I503" s="331">
        <v>288</v>
      </c>
      <c r="J503" s="238">
        <v>59</v>
      </c>
      <c r="K503" s="238">
        <f>J503/G503</f>
        <v>59</v>
      </c>
      <c r="L503" s="239">
        <f t="shared" si="34"/>
        <v>4.88135593220339</v>
      </c>
      <c r="M503" s="331">
        <v>74288</v>
      </c>
      <c r="N503" s="238">
        <v>10179</v>
      </c>
      <c r="O503" s="241">
        <f>M503/N503</f>
        <v>7.298162884369781</v>
      </c>
      <c r="P503" s="247"/>
    </row>
    <row r="504" spans="1:16" ht="15">
      <c r="A504" s="66">
        <v>501</v>
      </c>
      <c r="B504" s="240" t="s">
        <v>53</v>
      </c>
      <c r="C504" s="236">
        <v>39738</v>
      </c>
      <c r="D504" s="235" t="s">
        <v>134</v>
      </c>
      <c r="E504" s="235" t="s">
        <v>54</v>
      </c>
      <c r="F504" s="237">
        <v>67</v>
      </c>
      <c r="G504" s="237">
        <v>1</v>
      </c>
      <c r="H504" s="237">
        <v>20</v>
      </c>
      <c r="I504" s="331">
        <v>288</v>
      </c>
      <c r="J504" s="238">
        <v>56</v>
      </c>
      <c r="K504" s="238">
        <f>(J504/G504)</f>
        <v>56</v>
      </c>
      <c r="L504" s="239">
        <f t="shared" si="34"/>
        <v>5.142857142857143</v>
      </c>
      <c r="M504" s="331">
        <f>167196+176809+54428+37340+38330.5+23467+11581+5867+4382+2577+3552+2137+545+4006+9422+7992+4936+1547+1147+288</f>
        <v>557549.5</v>
      </c>
      <c r="N504" s="238">
        <f>19168+21164+7719+6215+6404+4964+2339+1306+907+580+859+440+127+905+2170+1822+1050+392+333+56</f>
        <v>78920</v>
      </c>
      <c r="O504" s="241">
        <f>M504/N504</f>
        <v>7.064742777496199</v>
      </c>
      <c r="P504" s="253"/>
    </row>
    <row r="505" spans="1:16" ht="15">
      <c r="A505" s="66">
        <v>502</v>
      </c>
      <c r="B505" s="49" t="s">
        <v>142</v>
      </c>
      <c r="C505" s="39">
        <v>39794</v>
      </c>
      <c r="D505" s="44" t="s">
        <v>134</v>
      </c>
      <c r="E505" s="44" t="s">
        <v>133</v>
      </c>
      <c r="F505" s="41">
        <v>100</v>
      </c>
      <c r="G505" s="41">
        <v>1</v>
      </c>
      <c r="H505" s="41">
        <v>16</v>
      </c>
      <c r="I505" s="301">
        <v>280</v>
      </c>
      <c r="J505" s="138">
        <v>55</v>
      </c>
      <c r="K505" s="138">
        <f>(J505/G505)</f>
        <v>55</v>
      </c>
      <c r="L505" s="139">
        <f t="shared" si="34"/>
        <v>5.090909090909091</v>
      </c>
      <c r="M505" s="301">
        <f>1276778.5+626123+380324+112679.5+54533+36086+4129+3620.5+4348+1030+1904+420+1049+5940+2263+280</f>
        <v>2511507.5</v>
      </c>
      <c r="N505" s="138">
        <f>133555+68793+41581+14968+8873+6454+539+324+976+204+524+65+169+1485+444+55</f>
        <v>279009</v>
      </c>
      <c r="O505" s="103">
        <f>M505/N505</f>
        <v>9.001528624524656</v>
      </c>
      <c r="P505" s="255"/>
    </row>
    <row r="506" spans="1:16" ht="15">
      <c r="A506" s="66">
        <v>503</v>
      </c>
      <c r="B506" s="240" t="s">
        <v>58</v>
      </c>
      <c r="C506" s="236">
        <v>39745</v>
      </c>
      <c r="D506" s="235" t="s">
        <v>4</v>
      </c>
      <c r="E506" s="235" t="s">
        <v>59</v>
      </c>
      <c r="F506" s="237">
        <v>71</v>
      </c>
      <c r="G506" s="237">
        <v>1</v>
      </c>
      <c r="H506" s="237">
        <v>18</v>
      </c>
      <c r="I506" s="331">
        <v>278</v>
      </c>
      <c r="J506" s="238">
        <v>54</v>
      </c>
      <c r="K506" s="238">
        <f>+J506/G506</f>
        <v>54</v>
      </c>
      <c r="L506" s="239">
        <f t="shared" si="34"/>
        <v>5.148148148148148</v>
      </c>
      <c r="M506" s="331">
        <v>1288867</v>
      </c>
      <c r="N506" s="238">
        <v>145997</v>
      </c>
      <c r="O506" s="241">
        <f>+M506/N506</f>
        <v>8.828037562415666</v>
      </c>
      <c r="P506" s="253"/>
    </row>
    <row r="507" spans="1:16" ht="15">
      <c r="A507" s="66">
        <v>504</v>
      </c>
      <c r="B507" s="48" t="s">
        <v>62</v>
      </c>
      <c r="C507" s="39">
        <v>39689</v>
      </c>
      <c r="D507" s="43" t="s">
        <v>130</v>
      </c>
      <c r="E507" s="42" t="s">
        <v>63</v>
      </c>
      <c r="F507" s="54">
        <v>100</v>
      </c>
      <c r="G507" s="54">
        <v>1</v>
      </c>
      <c r="H507" s="54">
        <v>9</v>
      </c>
      <c r="I507" s="327">
        <v>276</v>
      </c>
      <c r="J507" s="328">
        <v>55</v>
      </c>
      <c r="K507" s="140">
        <f>J507/G507</f>
        <v>55</v>
      </c>
      <c r="L507" s="141">
        <f t="shared" si="34"/>
        <v>5.0181818181818185</v>
      </c>
      <c r="M507" s="327">
        <f>17818+1364876+864151+384239+240974+16635+2871+5064-50+5187+276</f>
        <v>2902041</v>
      </c>
      <c r="N507" s="328">
        <f>1487+139515+89937+39711+26370+2302+499+787-9+1471+55</f>
        <v>302125</v>
      </c>
      <c r="O507" s="105">
        <f>+M507/N507</f>
        <v>9.605431526685974</v>
      </c>
      <c r="P507" s="255">
        <v>1</v>
      </c>
    </row>
    <row r="508" spans="1:16" ht="14.25" customHeight="1">
      <c r="A508" s="66">
        <v>505</v>
      </c>
      <c r="B508" s="49" t="s">
        <v>58</v>
      </c>
      <c r="C508" s="39">
        <v>39745</v>
      </c>
      <c r="D508" s="44" t="s">
        <v>4</v>
      </c>
      <c r="E508" s="44" t="s">
        <v>59</v>
      </c>
      <c r="F508" s="41">
        <v>72</v>
      </c>
      <c r="G508" s="41">
        <v>2</v>
      </c>
      <c r="H508" s="41">
        <v>38</v>
      </c>
      <c r="I508" s="301">
        <v>273</v>
      </c>
      <c r="J508" s="138">
        <v>45</v>
      </c>
      <c r="K508" s="138">
        <f>+J508/G508</f>
        <v>22.5</v>
      </c>
      <c r="L508" s="139">
        <f>+I508/J508</f>
        <v>6.066666666666666</v>
      </c>
      <c r="M508" s="301">
        <v>1651063</v>
      </c>
      <c r="N508" s="138">
        <v>187117</v>
      </c>
      <c r="O508" s="103">
        <f>+M508/N508</f>
        <v>8.82369319730436</v>
      </c>
      <c r="P508" s="247"/>
    </row>
    <row r="509" spans="1:16" ht="15">
      <c r="A509" s="66">
        <v>506</v>
      </c>
      <c r="B509" s="49" t="s">
        <v>56</v>
      </c>
      <c r="C509" s="39">
        <v>39745</v>
      </c>
      <c r="D509" s="44" t="s">
        <v>136</v>
      </c>
      <c r="E509" s="44" t="s">
        <v>46</v>
      </c>
      <c r="F509" s="41">
        <v>104</v>
      </c>
      <c r="G509" s="41">
        <v>1</v>
      </c>
      <c r="H509" s="41">
        <v>22</v>
      </c>
      <c r="I509" s="301">
        <v>271</v>
      </c>
      <c r="J509" s="138">
        <v>53</v>
      </c>
      <c r="K509" s="138">
        <f>J509/G509</f>
        <v>53</v>
      </c>
      <c r="L509" s="139">
        <f aca="true" t="shared" si="35" ref="L509:L516">I509/J509</f>
        <v>5.113207547169812</v>
      </c>
      <c r="M509" s="301">
        <v>2764663</v>
      </c>
      <c r="N509" s="138">
        <v>369237</v>
      </c>
      <c r="O509" s="103">
        <f>+M509/N509</f>
        <v>7.487502606726845</v>
      </c>
      <c r="P509" s="300"/>
    </row>
    <row r="510" spans="1:16" ht="15">
      <c r="A510" s="66">
        <v>507</v>
      </c>
      <c r="B510" s="49" t="s">
        <v>70</v>
      </c>
      <c r="C510" s="39">
        <v>39766</v>
      </c>
      <c r="D510" s="44" t="s">
        <v>132</v>
      </c>
      <c r="E510" s="44" t="s">
        <v>71</v>
      </c>
      <c r="F510" s="41">
        <v>24</v>
      </c>
      <c r="G510" s="41">
        <v>1</v>
      </c>
      <c r="H510" s="41">
        <v>28</v>
      </c>
      <c r="I510" s="301">
        <v>262</v>
      </c>
      <c r="J510" s="138">
        <v>39</v>
      </c>
      <c r="K510" s="138">
        <f>J510/G510</f>
        <v>39</v>
      </c>
      <c r="L510" s="139">
        <f t="shared" si="35"/>
        <v>6.717948717948718</v>
      </c>
      <c r="M510" s="301">
        <f>191668+16358.5+8305+0.5+19699.5+16705.5+7289+4467+3138+2267+1882+6536+9273+1289+852+1124+2416+1164+28+80+1249+807+709+990+262</f>
        <v>298559</v>
      </c>
      <c r="N510" s="138">
        <f>10324+8249+7871+7121+4755+3362+1751+2958+2636+1185+800+596+440+265+961+1648+202+172+213+528+291+7+20+151+101+89+119+39</f>
        <v>56854</v>
      </c>
      <c r="O510" s="103">
        <f>+M510/N510</f>
        <v>5.251327962852218</v>
      </c>
      <c r="P510" s="253"/>
    </row>
    <row r="511" spans="1:16" ht="15">
      <c r="A511" s="66">
        <v>508</v>
      </c>
      <c r="B511" s="233" t="s">
        <v>165</v>
      </c>
      <c r="C511" s="40">
        <v>39766</v>
      </c>
      <c r="D511" s="226" t="s">
        <v>162</v>
      </c>
      <c r="E511" s="226" t="s">
        <v>166</v>
      </c>
      <c r="F511" s="227">
        <v>17</v>
      </c>
      <c r="G511" s="227">
        <v>1</v>
      </c>
      <c r="H511" s="227">
        <v>11</v>
      </c>
      <c r="I511" s="340">
        <v>260</v>
      </c>
      <c r="J511" s="228">
        <v>57</v>
      </c>
      <c r="K511" s="228">
        <f>J511/G511</f>
        <v>57</v>
      </c>
      <c r="L511" s="229">
        <f t="shared" si="35"/>
        <v>4.56140350877193</v>
      </c>
      <c r="M511" s="340">
        <v>72802</v>
      </c>
      <c r="N511" s="228">
        <v>9877</v>
      </c>
      <c r="O511" s="234">
        <f>M511/N511</f>
        <v>7.370861597651109</v>
      </c>
      <c r="P511" s="255"/>
    </row>
    <row r="512" spans="1:16" ht="15">
      <c r="A512" s="66">
        <v>509</v>
      </c>
      <c r="B512" s="244" t="s">
        <v>139</v>
      </c>
      <c r="C512" s="236">
        <v>39787</v>
      </c>
      <c r="D512" s="235" t="s">
        <v>132</v>
      </c>
      <c r="E512" s="235" t="s">
        <v>140</v>
      </c>
      <c r="F512" s="237">
        <v>1</v>
      </c>
      <c r="G512" s="237">
        <v>1</v>
      </c>
      <c r="H512" s="237">
        <v>16</v>
      </c>
      <c r="I512" s="331">
        <v>260</v>
      </c>
      <c r="J512" s="238">
        <v>49</v>
      </c>
      <c r="K512" s="238">
        <f>J512/G512</f>
        <v>49</v>
      </c>
      <c r="L512" s="239">
        <f t="shared" si="35"/>
        <v>5.3061224489795915</v>
      </c>
      <c r="M512" s="331">
        <f>9280968+4694050.5+1992628+1117778+528440.5+225948.5+100229.5+60712.5+23747.5+18022-1837+3858+1591+1095+16460.5+3147+260</f>
        <v>18067099.5</v>
      </c>
      <c r="N512" s="238">
        <f>1147876+614752+261380+141495+73035+33259+17736+11735+4194+3845-458+781+321+218+3333+770+49</f>
        <v>2314321</v>
      </c>
      <c r="O512" s="241">
        <f>+M512/N512</f>
        <v>7.806652361534981</v>
      </c>
      <c r="P512" s="255"/>
    </row>
    <row r="513" spans="1:16" ht="15">
      <c r="A513" s="66">
        <v>510</v>
      </c>
      <c r="B513" s="49" t="s">
        <v>98</v>
      </c>
      <c r="C513" s="39">
        <v>39724</v>
      </c>
      <c r="D513" s="44" t="s">
        <v>134</v>
      </c>
      <c r="E513" s="44" t="s">
        <v>106</v>
      </c>
      <c r="F513" s="41">
        <v>2</v>
      </c>
      <c r="G513" s="41">
        <v>2</v>
      </c>
      <c r="H513" s="41">
        <v>12</v>
      </c>
      <c r="I513" s="301">
        <v>258</v>
      </c>
      <c r="J513" s="138">
        <v>32</v>
      </c>
      <c r="K513" s="138">
        <f>(J513/G513)</f>
        <v>16</v>
      </c>
      <c r="L513" s="139">
        <f t="shared" si="35"/>
        <v>8.0625</v>
      </c>
      <c r="M513" s="301">
        <f>10160+3974+2322+148+808+1106+1364.5+963+712+38+67+64+258</f>
        <v>21984.5</v>
      </c>
      <c r="N513" s="138">
        <f>966+422+271+18+130+124+165+258+178+6+10+10+32</f>
        <v>2590</v>
      </c>
      <c r="O513" s="103">
        <f>M513/N513</f>
        <v>8.488223938223939</v>
      </c>
      <c r="P513" s="247"/>
    </row>
    <row r="514" spans="1:16" ht="15">
      <c r="A514" s="66">
        <v>511</v>
      </c>
      <c r="B514" s="240" t="s">
        <v>201</v>
      </c>
      <c r="C514" s="236">
        <v>39703</v>
      </c>
      <c r="D514" s="235" t="s">
        <v>197</v>
      </c>
      <c r="E514" s="235" t="s">
        <v>233</v>
      </c>
      <c r="F514" s="237">
        <v>54</v>
      </c>
      <c r="G514" s="237">
        <v>1</v>
      </c>
      <c r="H514" s="237">
        <v>11</v>
      </c>
      <c r="I514" s="331">
        <v>254</v>
      </c>
      <c r="J514" s="238">
        <v>46</v>
      </c>
      <c r="K514" s="238">
        <f>J514/G514</f>
        <v>46</v>
      </c>
      <c r="L514" s="239">
        <f t="shared" si="35"/>
        <v>5.521739130434782</v>
      </c>
      <c r="M514" s="331">
        <v>680198</v>
      </c>
      <c r="N514" s="238">
        <v>66500</v>
      </c>
      <c r="O514" s="241">
        <f>+M514/N514</f>
        <v>10.22854135338346</v>
      </c>
      <c r="P514" s="255">
        <v>1</v>
      </c>
    </row>
    <row r="515" spans="1:16" ht="15">
      <c r="A515" s="66">
        <v>512</v>
      </c>
      <c r="B515" s="240" t="s">
        <v>144</v>
      </c>
      <c r="C515" s="236">
        <v>39801</v>
      </c>
      <c r="D515" s="235" t="s">
        <v>130</v>
      </c>
      <c r="E515" s="235" t="s">
        <v>122</v>
      </c>
      <c r="F515" s="237">
        <v>69</v>
      </c>
      <c r="G515" s="237">
        <v>1</v>
      </c>
      <c r="H515" s="237">
        <v>10</v>
      </c>
      <c r="I515" s="331">
        <v>251</v>
      </c>
      <c r="J515" s="238">
        <v>41</v>
      </c>
      <c r="K515" s="238">
        <f>J515/G515</f>
        <v>41</v>
      </c>
      <c r="L515" s="239">
        <f t="shared" si="35"/>
        <v>6.121951219512195</v>
      </c>
      <c r="M515" s="331">
        <f>820286+588484+413907+112495+41441-111+9385+4586+8718+1191+251</f>
        <v>2000633</v>
      </c>
      <c r="N515" s="238">
        <f>83839+57678+42374+12212+5722-11+2124+1350+1256+191+41</f>
        <v>206776</v>
      </c>
      <c r="O515" s="241">
        <f>+M515/N515</f>
        <v>9.675363678570047</v>
      </c>
      <c r="P515" s="255"/>
    </row>
    <row r="516" spans="1:16" ht="15">
      <c r="A516" s="66">
        <v>513</v>
      </c>
      <c r="B516" s="275" t="s">
        <v>147</v>
      </c>
      <c r="C516" s="39">
        <v>39801</v>
      </c>
      <c r="D516" s="44" t="s">
        <v>134</v>
      </c>
      <c r="E516" s="44" t="s">
        <v>148</v>
      </c>
      <c r="F516" s="41">
        <v>42</v>
      </c>
      <c r="G516" s="41">
        <v>3</v>
      </c>
      <c r="H516" s="41">
        <v>24</v>
      </c>
      <c r="I516" s="332">
        <v>248</v>
      </c>
      <c r="J516" s="138">
        <v>51</v>
      </c>
      <c r="K516" s="138">
        <f>(J516/G516)</f>
        <v>17</v>
      </c>
      <c r="L516" s="273">
        <f t="shared" si="35"/>
        <v>4.862745098039215</v>
      </c>
      <c r="M516" s="332">
        <f>295344+204961.5+145464.5+116108.5+111972.5+49984+26327+32042+18579+20005+19180+15980+2686.5+3166.5+366+13433+4493+735.5+607.5+2528+83+198+248</f>
        <v>1084493</v>
      </c>
      <c r="N516" s="138">
        <f>36142+24747+19417+15404+14719+7567+3314+5289+3173+3275+3534+2826+540+724+52+2536+882+130+150+615+21+66+51</f>
        <v>145174</v>
      </c>
      <c r="O516" s="274">
        <f>M516/N516</f>
        <v>7.4702977117114635</v>
      </c>
      <c r="P516" s="247"/>
    </row>
    <row r="517" spans="1:16" ht="15">
      <c r="A517" s="66">
        <v>514</v>
      </c>
      <c r="B517" s="49" t="s">
        <v>149</v>
      </c>
      <c r="C517" s="39">
        <v>39801</v>
      </c>
      <c r="D517" s="44" t="s">
        <v>4</v>
      </c>
      <c r="E517" s="44" t="s">
        <v>77</v>
      </c>
      <c r="F517" s="41">
        <v>19</v>
      </c>
      <c r="G517" s="41">
        <v>3</v>
      </c>
      <c r="H517" s="41">
        <v>35</v>
      </c>
      <c r="I517" s="301">
        <v>248</v>
      </c>
      <c r="J517" s="138">
        <v>43</v>
      </c>
      <c r="K517" s="138">
        <f>+J517/G517</f>
        <v>14.333333333333334</v>
      </c>
      <c r="L517" s="139">
        <f>+I517/J517</f>
        <v>5.767441860465116</v>
      </c>
      <c r="M517" s="301">
        <v>148888</v>
      </c>
      <c r="N517" s="138">
        <v>14773</v>
      </c>
      <c r="O517" s="103">
        <f>+M517/N517</f>
        <v>10.078386245177013</v>
      </c>
      <c r="P517" s="253">
        <v>1</v>
      </c>
    </row>
    <row r="518" spans="1:16" ht="15">
      <c r="A518" s="66">
        <v>515</v>
      </c>
      <c r="B518" s="275" t="s">
        <v>322</v>
      </c>
      <c r="C518" s="39">
        <v>39766</v>
      </c>
      <c r="D518" s="44" t="s">
        <v>132</v>
      </c>
      <c r="E518" s="44" t="s">
        <v>107</v>
      </c>
      <c r="F518" s="41">
        <v>44</v>
      </c>
      <c r="G518" s="41">
        <v>1</v>
      </c>
      <c r="H518" s="41">
        <v>6</v>
      </c>
      <c r="I518" s="332">
        <v>246</v>
      </c>
      <c r="J518" s="138">
        <v>41</v>
      </c>
      <c r="K518" s="138">
        <f>(J518/G518)</f>
        <v>41</v>
      </c>
      <c r="L518" s="273">
        <f>I518/J518</f>
        <v>6</v>
      </c>
      <c r="M518" s="332">
        <f>155654+80570.5+22675+7882+15+246</f>
        <v>267042.5</v>
      </c>
      <c r="N518" s="138">
        <f>15277+7852+3194+1551+3+41</f>
        <v>27918</v>
      </c>
      <c r="O518" s="274">
        <f>M518/N518</f>
        <v>9.565244645031878</v>
      </c>
      <c r="P518" s="247"/>
    </row>
    <row r="519" spans="1:17" s="243" customFormat="1" ht="14.25" customHeight="1">
      <c r="A519" s="66">
        <v>516</v>
      </c>
      <c r="B519" s="49" t="s">
        <v>69</v>
      </c>
      <c r="C519" s="39">
        <v>39766</v>
      </c>
      <c r="D519" s="44" t="s">
        <v>134</v>
      </c>
      <c r="E519" s="44" t="s">
        <v>50</v>
      </c>
      <c r="F519" s="41">
        <v>20</v>
      </c>
      <c r="G519" s="41">
        <v>1</v>
      </c>
      <c r="H519" s="41">
        <v>21</v>
      </c>
      <c r="I519" s="301">
        <v>245</v>
      </c>
      <c r="J519" s="138">
        <v>49</v>
      </c>
      <c r="K519" s="138">
        <f>(J519/G519)</f>
        <v>49</v>
      </c>
      <c r="L519" s="139">
        <f>I519/J519</f>
        <v>5</v>
      </c>
      <c r="M519" s="301">
        <f>109364.5+38539+31287+12101+5368+8640.5+12331+9410+9143+5719+2775+1424+1017+338+1223+1447+5587+2013+2140+304+245</f>
        <v>260416</v>
      </c>
      <c r="N519" s="138">
        <f>11866+4674+4443+2133+1061+1670+2334+1542+1728+1224+544+356+207+68+185+229+749+298+535+76+49</f>
        <v>35971</v>
      </c>
      <c r="O519" s="103">
        <f>M519/N519</f>
        <v>7.23960968558005</v>
      </c>
      <c r="P519" s="254"/>
      <c r="Q519" s="242"/>
    </row>
    <row r="520" spans="1:16" ht="15">
      <c r="A520" s="66">
        <v>517</v>
      </c>
      <c r="B520" s="49" t="s">
        <v>72</v>
      </c>
      <c r="C520" s="39">
        <v>39773</v>
      </c>
      <c r="D520" s="44" t="s">
        <v>131</v>
      </c>
      <c r="E520" s="44" t="s">
        <v>460</v>
      </c>
      <c r="F520" s="41">
        <v>204</v>
      </c>
      <c r="G520" s="41">
        <v>1</v>
      </c>
      <c r="H520" s="41">
        <v>41</v>
      </c>
      <c r="I520" s="301">
        <v>236</v>
      </c>
      <c r="J520" s="138">
        <v>36</v>
      </c>
      <c r="K520" s="138">
        <f>J520/G520</f>
        <v>36</v>
      </c>
      <c r="L520" s="139">
        <f>+I520/J520</f>
        <v>6.555555555555555</v>
      </c>
      <c r="M520" s="301">
        <v>11474329</v>
      </c>
      <c r="N520" s="138">
        <v>1423103</v>
      </c>
      <c r="O520" s="103">
        <f>+M520/N520</f>
        <v>8.062894252910716</v>
      </c>
      <c r="P520" s="247"/>
    </row>
    <row r="521" spans="1:16" ht="15">
      <c r="A521" s="66">
        <v>518</v>
      </c>
      <c r="B521" s="49" t="s">
        <v>419</v>
      </c>
      <c r="C521" s="39">
        <v>39192</v>
      </c>
      <c r="D521" s="44" t="s">
        <v>132</v>
      </c>
      <c r="E521" s="44" t="s">
        <v>107</v>
      </c>
      <c r="F521" s="41">
        <v>82</v>
      </c>
      <c r="G521" s="41">
        <v>1</v>
      </c>
      <c r="H521" s="41">
        <v>20</v>
      </c>
      <c r="I521" s="301">
        <v>234</v>
      </c>
      <c r="J521" s="138">
        <v>39</v>
      </c>
      <c r="K521" s="138">
        <f>J521/G521</f>
        <v>39</v>
      </c>
      <c r="L521" s="139">
        <f>I521/J521</f>
        <v>6</v>
      </c>
      <c r="M521" s="301">
        <f>407730+156171.5+87089+48964+29084+13173.5+8330+7579.5+805.5+1100+1464+3021+264+123+23+430+70+2408+0.5+234</f>
        <v>768064.5</v>
      </c>
      <c r="N521" s="138">
        <f>48903+19527+11239+7709+5693+3389+1770+1751+250+248+325+755+88+19+3+86+14+602+39</f>
        <v>102410</v>
      </c>
      <c r="O521" s="103">
        <f>+M521/N521</f>
        <v>7.499897470950103</v>
      </c>
      <c r="P521" s="300">
        <v>1</v>
      </c>
    </row>
    <row r="522" spans="1:16" ht="15">
      <c r="A522" s="66">
        <v>519</v>
      </c>
      <c r="B522" s="49" t="s">
        <v>23</v>
      </c>
      <c r="C522" s="39">
        <v>39808</v>
      </c>
      <c r="D522" s="44" t="s">
        <v>136</v>
      </c>
      <c r="E522" s="44" t="s">
        <v>24</v>
      </c>
      <c r="F522" s="41">
        <v>198</v>
      </c>
      <c r="G522" s="41">
        <v>2</v>
      </c>
      <c r="H522" s="41">
        <v>17</v>
      </c>
      <c r="I522" s="301">
        <v>233</v>
      </c>
      <c r="J522" s="138">
        <v>23</v>
      </c>
      <c r="K522" s="138">
        <v>11.5</v>
      </c>
      <c r="L522" s="139">
        <v>10.130434782608695</v>
      </c>
      <c r="M522" s="301">
        <v>1762617</v>
      </c>
      <c r="N522" s="138">
        <v>228490</v>
      </c>
      <c r="O522" s="103">
        <v>7.714197557879995</v>
      </c>
      <c r="P522" s="255"/>
    </row>
    <row r="523" spans="1:16" ht="15">
      <c r="A523" s="66">
        <v>520</v>
      </c>
      <c r="B523" s="240" t="s">
        <v>287</v>
      </c>
      <c r="C523" s="236">
        <v>39521</v>
      </c>
      <c r="D523" s="235" t="s">
        <v>279</v>
      </c>
      <c r="E523" s="235" t="s">
        <v>288</v>
      </c>
      <c r="F523" s="237">
        <v>42</v>
      </c>
      <c r="G523" s="237">
        <v>1</v>
      </c>
      <c r="H523" s="237">
        <v>19</v>
      </c>
      <c r="I523" s="331">
        <v>230</v>
      </c>
      <c r="J523" s="238">
        <v>46</v>
      </c>
      <c r="K523" s="238">
        <f>J523/G523</f>
        <v>46</v>
      </c>
      <c r="L523" s="239">
        <f>I523/J523</f>
        <v>5</v>
      </c>
      <c r="M523" s="331">
        <v>1595933</v>
      </c>
      <c r="N523" s="238">
        <v>196123</v>
      </c>
      <c r="O523" s="241">
        <f>+M523/N523</f>
        <v>8.13740866700999</v>
      </c>
      <c r="P523" s="254">
        <v>1</v>
      </c>
    </row>
    <row r="524" spans="1:16" ht="15">
      <c r="A524" s="66">
        <v>521</v>
      </c>
      <c r="B524" s="53" t="s">
        <v>68</v>
      </c>
      <c r="C524" s="39">
        <v>39759</v>
      </c>
      <c r="D524" s="126" t="s">
        <v>136</v>
      </c>
      <c r="E524" s="126" t="s">
        <v>31</v>
      </c>
      <c r="F524" s="50">
        <v>40</v>
      </c>
      <c r="G524" s="50">
        <v>1</v>
      </c>
      <c r="H524" s="50">
        <v>12</v>
      </c>
      <c r="I524" s="335">
        <v>228</v>
      </c>
      <c r="J524" s="232">
        <v>39</v>
      </c>
      <c r="K524" s="231">
        <f>IF(I524&lt;&gt;0,J524/G524,"")</f>
        <v>39</v>
      </c>
      <c r="L524" s="137">
        <f>IF(I524&lt;&gt;0,I524/J524,"")</f>
        <v>5.846153846153846</v>
      </c>
      <c r="M524" s="335">
        <f>84918+52341+11404+7823+3207+2014+937+2034+556+1450+3725+228</f>
        <v>170637</v>
      </c>
      <c r="N524" s="230">
        <f>10694+7043+2046+1560+538+345+174+389+77+318+659+39</f>
        <v>23882</v>
      </c>
      <c r="O524" s="104">
        <f>IF(M524&lt;&gt;0,M524/N524,"")</f>
        <v>7.145004605979398</v>
      </c>
      <c r="P524" s="255">
        <v>1</v>
      </c>
    </row>
    <row r="525" spans="1:16" ht="15">
      <c r="A525" s="66">
        <v>522</v>
      </c>
      <c r="B525" s="240" t="s">
        <v>23</v>
      </c>
      <c r="C525" s="236">
        <v>39808</v>
      </c>
      <c r="D525" s="235" t="s">
        <v>136</v>
      </c>
      <c r="E525" s="235" t="s">
        <v>24</v>
      </c>
      <c r="F525" s="237">
        <v>198</v>
      </c>
      <c r="G525" s="237">
        <v>1</v>
      </c>
      <c r="H525" s="237">
        <v>12</v>
      </c>
      <c r="I525" s="331">
        <v>223</v>
      </c>
      <c r="J525" s="238">
        <v>43</v>
      </c>
      <c r="K525" s="238">
        <f>J525/G525</f>
        <v>43</v>
      </c>
      <c r="L525" s="239">
        <f>I525/J525</f>
        <v>5.186046511627907</v>
      </c>
      <c r="M525" s="331">
        <v>1757618</v>
      </c>
      <c r="N525" s="238">
        <v>227516</v>
      </c>
      <c r="O525" s="241">
        <f>+M525/N525</f>
        <v>7.7252500923012</v>
      </c>
      <c r="P525" s="266">
        <v>1</v>
      </c>
    </row>
    <row r="526" spans="1:16" ht="15">
      <c r="A526" s="66">
        <v>523</v>
      </c>
      <c r="B526" s="240" t="s">
        <v>202</v>
      </c>
      <c r="C526" s="236">
        <v>39808</v>
      </c>
      <c r="D526" s="235" t="s">
        <v>131</v>
      </c>
      <c r="E526" s="235" t="s">
        <v>124</v>
      </c>
      <c r="F526" s="237">
        <v>34</v>
      </c>
      <c r="G526" s="237">
        <v>1</v>
      </c>
      <c r="H526" s="237">
        <v>8</v>
      </c>
      <c r="I526" s="331">
        <v>223</v>
      </c>
      <c r="J526" s="238">
        <v>37</v>
      </c>
      <c r="K526" s="238">
        <f>J526/G526</f>
        <v>37</v>
      </c>
      <c r="L526" s="239">
        <f>+I526/J526</f>
        <v>6.027027027027027</v>
      </c>
      <c r="M526" s="331">
        <v>802197</v>
      </c>
      <c r="N526" s="238">
        <v>90066</v>
      </c>
      <c r="O526" s="241">
        <f>+M526/N526</f>
        <v>8.906768369862101</v>
      </c>
      <c r="P526" s="254"/>
    </row>
    <row r="527" spans="1:16" ht="15">
      <c r="A527" s="66">
        <v>524</v>
      </c>
      <c r="B527" s="49" t="s">
        <v>69</v>
      </c>
      <c r="C527" s="39">
        <v>39766</v>
      </c>
      <c r="D527" s="44" t="s">
        <v>134</v>
      </c>
      <c r="E527" s="44" t="s">
        <v>50</v>
      </c>
      <c r="F527" s="41">
        <v>20</v>
      </c>
      <c r="G527" s="41">
        <v>1</v>
      </c>
      <c r="H527" s="41">
        <v>25</v>
      </c>
      <c r="I527" s="301">
        <v>215</v>
      </c>
      <c r="J527" s="138">
        <v>43</v>
      </c>
      <c r="K527" s="138">
        <f>(J527/G527)</f>
        <v>43</v>
      </c>
      <c r="L527" s="139">
        <f>I527/J527</f>
        <v>5</v>
      </c>
      <c r="M527" s="301">
        <f>109364.5+38539+31287+12101+5368+8640.5+12331+9410+9143+5719+2775+1424+1017+338+1223+1447+5587+2013+2140+304+245+320+2152+1973.5+215</f>
        <v>265076.5</v>
      </c>
      <c r="N527" s="138">
        <f>11866+4674+4443+2133+1061+1670+2334+1542+1728+1224+544+356+207+68+185+229+749+298+535+76+49+64+418+391+43</f>
        <v>36887</v>
      </c>
      <c r="O527" s="103">
        <f>M527/N527</f>
        <v>7.186176701819069</v>
      </c>
      <c r="P527" s="255"/>
    </row>
    <row r="528" spans="1:16" ht="15">
      <c r="A528" s="66">
        <v>525</v>
      </c>
      <c r="B528" s="49" t="s">
        <v>56</v>
      </c>
      <c r="C528" s="39">
        <v>39745</v>
      </c>
      <c r="D528" s="44" t="s">
        <v>136</v>
      </c>
      <c r="E528" s="44" t="s">
        <v>46</v>
      </c>
      <c r="F528" s="41">
        <v>104</v>
      </c>
      <c r="G528" s="41">
        <v>1</v>
      </c>
      <c r="H528" s="41">
        <v>25</v>
      </c>
      <c r="I528" s="301">
        <v>211</v>
      </c>
      <c r="J528" s="138">
        <v>28</v>
      </c>
      <c r="K528" s="138">
        <v>28</v>
      </c>
      <c r="L528" s="139">
        <v>7.535714285714286</v>
      </c>
      <c r="M528" s="301">
        <v>2769842</v>
      </c>
      <c r="N528" s="138">
        <v>370115</v>
      </c>
      <c r="O528" s="103">
        <v>7.4837334342028825</v>
      </c>
      <c r="P528" s="255"/>
    </row>
    <row r="529" spans="1:16" ht="15">
      <c r="A529" s="66">
        <v>526</v>
      </c>
      <c r="B529" s="49" t="s">
        <v>49</v>
      </c>
      <c r="C529" s="39">
        <v>39710</v>
      </c>
      <c r="D529" s="44" t="s">
        <v>132</v>
      </c>
      <c r="E529" s="44" t="s">
        <v>177</v>
      </c>
      <c r="F529" s="41">
        <v>24</v>
      </c>
      <c r="G529" s="41">
        <v>1</v>
      </c>
      <c r="H529" s="41">
        <v>1</v>
      </c>
      <c r="I529" s="332">
        <v>210</v>
      </c>
      <c r="J529" s="138">
        <v>35</v>
      </c>
      <c r="K529" s="138">
        <f>J529/G529</f>
        <v>35</v>
      </c>
      <c r="L529" s="273">
        <f aca="true" t="shared" si="36" ref="L529:L540">I529/J529</f>
        <v>6</v>
      </c>
      <c r="M529" s="332">
        <f>152576+127511+68854.5+21974+10111.5+7103+7290+0.5+1014+3149+989+3524+0.5+3768+138+2528+257+351.5+573.5+184+3655+10+15+10+210</f>
        <v>415797</v>
      </c>
      <c r="N529" s="138">
        <f>50018+825+47+65+137+67+1215+2+3+2+35</f>
        <v>52416</v>
      </c>
      <c r="O529" s="274">
        <f>+M529/N529</f>
        <v>7.932635073260073</v>
      </c>
      <c r="P529" s="254"/>
    </row>
    <row r="530" spans="1:16" ht="15">
      <c r="A530" s="66">
        <v>527</v>
      </c>
      <c r="B530" s="49" t="s">
        <v>505</v>
      </c>
      <c r="C530" s="39">
        <v>39717</v>
      </c>
      <c r="D530" s="44" t="s">
        <v>134</v>
      </c>
      <c r="E530" s="44" t="s">
        <v>50</v>
      </c>
      <c r="F530" s="41">
        <v>17</v>
      </c>
      <c r="G530" s="41">
        <v>1</v>
      </c>
      <c r="H530" s="41">
        <v>12</v>
      </c>
      <c r="I530" s="301">
        <v>208</v>
      </c>
      <c r="J530" s="138">
        <v>26</v>
      </c>
      <c r="K530" s="138">
        <f>(J530/G530)</f>
        <v>26</v>
      </c>
      <c r="L530" s="139">
        <f t="shared" si="36"/>
        <v>8</v>
      </c>
      <c r="M530" s="301">
        <f>66394.5+30777.5+10904.5+6938+4549.5+1791+96+869+1608+4043+476+208</f>
        <v>128655</v>
      </c>
      <c r="N530" s="138">
        <f>5979+3032+1338+1100+742-2+261+15+156+334+741+119+26</f>
        <v>13841</v>
      </c>
      <c r="O530" s="103">
        <f>M530/N530</f>
        <v>9.295209883678925</v>
      </c>
      <c r="P530" s="255"/>
    </row>
    <row r="531" spans="1:16" ht="15">
      <c r="A531" s="66">
        <v>528</v>
      </c>
      <c r="B531" s="49" t="s">
        <v>382</v>
      </c>
      <c r="C531" s="39">
        <v>39689</v>
      </c>
      <c r="D531" s="44" t="s">
        <v>4</v>
      </c>
      <c r="E531" s="44" t="s">
        <v>77</v>
      </c>
      <c r="F531" s="41">
        <v>4</v>
      </c>
      <c r="G531" s="41">
        <v>1</v>
      </c>
      <c r="H531" s="41">
        <v>50</v>
      </c>
      <c r="I531" s="301">
        <v>208</v>
      </c>
      <c r="J531" s="138">
        <v>26</v>
      </c>
      <c r="K531" s="138">
        <f>J531/G531</f>
        <v>26</v>
      </c>
      <c r="L531" s="139">
        <f t="shared" si="36"/>
        <v>8</v>
      </c>
      <c r="M531" s="301">
        <v>42094</v>
      </c>
      <c r="N531" s="138">
        <v>3651</v>
      </c>
      <c r="O531" s="103">
        <f>+M531/N531</f>
        <v>11.529443987948508</v>
      </c>
      <c r="P531" s="255">
        <v>1</v>
      </c>
    </row>
    <row r="532" spans="1:16" ht="15">
      <c r="A532" s="66">
        <v>529</v>
      </c>
      <c r="B532" s="49" t="s">
        <v>26</v>
      </c>
      <c r="C532" s="39">
        <v>39808</v>
      </c>
      <c r="D532" s="44" t="s">
        <v>134</v>
      </c>
      <c r="E532" s="44" t="s">
        <v>133</v>
      </c>
      <c r="F532" s="41">
        <v>75</v>
      </c>
      <c r="G532" s="41">
        <v>1</v>
      </c>
      <c r="H532" s="41">
        <v>15</v>
      </c>
      <c r="I532" s="301">
        <v>204</v>
      </c>
      <c r="J532" s="138">
        <v>43</v>
      </c>
      <c r="K532" s="138">
        <f>(J532/G532)</f>
        <v>43</v>
      </c>
      <c r="L532" s="139">
        <f t="shared" si="36"/>
        <v>4.744186046511628</v>
      </c>
      <c r="M532" s="301">
        <f>681566+578530+317284.5+141025.5+34373.5+6375+4225+7402.5+1014+4479+2688+2267+1765+1219+204</f>
        <v>1784418</v>
      </c>
      <c r="N532" s="138">
        <f>64102+57106+32401+16644+4655+1030+644+1623+143+828+480+469+323+195+43</f>
        <v>180686</v>
      </c>
      <c r="O532" s="103">
        <f>M532/N532</f>
        <v>9.875795579070875</v>
      </c>
      <c r="P532" s="253">
        <v>1</v>
      </c>
    </row>
    <row r="533" spans="1:16" ht="15">
      <c r="A533" s="66">
        <v>530</v>
      </c>
      <c r="B533" s="49" t="s">
        <v>56</v>
      </c>
      <c r="C533" s="39">
        <v>39745</v>
      </c>
      <c r="D533" s="44" t="s">
        <v>136</v>
      </c>
      <c r="E533" s="44" t="s">
        <v>46</v>
      </c>
      <c r="F533" s="41">
        <v>104</v>
      </c>
      <c r="G533" s="41">
        <v>2</v>
      </c>
      <c r="H533" s="41">
        <v>29</v>
      </c>
      <c r="I533" s="301">
        <v>201</v>
      </c>
      <c r="J533" s="138">
        <v>29</v>
      </c>
      <c r="K533" s="138">
        <f>IF(I533&lt;&gt;0,J533/G533,"")</f>
        <v>14.5</v>
      </c>
      <c r="L533" s="139">
        <f t="shared" si="36"/>
        <v>6.931034482758621</v>
      </c>
      <c r="M533" s="301">
        <v>2774330.25</v>
      </c>
      <c r="N533" s="138">
        <v>370943</v>
      </c>
      <c r="O533" s="103">
        <f>+M533/N533</f>
        <v>7.479128194897869</v>
      </c>
      <c r="P533" s="255">
        <v>1</v>
      </c>
    </row>
    <row r="534" spans="1:16" ht="15">
      <c r="A534" s="66">
        <v>531</v>
      </c>
      <c r="B534" s="49" t="s">
        <v>45</v>
      </c>
      <c r="C534" s="39">
        <v>39780</v>
      </c>
      <c r="D534" s="44" t="s">
        <v>134</v>
      </c>
      <c r="E534" s="44" t="s">
        <v>78</v>
      </c>
      <c r="F534" s="41">
        <v>61</v>
      </c>
      <c r="G534" s="41">
        <v>1</v>
      </c>
      <c r="H534" s="41">
        <v>15</v>
      </c>
      <c r="I534" s="301">
        <v>200</v>
      </c>
      <c r="J534" s="138">
        <v>20</v>
      </c>
      <c r="K534" s="138">
        <f aca="true" t="shared" si="37" ref="K534:K540">(J534/G534)</f>
        <v>20</v>
      </c>
      <c r="L534" s="139">
        <f t="shared" si="36"/>
        <v>10</v>
      </c>
      <c r="M534" s="301">
        <f>499000.5+313125.5+89561.5+27980+2002.5+4772+1387+1470+1387+1387+1119+396+89+1865+200</f>
        <v>945742</v>
      </c>
      <c r="N534" s="138">
        <f>48458+27725+9315+4737+330+944+309+224+175+250+246+84+20+261+20</f>
        <v>93098</v>
      </c>
      <c r="O534" s="103">
        <f aca="true" t="shared" si="38" ref="O534:O540">M534/N534</f>
        <v>10.158564093750671</v>
      </c>
      <c r="P534" s="255">
        <v>1</v>
      </c>
    </row>
    <row r="535" spans="1:16" ht="15">
      <c r="A535" s="66">
        <v>532</v>
      </c>
      <c r="B535" s="275" t="s">
        <v>147</v>
      </c>
      <c r="C535" s="39">
        <v>39801</v>
      </c>
      <c r="D535" s="44" t="s">
        <v>134</v>
      </c>
      <c r="E535" s="44" t="s">
        <v>148</v>
      </c>
      <c r="F535" s="41">
        <v>42</v>
      </c>
      <c r="G535" s="41">
        <v>1</v>
      </c>
      <c r="H535" s="41">
        <v>22</v>
      </c>
      <c r="I535" s="332">
        <v>198</v>
      </c>
      <c r="J535" s="138">
        <v>66</v>
      </c>
      <c r="K535" s="138">
        <f t="shared" si="37"/>
        <v>66</v>
      </c>
      <c r="L535" s="273">
        <f t="shared" si="36"/>
        <v>3</v>
      </c>
      <c r="M535" s="332">
        <f>295344+204961.5+145464.5+116108.5+111972.5+49984+26327+32042+18579+20005+19180+15980+2686.5+3166.5+366+13433+4493+735.5+607.5+2528+83+198</f>
        <v>1084245</v>
      </c>
      <c r="N535" s="138">
        <f>36142+24747+19417+15404+14719+7567+3314+5289+3173+3275+3534+2826+540+724+52+2536+882+130+150+615+21+66</f>
        <v>145123</v>
      </c>
      <c r="O535" s="274">
        <f t="shared" si="38"/>
        <v>7.471214073578964</v>
      </c>
      <c r="P535" s="255">
        <v>1</v>
      </c>
    </row>
    <row r="536" spans="1:16" ht="15">
      <c r="A536" s="66">
        <v>533</v>
      </c>
      <c r="B536" s="49" t="s">
        <v>73</v>
      </c>
      <c r="C536" s="39">
        <v>39772</v>
      </c>
      <c r="D536" s="44" t="s">
        <v>134</v>
      </c>
      <c r="E536" s="44" t="s">
        <v>105</v>
      </c>
      <c r="F536" s="41">
        <v>195</v>
      </c>
      <c r="G536" s="41">
        <v>1</v>
      </c>
      <c r="H536" s="41">
        <v>13</v>
      </c>
      <c r="I536" s="301">
        <v>192</v>
      </c>
      <c r="J536" s="138">
        <v>39</v>
      </c>
      <c r="K536" s="138">
        <f t="shared" si="37"/>
        <v>39</v>
      </c>
      <c r="L536" s="139">
        <f t="shared" si="36"/>
        <v>4.923076923076923</v>
      </c>
      <c r="M536" s="301">
        <f>1011017+512350.5+217314+64545+38656.5+8087+9376.5+5786+2876+882+2140+1436.5+192</f>
        <v>1874659</v>
      </c>
      <c r="N536" s="138">
        <f>136878+68007+31396+9807+8372+1564+2234+1216+601+202+535+199+39</f>
        <v>261050</v>
      </c>
      <c r="O536" s="103">
        <f t="shared" si="38"/>
        <v>7.181225818808658</v>
      </c>
      <c r="P536" s="255"/>
    </row>
    <row r="537" spans="1:16" ht="15">
      <c r="A537" s="66">
        <v>534</v>
      </c>
      <c r="B537" s="49" t="s">
        <v>52</v>
      </c>
      <c r="C537" s="39">
        <v>39738</v>
      </c>
      <c r="D537" s="44" t="s">
        <v>134</v>
      </c>
      <c r="E537" s="44" t="s">
        <v>133</v>
      </c>
      <c r="F537" s="41">
        <v>65</v>
      </c>
      <c r="G537" s="41">
        <v>4</v>
      </c>
      <c r="H537" s="41">
        <v>15</v>
      </c>
      <c r="I537" s="301">
        <v>187</v>
      </c>
      <c r="J537" s="138">
        <v>18</v>
      </c>
      <c r="K537" s="138">
        <f t="shared" si="37"/>
        <v>4.5</v>
      </c>
      <c r="L537" s="139">
        <f t="shared" si="36"/>
        <v>10.38888888888889</v>
      </c>
      <c r="M537" s="301">
        <f>502954.7+385847+127398.5+41644+35371+15703.5+9494+704+1120.5+952+891+302+72+55+187</f>
        <v>1122696.2</v>
      </c>
      <c r="N537" s="138">
        <f>51438+39611+14487+7156+6343+2488+1591+176+567+238+149+50+12+9+18</f>
        <v>124333</v>
      </c>
      <c r="O537" s="103">
        <f t="shared" si="38"/>
        <v>9.029752358585412</v>
      </c>
      <c r="P537" s="255"/>
    </row>
    <row r="538" spans="1:16" ht="15">
      <c r="A538" s="66">
        <v>535</v>
      </c>
      <c r="B538" s="49" t="s">
        <v>142</v>
      </c>
      <c r="C538" s="39">
        <v>39794</v>
      </c>
      <c r="D538" s="44" t="s">
        <v>134</v>
      </c>
      <c r="E538" s="44" t="s">
        <v>133</v>
      </c>
      <c r="F538" s="41">
        <v>100</v>
      </c>
      <c r="G538" s="41">
        <v>1</v>
      </c>
      <c r="H538" s="41">
        <v>20</v>
      </c>
      <c r="I538" s="301">
        <v>185.5</v>
      </c>
      <c r="J538" s="138">
        <v>69</v>
      </c>
      <c r="K538" s="138">
        <f t="shared" si="37"/>
        <v>69</v>
      </c>
      <c r="L538" s="139">
        <f t="shared" si="36"/>
        <v>2.6884057971014492</v>
      </c>
      <c r="M538" s="301">
        <f>1276778.5+626123+380324+112679.5+54533+36086+4129+3620.5+4348+1030+1904+420+1049+5940+2263+280+322+739+184+185.5</f>
        <v>2512938</v>
      </c>
      <c r="N538" s="138">
        <f>133555+68793+41581+14968+8873+6454+539+324+976+204+524+65+169+1485+444+55+29+110+68+69</f>
        <v>279285</v>
      </c>
      <c r="O538" s="103">
        <f t="shared" si="38"/>
        <v>8.99775498147054</v>
      </c>
      <c r="P538" s="300"/>
    </row>
    <row r="539" spans="1:16" ht="15">
      <c r="A539" s="66">
        <v>536</v>
      </c>
      <c r="B539" s="49" t="s">
        <v>142</v>
      </c>
      <c r="C539" s="39">
        <v>39794</v>
      </c>
      <c r="D539" s="44" t="s">
        <v>134</v>
      </c>
      <c r="E539" s="44" t="s">
        <v>133</v>
      </c>
      <c r="F539" s="41">
        <v>100</v>
      </c>
      <c r="G539" s="41">
        <v>1</v>
      </c>
      <c r="H539" s="41">
        <v>19</v>
      </c>
      <c r="I539" s="301">
        <v>184</v>
      </c>
      <c r="J539" s="138">
        <v>68</v>
      </c>
      <c r="K539" s="138">
        <f t="shared" si="37"/>
        <v>68</v>
      </c>
      <c r="L539" s="139">
        <f t="shared" si="36"/>
        <v>2.7058823529411766</v>
      </c>
      <c r="M539" s="301">
        <f>1276778.5+626123+380324+112679.5+54533+36086+4129+3620.5+4348+1030+1904+420+1049+5940+2263+280+322+739+184</f>
        <v>2512752.5</v>
      </c>
      <c r="N539" s="138">
        <f>133555+68793+41581+14968+8873+6454+539+324+976+204+524+65+169+1485+444+55+29+110+68</f>
        <v>279216</v>
      </c>
      <c r="O539" s="103">
        <f t="shared" si="38"/>
        <v>8.999314151051516</v>
      </c>
      <c r="P539" s="247"/>
    </row>
    <row r="540" spans="1:16" ht="15">
      <c r="A540" s="66">
        <v>537</v>
      </c>
      <c r="B540" s="49" t="s">
        <v>49</v>
      </c>
      <c r="C540" s="40">
        <v>39710</v>
      </c>
      <c r="D540" s="44" t="s">
        <v>107</v>
      </c>
      <c r="E540" s="44" t="s">
        <v>107</v>
      </c>
      <c r="F540" s="41">
        <v>66</v>
      </c>
      <c r="G540" s="41">
        <v>1</v>
      </c>
      <c r="H540" s="41">
        <v>18</v>
      </c>
      <c r="I540" s="301">
        <v>184</v>
      </c>
      <c r="J540" s="138">
        <v>67</v>
      </c>
      <c r="K540" s="140">
        <f t="shared" si="37"/>
        <v>67</v>
      </c>
      <c r="L540" s="141">
        <f t="shared" si="36"/>
        <v>2.746268656716418</v>
      </c>
      <c r="M540" s="301">
        <f>152576+127511+68854.5+21974+10111.5+7103+7290+0.5+1014+3149+989+3524+0.5+3768+138+2528+257+351.5+573.5+184</f>
        <v>411897</v>
      </c>
      <c r="N540" s="138">
        <f>50018+825+47+65+137+67</f>
        <v>51159</v>
      </c>
      <c r="O540" s="105">
        <f t="shared" si="38"/>
        <v>8.051310619832288</v>
      </c>
      <c r="P540" s="255"/>
    </row>
    <row r="541" spans="1:16" ht="15">
      <c r="A541" s="66">
        <v>538</v>
      </c>
      <c r="B541" s="233" t="s">
        <v>167</v>
      </c>
      <c r="C541" s="40">
        <v>39472</v>
      </c>
      <c r="D541" s="226" t="s">
        <v>107</v>
      </c>
      <c r="E541" s="226" t="s">
        <v>107</v>
      </c>
      <c r="F541" s="227">
        <v>1</v>
      </c>
      <c r="G541" s="227">
        <v>1</v>
      </c>
      <c r="H541" s="227">
        <v>29</v>
      </c>
      <c r="I541" s="332">
        <v>183.5</v>
      </c>
      <c r="J541" s="230">
        <v>68</v>
      </c>
      <c r="K541" s="231">
        <f>+J541/G541</f>
        <v>68</v>
      </c>
      <c r="L541" s="137">
        <f>+I541/J541</f>
        <v>2.698529411764706</v>
      </c>
      <c r="M541" s="332">
        <f>395290.5+262822+75939+23709.5+4083+1327+9321+1445+1267+2173+4575+201+1748+3343+728+28+948+1329+163+182+173+15521.5+171+40+110+75+183.5</f>
        <v>806896</v>
      </c>
      <c r="N541" s="230">
        <f>47426+32442+9866+4010+887+225+2185+263+226+460+1077+33+367+887+230+4+139+355+32+35+32+3859+49+8+22+15+68</f>
        <v>105202</v>
      </c>
      <c r="O541" s="104">
        <f>+M541/N541</f>
        <v>7.669968251554153</v>
      </c>
      <c r="P541" s="254"/>
    </row>
    <row r="542" spans="1:16" ht="15">
      <c r="A542" s="66">
        <v>539</v>
      </c>
      <c r="B542" s="49" t="s">
        <v>167</v>
      </c>
      <c r="C542" s="39">
        <v>39472</v>
      </c>
      <c r="D542" s="44" t="s">
        <v>132</v>
      </c>
      <c r="E542" s="44" t="s">
        <v>107</v>
      </c>
      <c r="F542" s="41">
        <v>59</v>
      </c>
      <c r="G542" s="41">
        <v>1</v>
      </c>
      <c r="H542" s="41">
        <v>34</v>
      </c>
      <c r="I542" s="301">
        <v>180</v>
      </c>
      <c r="J542" s="138">
        <v>30</v>
      </c>
      <c r="K542" s="138">
        <f>J542/G542</f>
        <v>30</v>
      </c>
      <c r="L542" s="139">
        <f>I542/J542</f>
        <v>6</v>
      </c>
      <c r="M542" s="301">
        <f>395290.5+262822+75939+23709.5+4083+1327+9321+1445+1267+2173+4575+201+1748+3343+728+28+948+1329+163+182+173+15521.5+171+40+110+75+183.5+127+124.5+1976+312+180</f>
        <v>809615.5</v>
      </c>
      <c r="N542" s="138">
        <f>47426+32442+9866+4010+887+225+2185+263+226+460+1077+33+367+887+230+4+139+355+32+35+32+3859+49+8+22+15+68+46+45+659+52+30</f>
        <v>106034</v>
      </c>
      <c r="O542" s="103">
        <f>+M542/N542</f>
        <v>7.635432974328989</v>
      </c>
      <c r="P542" s="247">
        <v>1</v>
      </c>
    </row>
    <row r="543" spans="1:16" ht="15">
      <c r="A543" s="66">
        <v>540</v>
      </c>
      <c r="B543" s="240" t="s">
        <v>161</v>
      </c>
      <c r="C543" s="236">
        <v>39766</v>
      </c>
      <c r="D543" s="235" t="s">
        <v>197</v>
      </c>
      <c r="E543" s="235" t="s">
        <v>198</v>
      </c>
      <c r="F543" s="237">
        <v>50</v>
      </c>
      <c r="G543" s="237">
        <v>1</v>
      </c>
      <c r="H543" s="237">
        <v>16</v>
      </c>
      <c r="I543" s="331">
        <v>174</v>
      </c>
      <c r="J543" s="238">
        <v>58</v>
      </c>
      <c r="K543" s="238">
        <f>J543/G543</f>
        <v>58</v>
      </c>
      <c r="L543" s="239">
        <f>I543/J543</f>
        <v>3</v>
      </c>
      <c r="M543" s="331">
        <v>225537</v>
      </c>
      <c r="N543" s="238">
        <v>32942</v>
      </c>
      <c r="O543" s="241">
        <f>M543/N543</f>
        <v>6.846487766377269</v>
      </c>
      <c r="P543" s="253"/>
    </row>
    <row r="544" spans="1:16" ht="15">
      <c r="A544" s="66">
        <v>541</v>
      </c>
      <c r="B544" s="49" t="s">
        <v>402</v>
      </c>
      <c r="C544" s="39">
        <v>37162</v>
      </c>
      <c r="D544" s="44" t="s">
        <v>92</v>
      </c>
      <c r="E544" s="44" t="s">
        <v>403</v>
      </c>
      <c r="F544" s="41">
        <v>9</v>
      </c>
      <c r="G544" s="41">
        <v>1</v>
      </c>
      <c r="H544" s="41">
        <v>65</v>
      </c>
      <c r="I544" s="301">
        <v>170</v>
      </c>
      <c r="J544" s="138">
        <v>34</v>
      </c>
      <c r="K544" s="138">
        <f>J544/G544</f>
        <v>34</v>
      </c>
      <c r="L544" s="139">
        <f>I544/J544</f>
        <v>5</v>
      </c>
      <c r="M544" s="301">
        <v>172724.15</v>
      </c>
      <c r="N544" s="138">
        <v>51933</v>
      </c>
      <c r="O544" s="103">
        <f>+M544/N544</f>
        <v>3.325903568058845</v>
      </c>
      <c r="P544" s="247"/>
    </row>
    <row r="545" spans="1:16" ht="15">
      <c r="A545" s="66">
        <v>542</v>
      </c>
      <c r="B545" s="49" t="s">
        <v>53</v>
      </c>
      <c r="C545" s="39">
        <v>39738</v>
      </c>
      <c r="D545" s="44" t="s">
        <v>134</v>
      </c>
      <c r="E545" s="44" t="s">
        <v>54</v>
      </c>
      <c r="F545" s="41">
        <v>67</v>
      </c>
      <c r="G545" s="41">
        <v>1</v>
      </c>
      <c r="H545" s="41">
        <v>24</v>
      </c>
      <c r="I545" s="301">
        <v>168</v>
      </c>
      <c r="J545" s="138">
        <v>21</v>
      </c>
      <c r="K545" s="138">
        <f>(J545/G545)</f>
        <v>21</v>
      </c>
      <c r="L545" s="139">
        <f>I545/J545</f>
        <v>8</v>
      </c>
      <c r="M545" s="301">
        <f>167196+176809+54428+37340+38330.5+23467+11581+5867+4382+2577+3552+2137+545+4006+9422+7992+4936+1547+1147+288+371+2842+1282+168</f>
        <v>562212.5</v>
      </c>
      <c r="N545" s="138">
        <f>19168+21164+7719+6215+6404+4964+2339+1306+907+580+859+440+127+905+2170+1822+1050+392+333+56+73+734+411+21</f>
        <v>80159</v>
      </c>
      <c r="O545" s="103">
        <f>M545/N545</f>
        <v>7.013716488479147</v>
      </c>
      <c r="P545" s="255">
        <v>1</v>
      </c>
    </row>
    <row r="546" spans="1:16" ht="15">
      <c r="A546" s="66">
        <v>543</v>
      </c>
      <c r="B546" s="53" t="s">
        <v>380</v>
      </c>
      <c r="C546" s="39">
        <v>39696</v>
      </c>
      <c r="D546" s="45" t="s">
        <v>4</v>
      </c>
      <c r="E546" s="126" t="s">
        <v>77</v>
      </c>
      <c r="F546" s="50">
        <v>1</v>
      </c>
      <c r="G546" s="50">
        <v>1</v>
      </c>
      <c r="H546" s="50">
        <v>40</v>
      </c>
      <c r="I546" s="327">
        <v>163</v>
      </c>
      <c r="J546" s="328">
        <v>25</v>
      </c>
      <c r="K546" s="136">
        <f>+J546/G546</f>
        <v>25</v>
      </c>
      <c r="L546" s="137">
        <f>+I546/J546</f>
        <v>6.52</v>
      </c>
      <c r="M546" s="327">
        <v>4738</v>
      </c>
      <c r="N546" s="328">
        <v>432</v>
      </c>
      <c r="O546" s="104">
        <f>+M546/N546</f>
        <v>10.967592592592593</v>
      </c>
      <c r="P546" s="255">
        <v>1</v>
      </c>
    </row>
    <row r="547" spans="1:16" ht="15">
      <c r="A547" s="66">
        <v>544</v>
      </c>
      <c r="B547" s="49" t="s">
        <v>58</v>
      </c>
      <c r="C547" s="39">
        <v>39745</v>
      </c>
      <c r="D547" s="44" t="s">
        <v>4</v>
      </c>
      <c r="E547" s="44" t="s">
        <v>59</v>
      </c>
      <c r="F547" s="41">
        <v>72</v>
      </c>
      <c r="G547" s="41">
        <v>2</v>
      </c>
      <c r="H547" s="41">
        <v>39</v>
      </c>
      <c r="I547" s="301">
        <v>160</v>
      </c>
      <c r="J547" s="138">
        <v>29</v>
      </c>
      <c r="K547" s="138">
        <f>+J547/G547</f>
        <v>14.5</v>
      </c>
      <c r="L547" s="139">
        <f>+I547/J547</f>
        <v>5.517241379310345</v>
      </c>
      <c r="M547" s="301">
        <v>1650959</v>
      </c>
      <c r="N547" s="138">
        <v>187118</v>
      </c>
      <c r="O547" s="103">
        <f>+M547/N547</f>
        <v>8.823090242520763</v>
      </c>
      <c r="P547" s="300"/>
    </row>
    <row r="548" spans="1:16" ht="15">
      <c r="A548" s="66">
        <v>545</v>
      </c>
      <c r="B548" s="275" t="s">
        <v>49</v>
      </c>
      <c r="C548" s="39">
        <v>39710</v>
      </c>
      <c r="D548" s="44" t="s">
        <v>132</v>
      </c>
      <c r="E548" s="44" t="s">
        <v>177</v>
      </c>
      <c r="F548" s="41">
        <v>7</v>
      </c>
      <c r="G548" s="41">
        <v>1</v>
      </c>
      <c r="H548" s="41">
        <v>25</v>
      </c>
      <c r="I548" s="332">
        <v>156</v>
      </c>
      <c r="J548" s="138">
        <v>26</v>
      </c>
      <c r="K548" s="138">
        <f>(J548/G548)</f>
        <v>26</v>
      </c>
      <c r="L548" s="273">
        <f>I548/J548</f>
        <v>6</v>
      </c>
      <c r="M548" s="332">
        <f>152576+127511+68854.5+21974+10111.5+7103+7290+0.5+1014+3149+989+3524+0.5+3768+138+2528+257+351.5+573.5+184+3655+10+15+10+210+156</f>
        <v>415953</v>
      </c>
      <c r="N548" s="138">
        <f>50018+825+47+65+137+67+1215+2+3+2+35+26</f>
        <v>52442</v>
      </c>
      <c r="O548" s="274">
        <f>M548/N548</f>
        <v>7.931676900194501</v>
      </c>
      <c r="P548" s="255"/>
    </row>
    <row r="549" spans="1:16" ht="15">
      <c r="A549" s="66">
        <v>546</v>
      </c>
      <c r="B549" s="49" t="s">
        <v>402</v>
      </c>
      <c r="C549" s="39">
        <v>37162</v>
      </c>
      <c r="D549" s="44" t="s">
        <v>92</v>
      </c>
      <c r="E549" s="44" t="s">
        <v>403</v>
      </c>
      <c r="F549" s="41">
        <v>9</v>
      </c>
      <c r="G549" s="41">
        <v>1</v>
      </c>
      <c r="H549" s="41">
        <v>66</v>
      </c>
      <c r="I549" s="301">
        <v>156</v>
      </c>
      <c r="J549" s="138">
        <v>19</v>
      </c>
      <c r="K549" s="138">
        <f>+J549/G549</f>
        <v>19</v>
      </c>
      <c r="L549" s="139">
        <f>+I549/J549</f>
        <v>8.210526315789474</v>
      </c>
      <c r="M549" s="301">
        <v>172880.15</v>
      </c>
      <c r="N549" s="138">
        <v>51952</v>
      </c>
      <c r="O549" s="103">
        <f>+M549/N549</f>
        <v>3.3276899830612874</v>
      </c>
      <c r="P549" s="254"/>
    </row>
    <row r="550" spans="1:16" ht="15">
      <c r="A550" s="66">
        <v>547</v>
      </c>
      <c r="B550" s="240" t="s">
        <v>234</v>
      </c>
      <c r="C550" s="236">
        <v>39717</v>
      </c>
      <c r="D550" s="235" t="s">
        <v>136</v>
      </c>
      <c r="E550" s="235" t="s">
        <v>235</v>
      </c>
      <c r="F550" s="237">
        <v>199</v>
      </c>
      <c r="G550" s="237">
        <v>2</v>
      </c>
      <c r="H550" s="237">
        <v>10</v>
      </c>
      <c r="I550" s="331">
        <v>153</v>
      </c>
      <c r="J550" s="238">
        <v>32</v>
      </c>
      <c r="K550" s="238">
        <f>J550/G550</f>
        <v>16</v>
      </c>
      <c r="L550" s="239">
        <f>I550/J550</f>
        <v>4.78125</v>
      </c>
      <c r="M550" s="331">
        <v>1396188</v>
      </c>
      <c r="N550" s="238">
        <v>190962</v>
      </c>
      <c r="O550" s="241">
        <f>+M550/N550</f>
        <v>7.311339428786879</v>
      </c>
      <c r="P550" s="300"/>
    </row>
    <row r="551" spans="1:16" ht="15">
      <c r="A551" s="66">
        <v>548</v>
      </c>
      <c r="B551" s="49" t="s">
        <v>53</v>
      </c>
      <c r="C551" s="39">
        <v>39738</v>
      </c>
      <c r="D551" s="44" t="s">
        <v>134</v>
      </c>
      <c r="E551" s="44" t="s">
        <v>54</v>
      </c>
      <c r="F551" s="41">
        <v>67</v>
      </c>
      <c r="G551" s="41">
        <v>1</v>
      </c>
      <c r="H551" s="41">
        <v>26</v>
      </c>
      <c r="I551" s="301">
        <v>150</v>
      </c>
      <c r="J551" s="138">
        <v>30</v>
      </c>
      <c r="K551" s="138">
        <f>(J551/G551)</f>
        <v>30</v>
      </c>
      <c r="L551" s="139">
        <f>I551/J551</f>
        <v>5</v>
      </c>
      <c r="M551" s="301">
        <f>167196+176809+54428+37340+38330.5+23467+11581+5867+4382+2577+3552+2137+545+4006+9422+7992+4936+1547+1147+288+371+2842+1282+168+610+1948+150</f>
        <v>564920.5</v>
      </c>
      <c r="N551" s="138">
        <f>19168+21164+7719+6215+6404+4964+2339+1306+907+580+859+440+127+905+2170+1822+1050+392+333+56+73+734+411+21+61+466+30</f>
        <v>80716</v>
      </c>
      <c r="O551" s="103">
        <f>M551/N551</f>
        <v>6.998866395757966</v>
      </c>
      <c r="P551" s="253"/>
    </row>
    <row r="552" spans="1:16" ht="15">
      <c r="A552" s="66">
        <v>549</v>
      </c>
      <c r="B552" s="240" t="s">
        <v>56</v>
      </c>
      <c r="C552" s="236">
        <v>39745</v>
      </c>
      <c r="D552" s="235" t="s">
        <v>136</v>
      </c>
      <c r="E552" s="235" t="s">
        <v>46</v>
      </c>
      <c r="F552" s="237">
        <v>104</v>
      </c>
      <c r="G552" s="237">
        <v>1</v>
      </c>
      <c r="H552" s="237">
        <v>18</v>
      </c>
      <c r="I552" s="331">
        <v>150</v>
      </c>
      <c r="J552" s="238">
        <v>28</v>
      </c>
      <c r="K552" s="238">
        <f>IF(I552&lt;&gt;0,J552/G552,"")</f>
        <v>28</v>
      </c>
      <c r="L552" s="239">
        <f>I552/J552</f>
        <v>5.357142857142857</v>
      </c>
      <c r="M552" s="331">
        <f>821522+622841.5+494230+434015.5+185757.5+145248.5+16130+16159+2033+6489+4346+3565+2540+1323+139+686+2328+150</f>
        <v>2759503</v>
      </c>
      <c r="N552" s="238">
        <f>99216+78381+65128+58419+30420+24530+3077+3918+431+1704+1003+785+507+195+19+106+426+28</f>
        <v>368293</v>
      </c>
      <c r="O552" s="241">
        <f>+M552/N552</f>
        <v>7.492683814245723</v>
      </c>
      <c r="P552" s="247"/>
    </row>
    <row r="553" spans="1:16" ht="15">
      <c r="A553" s="66">
        <v>550</v>
      </c>
      <c r="B553" s="49" t="s">
        <v>73</v>
      </c>
      <c r="C553" s="39">
        <v>39772</v>
      </c>
      <c r="D553" s="44" t="s">
        <v>134</v>
      </c>
      <c r="E553" s="44" t="s">
        <v>105</v>
      </c>
      <c r="F553" s="41">
        <v>195</v>
      </c>
      <c r="G553" s="41">
        <v>1</v>
      </c>
      <c r="H553" s="41">
        <v>14</v>
      </c>
      <c r="I553" s="301">
        <v>148</v>
      </c>
      <c r="J553" s="138">
        <v>30</v>
      </c>
      <c r="K553" s="138">
        <f>(J553/G553)</f>
        <v>30</v>
      </c>
      <c r="L553" s="139">
        <f>I553/J553</f>
        <v>4.933333333333334</v>
      </c>
      <c r="M553" s="301">
        <f>1011017+512350.5+217314+64545+38656.5+8087+9376.5+5786+2876+882+2140+1436.5+192+148</f>
        <v>1874807</v>
      </c>
      <c r="N553" s="138">
        <f>136878+68007+31396+9807+8372+1564+2234+1216+601+202+535+199+39+30</f>
        <v>261080</v>
      </c>
      <c r="O553" s="103">
        <f>M553/N553</f>
        <v>7.180967519534242</v>
      </c>
      <c r="P553" s="255"/>
    </row>
    <row r="554" spans="1:16" ht="15">
      <c r="A554" s="66">
        <v>551</v>
      </c>
      <c r="B554" s="275" t="s">
        <v>82</v>
      </c>
      <c r="C554" s="39">
        <v>39633</v>
      </c>
      <c r="D554" s="44" t="s">
        <v>4</v>
      </c>
      <c r="E554" s="44" t="s">
        <v>77</v>
      </c>
      <c r="F554" s="41">
        <v>28</v>
      </c>
      <c r="G554" s="41">
        <v>1</v>
      </c>
      <c r="H554" s="41">
        <v>45</v>
      </c>
      <c r="I554" s="332">
        <v>140</v>
      </c>
      <c r="J554" s="138">
        <v>27</v>
      </c>
      <c r="K554" s="138">
        <f>+J554/G554</f>
        <v>27</v>
      </c>
      <c r="L554" s="273">
        <f>+I554/J554</f>
        <v>5.185185185185185</v>
      </c>
      <c r="M554" s="332">
        <v>315737</v>
      </c>
      <c r="N554" s="138">
        <v>42164</v>
      </c>
      <c r="O554" s="274">
        <f>+M554/N554</f>
        <v>7.488307560952471</v>
      </c>
      <c r="P554" s="254"/>
    </row>
    <row r="555" spans="1:16" ht="15">
      <c r="A555" s="66">
        <v>552</v>
      </c>
      <c r="B555" s="240" t="s">
        <v>56</v>
      </c>
      <c r="C555" s="236">
        <v>39745</v>
      </c>
      <c r="D555" s="235" t="s">
        <v>136</v>
      </c>
      <c r="E555" s="235" t="s">
        <v>46</v>
      </c>
      <c r="F555" s="237">
        <v>104</v>
      </c>
      <c r="G555" s="237">
        <v>1</v>
      </c>
      <c r="H555" s="237">
        <v>15</v>
      </c>
      <c r="I555" s="331">
        <v>139</v>
      </c>
      <c r="J555" s="238">
        <v>19</v>
      </c>
      <c r="K555" s="238">
        <f>IF(I555&lt;&gt;0,J555/G555,"")</f>
        <v>19</v>
      </c>
      <c r="L555" s="239">
        <f>IF(I555&lt;&gt;0,I555/J555,"")</f>
        <v>7.315789473684211</v>
      </c>
      <c r="M555" s="331">
        <f>821522+622841.5+494230+434015.5+185757.5+145248.5+16130+16159+2033+6489+4346+3565+2540+1323+139</f>
        <v>2756339</v>
      </c>
      <c r="N555" s="238">
        <f>99216+78381+65128+58419+30420+24530+3077+3918+431+1704+1003+785+507+195+19</f>
        <v>367733</v>
      </c>
      <c r="O555" s="241">
        <f>IF(M555&lt;&gt;0,M555/N555,"")</f>
        <v>7.495489934272964</v>
      </c>
      <c r="P555" s="255"/>
    </row>
    <row r="556" spans="1:16" ht="15">
      <c r="A556" s="66">
        <v>553</v>
      </c>
      <c r="B556" s="240" t="s">
        <v>56</v>
      </c>
      <c r="C556" s="236">
        <v>39745</v>
      </c>
      <c r="D556" s="235" t="s">
        <v>136</v>
      </c>
      <c r="E556" s="235" t="s">
        <v>46</v>
      </c>
      <c r="F556" s="237">
        <v>104</v>
      </c>
      <c r="G556" s="237">
        <v>1</v>
      </c>
      <c r="H556" s="237">
        <v>19</v>
      </c>
      <c r="I556" s="331">
        <v>137</v>
      </c>
      <c r="J556" s="238">
        <v>29</v>
      </c>
      <c r="K556" s="238">
        <f>J556/G556</f>
        <v>29</v>
      </c>
      <c r="L556" s="239">
        <f>I556/J556</f>
        <v>4.724137931034483</v>
      </c>
      <c r="M556" s="331">
        <v>2759640</v>
      </c>
      <c r="N556" s="238">
        <v>368322</v>
      </c>
      <c r="O556" s="241">
        <f>+M556/N556</f>
        <v>7.492465831527848</v>
      </c>
      <c r="P556" s="255"/>
    </row>
    <row r="557" spans="1:16" ht="15">
      <c r="A557" s="66">
        <v>554</v>
      </c>
      <c r="B557" s="210" t="s">
        <v>60</v>
      </c>
      <c r="C557" s="205">
        <v>39745</v>
      </c>
      <c r="D557" s="196" t="s">
        <v>134</v>
      </c>
      <c r="E557" s="203" t="s">
        <v>106</v>
      </c>
      <c r="F557" s="204">
        <v>7</v>
      </c>
      <c r="G557" s="204">
        <v>1</v>
      </c>
      <c r="H557" s="204">
        <v>11</v>
      </c>
      <c r="I557" s="321">
        <v>135</v>
      </c>
      <c r="J557" s="322">
        <v>23</v>
      </c>
      <c r="K557" s="201">
        <f>(J557/G557)</f>
        <v>23</v>
      </c>
      <c r="L557" s="202">
        <f>I557/J557</f>
        <v>5.869565217391305</v>
      </c>
      <c r="M557" s="321">
        <f>31758.5+8225.5+1958+2180+395+7254.5+494+2046+429+128+135</f>
        <v>55003.5</v>
      </c>
      <c r="N557" s="322">
        <f>2732+851+288+247+46+761+52+333+72+22+23</f>
        <v>5427</v>
      </c>
      <c r="O557" s="208">
        <f>M557/N557</f>
        <v>10.135157545605306</v>
      </c>
      <c r="P557" s="255"/>
    </row>
    <row r="558" spans="1:16" ht="15">
      <c r="A558" s="66">
        <v>555</v>
      </c>
      <c r="B558" s="275" t="s">
        <v>82</v>
      </c>
      <c r="C558" s="39">
        <v>39633</v>
      </c>
      <c r="D558" s="44" t="s">
        <v>4</v>
      </c>
      <c r="E558" s="44" t="s">
        <v>77</v>
      </c>
      <c r="F558" s="41">
        <v>28</v>
      </c>
      <c r="G558" s="41">
        <v>1</v>
      </c>
      <c r="H558" s="41">
        <v>45</v>
      </c>
      <c r="I558" s="332">
        <v>134</v>
      </c>
      <c r="J558" s="138">
        <v>29</v>
      </c>
      <c r="K558" s="138">
        <f>+J558/G558</f>
        <v>29</v>
      </c>
      <c r="L558" s="273">
        <f>+I558/J558</f>
        <v>4.620689655172414</v>
      </c>
      <c r="M558" s="332">
        <v>315597</v>
      </c>
      <c r="N558" s="138">
        <v>42137</v>
      </c>
      <c r="O558" s="274">
        <f>+M558/N558</f>
        <v>7.4897833258181645</v>
      </c>
      <c r="P558" s="247"/>
    </row>
    <row r="559" spans="1:16" ht="15">
      <c r="A559" s="66">
        <v>556</v>
      </c>
      <c r="B559" s="240" t="s">
        <v>97</v>
      </c>
      <c r="C559" s="236">
        <v>39752</v>
      </c>
      <c r="D559" s="235" t="s">
        <v>131</v>
      </c>
      <c r="E559" s="235" t="s">
        <v>124</v>
      </c>
      <c r="F559" s="237">
        <v>45</v>
      </c>
      <c r="G559" s="237">
        <v>1</v>
      </c>
      <c r="H559" s="237">
        <v>14</v>
      </c>
      <c r="I559" s="331">
        <v>134</v>
      </c>
      <c r="J559" s="238">
        <v>22</v>
      </c>
      <c r="K559" s="238">
        <f>J559/G559</f>
        <v>22</v>
      </c>
      <c r="L559" s="239">
        <f aca="true" t="shared" si="39" ref="L559:L566">I559/J559</f>
        <v>6.090909090909091</v>
      </c>
      <c r="M559" s="331">
        <v>457245</v>
      </c>
      <c r="N559" s="238">
        <v>49875</v>
      </c>
      <c r="O559" s="241">
        <f>+M559/N559</f>
        <v>9.167819548872181</v>
      </c>
      <c r="P559" s="255"/>
    </row>
    <row r="560" spans="1:16" ht="15">
      <c r="A560" s="66">
        <v>557</v>
      </c>
      <c r="B560" s="49" t="s">
        <v>53</v>
      </c>
      <c r="C560" s="39">
        <v>39738</v>
      </c>
      <c r="D560" s="44" t="s">
        <v>134</v>
      </c>
      <c r="E560" s="44" t="s">
        <v>54</v>
      </c>
      <c r="F560" s="41">
        <v>67</v>
      </c>
      <c r="G560" s="41">
        <v>1</v>
      </c>
      <c r="H560" s="41">
        <v>29</v>
      </c>
      <c r="I560" s="301">
        <v>132</v>
      </c>
      <c r="J560" s="138">
        <v>26</v>
      </c>
      <c r="K560" s="138">
        <f>(J560/G560)</f>
        <v>26</v>
      </c>
      <c r="L560" s="139">
        <f t="shared" si="39"/>
        <v>5.076923076923077</v>
      </c>
      <c r="M560" s="301">
        <f>167196+176809+54428+37340+38330.5+23467+11581+5867+4382+2577+3552+2137+545+4006+9422+7992+4936+1547+1147+288+371+2842+1282+168+610+1948+150+3292+132</f>
        <v>568344.5</v>
      </c>
      <c r="N560" s="138">
        <f>19168+21164+7719+6215+6404+4964+2339+1306+907+580+859+440+127+905+2170+1822+1050+392+333+56+73+734+411+21+61+466+30+807+26</f>
        <v>81549</v>
      </c>
      <c r="O560" s="103">
        <f>M560/N560</f>
        <v>6.96936197868766</v>
      </c>
      <c r="P560" s="255"/>
    </row>
    <row r="561" spans="1:16" ht="15">
      <c r="A561" s="66">
        <v>558</v>
      </c>
      <c r="B561" s="49" t="s">
        <v>60</v>
      </c>
      <c r="C561" s="40">
        <v>39745</v>
      </c>
      <c r="D561" s="45" t="s">
        <v>134</v>
      </c>
      <c r="E561" s="44" t="s">
        <v>106</v>
      </c>
      <c r="F561" s="41">
        <v>7</v>
      </c>
      <c r="G561" s="41">
        <v>1</v>
      </c>
      <c r="H561" s="41">
        <v>10</v>
      </c>
      <c r="I561" s="327">
        <v>128</v>
      </c>
      <c r="J561" s="328">
        <v>22</v>
      </c>
      <c r="K561" s="140">
        <f>(J561/G561)</f>
        <v>22</v>
      </c>
      <c r="L561" s="141">
        <f t="shared" si="39"/>
        <v>5.818181818181818</v>
      </c>
      <c r="M561" s="327">
        <f>31758.5+8225.5+1958+2180+395+7254.5+494+2046+429+128</f>
        <v>54868.5</v>
      </c>
      <c r="N561" s="328">
        <f>2732+851+288+247+46+761+52+333+72+22</f>
        <v>5404</v>
      </c>
      <c r="O561" s="105">
        <f>M561/N561</f>
        <v>10.153312361213915</v>
      </c>
      <c r="P561" s="247"/>
    </row>
    <row r="562" spans="1:16" ht="15">
      <c r="A562" s="66">
        <v>559</v>
      </c>
      <c r="B562" s="240" t="s">
        <v>165</v>
      </c>
      <c r="C562" s="236">
        <v>39766</v>
      </c>
      <c r="D562" s="235" t="s">
        <v>279</v>
      </c>
      <c r="E562" s="235" t="s">
        <v>166</v>
      </c>
      <c r="F562" s="237">
        <v>17</v>
      </c>
      <c r="G562" s="237">
        <v>1</v>
      </c>
      <c r="H562" s="237">
        <v>17</v>
      </c>
      <c r="I562" s="331">
        <v>127.5</v>
      </c>
      <c r="J562" s="238">
        <v>25</v>
      </c>
      <c r="K562" s="238">
        <f>J562/G562</f>
        <v>25</v>
      </c>
      <c r="L562" s="239">
        <f t="shared" si="39"/>
        <v>5.1</v>
      </c>
      <c r="M562" s="331">
        <v>77557</v>
      </c>
      <c r="N562" s="238">
        <v>10720</v>
      </c>
      <c r="O562" s="241">
        <f>+M562/N562</f>
        <v>7.234794776119403</v>
      </c>
      <c r="P562" s="253"/>
    </row>
    <row r="563" spans="1:16" ht="15">
      <c r="A563" s="66">
        <v>560</v>
      </c>
      <c r="B563" s="240" t="s">
        <v>167</v>
      </c>
      <c r="C563" s="236">
        <v>39472</v>
      </c>
      <c r="D563" s="235" t="s">
        <v>107</v>
      </c>
      <c r="E563" s="235" t="s">
        <v>107</v>
      </c>
      <c r="F563" s="237">
        <v>1</v>
      </c>
      <c r="G563" s="237">
        <v>1</v>
      </c>
      <c r="H563" s="237">
        <v>30</v>
      </c>
      <c r="I563" s="331">
        <v>127</v>
      </c>
      <c r="J563" s="238">
        <v>46</v>
      </c>
      <c r="K563" s="238">
        <f>J563/G563</f>
        <v>46</v>
      </c>
      <c r="L563" s="239">
        <f t="shared" si="39"/>
        <v>2.760869565217391</v>
      </c>
      <c r="M563" s="331">
        <f>395290.5+262822+75939+23709.5+4083+1327+9321+1445+1267+2173+4575+201+1748+3343+728+28+948+1329+163+182+173+15521.5+171+40+110+75+183.5+127</f>
        <v>807023</v>
      </c>
      <c r="N563" s="238">
        <f>47426+32442+9866+4010+887+225+2185+263+226+460+1077+33+367+887+230+4+139+355+32+35+32+3859+49+8+22+15+68+46</f>
        <v>105248</v>
      </c>
      <c r="O563" s="241">
        <f>+M563/N563</f>
        <v>7.66782266646397</v>
      </c>
      <c r="P563" s="255"/>
    </row>
    <row r="564" spans="1:16" ht="15">
      <c r="A564" s="66">
        <v>561</v>
      </c>
      <c r="B564" s="49" t="s">
        <v>56</v>
      </c>
      <c r="C564" s="39">
        <v>39745</v>
      </c>
      <c r="D564" s="44" t="s">
        <v>136</v>
      </c>
      <c r="E564" s="44" t="s">
        <v>46</v>
      </c>
      <c r="F564" s="41">
        <v>104</v>
      </c>
      <c r="G564" s="41">
        <v>1</v>
      </c>
      <c r="H564" s="41">
        <v>26</v>
      </c>
      <c r="I564" s="301">
        <v>127</v>
      </c>
      <c r="J564" s="138">
        <v>17</v>
      </c>
      <c r="K564" s="138">
        <f>J564/G564</f>
        <v>17</v>
      </c>
      <c r="L564" s="139">
        <f t="shared" si="39"/>
        <v>7.470588235294118</v>
      </c>
      <c r="M564" s="301">
        <v>2769969</v>
      </c>
      <c r="N564" s="138">
        <v>370132</v>
      </c>
      <c r="O564" s="103">
        <f>+M564/N564</f>
        <v>7.483732830449678</v>
      </c>
      <c r="P564" s="253"/>
    </row>
    <row r="565" spans="1:16" ht="15">
      <c r="A565" s="66">
        <v>562</v>
      </c>
      <c r="B565" s="240" t="s">
        <v>167</v>
      </c>
      <c r="C565" s="236">
        <v>39472</v>
      </c>
      <c r="D565" s="235" t="s">
        <v>132</v>
      </c>
      <c r="E565" s="235" t="s">
        <v>92</v>
      </c>
      <c r="F565" s="237">
        <v>1</v>
      </c>
      <c r="G565" s="237">
        <v>1</v>
      </c>
      <c r="H565" s="237">
        <v>31</v>
      </c>
      <c r="I565" s="331">
        <v>124.5</v>
      </c>
      <c r="J565" s="238">
        <v>45</v>
      </c>
      <c r="K565" s="238">
        <f>J565/G565</f>
        <v>45</v>
      </c>
      <c r="L565" s="239">
        <f t="shared" si="39"/>
        <v>2.7666666666666666</v>
      </c>
      <c r="M565" s="331">
        <f>395290.5+262822+75939+23709.5+4083+1327+9321+1445+1267+2173+4575+201+1748+3343+728+28+948+1329+163+182+173+15521.5+171+40+110+75+183.5+127+124.5</f>
        <v>807147.5</v>
      </c>
      <c r="N565" s="238">
        <f>47426+32442+9866+4010+887+225+2185+263+226+460+1077+33+367+887+230+4+139+355+32+35+32+3859+49+8+22+15+68+46+45</f>
        <v>105293</v>
      </c>
      <c r="O565" s="241">
        <f>+M565/N565</f>
        <v>7.665728016107433</v>
      </c>
      <c r="P565" s="255"/>
    </row>
    <row r="566" spans="1:16" ht="15">
      <c r="A566" s="66">
        <v>563</v>
      </c>
      <c r="B566" s="49" t="s">
        <v>60</v>
      </c>
      <c r="C566" s="39">
        <v>39745</v>
      </c>
      <c r="D566" s="44" t="s">
        <v>134</v>
      </c>
      <c r="E566" s="44" t="s">
        <v>106</v>
      </c>
      <c r="F566" s="41">
        <v>7</v>
      </c>
      <c r="G566" s="41">
        <v>1</v>
      </c>
      <c r="H566" s="41">
        <v>16</v>
      </c>
      <c r="I566" s="301">
        <v>120</v>
      </c>
      <c r="J566" s="138">
        <v>12</v>
      </c>
      <c r="K566" s="138">
        <f>(J566/G566)</f>
        <v>12</v>
      </c>
      <c r="L566" s="139">
        <f t="shared" si="39"/>
        <v>10</v>
      </c>
      <c r="M566" s="301">
        <f>31758.5+8225.5+1958+2180+395+7254.5+494+2046+429+128+135+1066+1003+620+20+120</f>
        <v>57832.5</v>
      </c>
      <c r="N566" s="138">
        <f>2732+851+288+247+46+761+52+333+72+22+23+258+223+133+2+12</f>
        <v>6055</v>
      </c>
      <c r="O566" s="103">
        <f>M566/N566</f>
        <v>9.55119735755574</v>
      </c>
      <c r="P566" s="255">
        <v>1</v>
      </c>
    </row>
    <row r="567" spans="1:16" ht="15">
      <c r="A567" s="66">
        <v>564</v>
      </c>
      <c r="B567" s="49" t="s">
        <v>58</v>
      </c>
      <c r="C567" s="39">
        <v>39745</v>
      </c>
      <c r="D567" s="44" t="s">
        <v>4</v>
      </c>
      <c r="E567" s="44" t="s">
        <v>59</v>
      </c>
      <c r="F567" s="41">
        <v>68</v>
      </c>
      <c r="G567" s="41">
        <v>1</v>
      </c>
      <c r="H567" s="41">
        <v>46</v>
      </c>
      <c r="I567" s="301">
        <v>111</v>
      </c>
      <c r="J567" s="138">
        <v>18</v>
      </c>
      <c r="K567" s="138">
        <f>+J567/G567</f>
        <v>18</v>
      </c>
      <c r="L567" s="139">
        <f>+I567/J567</f>
        <v>6.166666666666667</v>
      </c>
      <c r="M567" s="301">
        <v>1651309</v>
      </c>
      <c r="N567" s="138">
        <v>187173</v>
      </c>
      <c r="O567" s="103">
        <f aca="true" t="shared" si="40" ref="O567:O575">+M567/N567</f>
        <v>8.822367542327152</v>
      </c>
      <c r="P567" s="255">
        <v>1</v>
      </c>
    </row>
    <row r="568" spans="1:16" ht="15">
      <c r="A568" s="66">
        <v>565</v>
      </c>
      <c r="B568" s="240" t="s">
        <v>22</v>
      </c>
      <c r="C568" s="236">
        <v>39787</v>
      </c>
      <c r="D568" s="235" t="s">
        <v>131</v>
      </c>
      <c r="E568" s="235" t="s">
        <v>138</v>
      </c>
      <c r="F568" s="237">
        <v>406</v>
      </c>
      <c r="G568" s="237">
        <v>1</v>
      </c>
      <c r="H568" s="237">
        <v>11</v>
      </c>
      <c r="I568" s="331">
        <v>110</v>
      </c>
      <c r="J568" s="238">
        <v>11</v>
      </c>
      <c r="K568" s="238">
        <f aca="true" t="shared" si="41" ref="K568:K575">J568/G568</f>
        <v>11</v>
      </c>
      <c r="L568" s="239">
        <f>+I568/J568</f>
        <v>10</v>
      </c>
      <c r="M568" s="331">
        <v>30391026</v>
      </c>
      <c r="N568" s="238">
        <v>3700053</v>
      </c>
      <c r="O568" s="241">
        <f t="shared" si="40"/>
        <v>8.213673155492637</v>
      </c>
      <c r="P568" s="255"/>
    </row>
    <row r="569" spans="1:16" ht="15">
      <c r="A569" s="66">
        <v>566</v>
      </c>
      <c r="B569" s="49" t="s">
        <v>420</v>
      </c>
      <c r="C569" s="39">
        <v>39787</v>
      </c>
      <c r="D569" s="44" t="s">
        <v>132</v>
      </c>
      <c r="E569" s="44" t="s">
        <v>140</v>
      </c>
      <c r="F569" s="41">
        <v>241</v>
      </c>
      <c r="G569" s="41">
        <v>1</v>
      </c>
      <c r="H569" s="41">
        <v>18</v>
      </c>
      <c r="I569" s="301">
        <v>108</v>
      </c>
      <c r="J569" s="138">
        <v>18</v>
      </c>
      <c r="K569" s="138">
        <f t="shared" si="41"/>
        <v>18</v>
      </c>
      <c r="L569" s="139">
        <f aca="true" t="shared" si="42" ref="L569:L574">I569/J569</f>
        <v>6</v>
      </c>
      <c r="M569" s="301">
        <f>9280968+4694050.5+1992628+1117778+528440.5+225948.5+100229.5+60712.5+23747.5+18022-1837+3858+1591+1095+16460.5+3147+260+6035+108</f>
        <v>18073242.5</v>
      </c>
      <c r="N569" s="138">
        <f>1147876+614752+261380+141495+73035+33259+17736+11735+4194+3845-458+781+321+218+3333+770+49+1509+18</f>
        <v>2315848</v>
      </c>
      <c r="O569" s="103">
        <f t="shared" si="40"/>
        <v>7.804157483565415</v>
      </c>
      <c r="P569" s="253"/>
    </row>
    <row r="570" spans="1:16" ht="15">
      <c r="A570" s="66">
        <v>567</v>
      </c>
      <c r="B570" s="49" t="s">
        <v>64</v>
      </c>
      <c r="C570" s="39">
        <v>39759</v>
      </c>
      <c r="D570" s="44" t="s">
        <v>65</v>
      </c>
      <c r="E570" s="44" t="s">
        <v>66</v>
      </c>
      <c r="F570" s="41">
        <v>156</v>
      </c>
      <c r="G570" s="41">
        <v>1</v>
      </c>
      <c r="H570" s="41">
        <v>42</v>
      </c>
      <c r="I570" s="301">
        <v>106</v>
      </c>
      <c r="J570" s="138">
        <v>20</v>
      </c>
      <c r="K570" s="138">
        <f t="shared" si="41"/>
        <v>20</v>
      </c>
      <c r="L570" s="139">
        <f t="shared" si="42"/>
        <v>5.3</v>
      </c>
      <c r="M570" s="301">
        <v>23415287</v>
      </c>
      <c r="N570" s="138">
        <v>2787381</v>
      </c>
      <c r="O570" s="103">
        <f t="shared" si="40"/>
        <v>8.400461580243245</v>
      </c>
      <c r="P570" s="300"/>
    </row>
    <row r="571" spans="1:16" ht="15">
      <c r="A571" s="66">
        <v>568</v>
      </c>
      <c r="B571" s="49" t="s">
        <v>401</v>
      </c>
      <c r="C571" s="39">
        <v>38275</v>
      </c>
      <c r="D571" s="44" t="s">
        <v>92</v>
      </c>
      <c r="E571" s="44" t="s">
        <v>107</v>
      </c>
      <c r="F571" s="41">
        <v>13</v>
      </c>
      <c r="G571" s="41">
        <v>1</v>
      </c>
      <c r="H571" s="41">
        <v>28</v>
      </c>
      <c r="I571" s="301">
        <v>105</v>
      </c>
      <c r="J571" s="138">
        <v>21</v>
      </c>
      <c r="K571" s="138">
        <f t="shared" si="41"/>
        <v>21</v>
      </c>
      <c r="L571" s="139">
        <f t="shared" si="42"/>
        <v>5</v>
      </c>
      <c r="M571" s="301">
        <v>89119.5</v>
      </c>
      <c r="N571" s="138">
        <v>14243</v>
      </c>
      <c r="O571" s="103">
        <f t="shared" si="40"/>
        <v>6.25707365021414</v>
      </c>
      <c r="P571" s="255"/>
    </row>
    <row r="572" spans="1:16" ht="15">
      <c r="A572" s="66">
        <v>569</v>
      </c>
      <c r="B572" s="49" t="s">
        <v>297</v>
      </c>
      <c r="C572" s="39">
        <v>39402</v>
      </c>
      <c r="D572" s="44" t="s">
        <v>136</v>
      </c>
      <c r="E572" s="44" t="s">
        <v>237</v>
      </c>
      <c r="F572" s="41">
        <v>165</v>
      </c>
      <c r="G572" s="41">
        <v>1</v>
      </c>
      <c r="H572" s="41">
        <v>48</v>
      </c>
      <c r="I572" s="301">
        <v>103</v>
      </c>
      <c r="J572" s="138">
        <v>19</v>
      </c>
      <c r="K572" s="138">
        <f t="shared" si="41"/>
        <v>19</v>
      </c>
      <c r="L572" s="139">
        <f t="shared" si="42"/>
        <v>5.421052631578948</v>
      </c>
      <c r="M572" s="301">
        <v>14646428.5</v>
      </c>
      <c r="N572" s="138">
        <v>2030802</v>
      </c>
      <c r="O572" s="103">
        <f t="shared" si="40"/>
        <v>7.212140080618396</v>
      </c>
      <c r="P572" s="255"/>
    </row>
    <row r="573" spans="1:16" ht="15">
      <c r="A573" s="66">
        <v>570</v>
      </c>
      <c r="B573" s="240" t="s">
        <v>256</v>
      </c>
      <c r="C573" s="236">
        <v>39703</v>
      </c>
      <c r="D573" s="235" t="s">
        <v>136</v>
      </c>
      <c r="E573" s="235" t="s">
        <v>243</v>
      </c>
      <c r="F573" s="237">
        <v>24</v>
      </c>
      <c r="G573" s="237">
        <v>1</v>
      </c>
      <c r="H573" s="237">
        <v>11</v>
      </c>
      <c r="I573" s="331">
        <v>102</v>
      </c>
      <c r="J573" s="238">
        <v>22</v>
      </c>
      <c r="K573" s="238">
        <f t="shared" si="41"/>
        <v>22</v>
      </c>
      <c r="L573" s="239">
        <f t="shared" si="42"/>
        <v>4.636363636363637</v>
      </c>
      <c r="M573" s="331">
        <v>133004</v>
      </c>
      <c r="N573" s="238">
        <v>14872</v>
      </c>
      <c r="O573" s="241">
        <f t="shared" si="40"/>
        <v>8.943249058633674</v>
      </c>
      <c r="P573" s="247">
        <v>1</v>
      </c>
    </row>
    <row r="574" spans="1:16" ht="15">
      <c r="A574" s="66">
        <v>571</v>
      </c>
      <c r="B574" s="49" t="s">
        <v>64</v>
      </c>
      <c r="C574" s="39">
        <v>39759</v>
      </c>
      <c r="D574" s="44" t="s">
        <v>65</v>
      </c>
      <c r="E574" s="44" t="s">
        <v>66</v>
      </c>
      <c r="F574" s="41">
        <v>156</v>
      </c>
      <c r="G574" s="41">
        <v>1</v>
      </c>
      <c r="H574" s="41">
        <v>32</v>
      </c>
      <c r="I574" s="301">
        <v>90</v>
      </c>
      <c r="J574" s="138">
        <v>18</v>
      </c>
      <c r="K574" s="138">
        <f t="shared" si="41"/>
        <v>18</v>
      </c>
      <c r="L574" s="139">
        <f t="shared" si="42"/>
        <v>5</v>
      </c>
      <c r="M574" s="301">
        <v>23383581.5</v>
      </c>
      <c r="N574" s="138">
        <v>2781949</v>
      </c>
      <c r="O574" s="103">
        <f t="shared" si="40"/>
        <v>8.405467354002536</v>
      </c>
      <c r="P574" s="300">
        <v>1</v>
      </c>
    </row>
    <row r="575" spans="1:16" ht="15">
      <c r="A575" s="66">
        <v>572</v>
      </c>
      <c r="B575" s="49" t="s">
        <v>25</v>
      </c>
      <c r="C575" s="39">
        <v>39808</v>
      </c>
      <c r="D575" s="44" t="s">
        <v>131</v>
      </c>
      <c r="E575" s="44" t="s">
        <v>111</v>
      </c>
      <c r="F575" s="41">
        <v>112</v>
      </c>
      <c r="G575" s="41">
        <v>1</v>
      </c>
      <c r="H575" s="41">
        <v>17</v>
      </c>
      <c r="I575" s="332">
        <v>90</v>
      </c>
      <c r="J575" s="138">
        <v>18</v>
      </c>
      <c r="K575" s="138">
        <f t="shared" si="41"/>
        <v>18</v>
      </c>
      <c r="L575" s="273">
        <f>+I575/J575</f>
        <v>5</v>
      </c>
      <c r="M575" s="332">
        <v>2051844</v>
      </c>
      <c r="N575" s="138">
        <v>212663</v>
      </c>
      <c r="O575" s="274">
        <f t="shared" si="40"/>
        <v>9.648335629611168</v>
      </c>
      <c r="P575" s="254"/>
    </row>
    <row r="576" spans="1:16" ht="15">
      <c r="A576" s="66">
        <v>573</v>
      </c>
      <c r="B576" s="49" t="s">
        <v>52</v>
      </c>
      <c r="C576" s="39">
        <v>39738</v>
      </c>
      <c r="D576" s="44" t="s">
        <v>134</v>
      </c>
      <c r="E576" s="44" t="s">
        <v>133</v>
      </c>
      <c r="F576" s="41">
        <v>65</v>
      </c>
      <c r="G576" s="41">
        <v>1</v>
      </c>
      <c r="H576" s="41">
        <v>16</v>
      </c>
      <c r="I576" s="301">
        <v>88</v>
      </c>
      <c r="J576" s="138">
        <v>8</v>
      </c>
      <c r="K576" s="138">
        <f>(J576/G576)</f>
        <v>8</v>
      </c>
      <c r="L576" s="139">
        <f>I576/J576</f>
        <v>11</v>
      </c>
      <c r="M576" s="301">
        <f>502954.7+385847+127398.5+41644+35371+15703.5+9494+704+1120.5+952+891+302+72+55+187+88</f>
        <v>1122784.2</v>
      </c>
      <c r="N576" s="138">
        <f>51438+39611+14487+7156+6343+2488+1591+176+567+238+149+50+12+9+18+8</f>
        <v>124341</v>
      </c>
      <c r="O576" s="103">
        <f>M576/N576</f>
        <v>9.029879122735059</v>
      </c>
      <c r="P576" s="247">
        <v>1</v>
      </c>
    </row>
    <row r="577" spans="1:16" ht="15">
      <c r="A577" s="66">
        <v>574</v>
      </c>
      <c r="B577" s="275" t="s">
        <v>147</v>
      </c>
      <c r="C577" s="39">
        <v>39801</v>
      </c>
      <c r="D577" s="44" t="s">
        <v>134</v>
      </c>
      <c r="E577" s="44" t="s">
        <v>196</v>
      </c>
      <c r="F577" s="41">
        <v>42</v>
      </c>
      <c r="G577" s="41">
        <v>1</v>
      </c>
      <c r="H577" s="41">
        <v>21</v>
      </c>
      <c r="I577" s="332">
        <v>83</v>
      </c>
      <c r="J577" s="138">
        <v>21</v>
      </c>
      <c r="K577" s="138">
        <f>(J577/G577)</f>
        <v>21</v>
      </c>
      <c r="L577" s="273">
        <f>I577/J577</f>
        <v>3.9523809523809526</v>
      </c>
      <c r="M577" s="332">
        <f>295344+204961.5+145464.5+116108.5+111972.5+49984+26327+32042+18579+20005+19180+15980+2686.5+3166.5+366+13433+4493+735.5+607.5+2528+83</f>
        <v>1084047</v>
      </c>
      <c r="N577" s="138">
        <f>36142+24747+19417+15404+14719+7567+3314+5289+3173+3275+3534+2826+540+724+52+2536+882+130+150+615+21</f>
        <v>145057</v>
      </c>
      <c r="O577" s="274">
        <f>M577/N577</f>
        <v>7.47324844716215</v>
      </c>
      <c r="P577" s="253"/>
    </row>
    <row r="578" spans="1:16" ht="15">
      <c r="A578" s="66">
        <v>575</v>
      </c>
      <c r="B578" s="53" t="s">
        <v>141</v>
      </c>
      <c r="C578" s="39">
        <v>39780</v>
      </c>
      <c r="D578" s="126" t="s">
        <v>79</v>
      </c>
      <c r="E578" s="126" t="s">
        <v>48</v>
      </c>
      <c r="F578" s="54">
        <v>3</v>
      </c>
      <c r="G578" s="54">
        <v>1</v>
      </c>
      <c r="H578" s="54">
        <v>6</v>
      </c>
      <c r="I578" s="336">
        <v>81</v>
      </c>
      <c r="J578" s="142">
        <v>13</v>
      </c>
      <c r="K578" s="142"/>
      <c r="L578" s="194">
        <f>IF(I578&lt;&gt;0,I578/J578,"")</f>
        <v>6.230769230769231</v>
      </c>
      <c r="M578" s="336">
        <v>42285.5</v>
      </c>
      <c r="N578" s="142">
        <v>3919</v>
      </c>
      <c r="O578" s="104">
        <f>IF(M578&lt;&gt;0,M578/N578,"")</f>
        <v>10.78986986476142</v>
      </c>
      <c r="P578" s="255"/>
    </row>
    <row r="579" spans="1:16" ht="15">
      <c r="A579" s="66">
        <v>576</v>
      </c>
      <c r="B579" s="275" t="s">
        <v>70</v>
      </c>
      <c r="C579" s="39">
        <v>39766</v>
      </c>
      <c r="D579" s="44" t="s">
        <v>132</v>
      </c>
      <c r="E579" s="44" t="s">
        <v>71</v>
      </c>
      <c r="F579" s="41">
        <v>24</v>
      </c>
      <c r="G579" s="41">
        <v>1</v>
      </c>
      <c r="H579" s="41">
        <v>23</v>
      </c>
      <c r="I579" s="332">
        <v>80</v>
      </c>
      <c r="J579" s="138">
        <v>20</v>
      </c>
      <c r="K579" s="138">
        <f>J579/G579</f>
        <v>20</v>
      </c>
      <c r="L579" s="273">
        <f>I579/J579</f>
        <v>4</v>
      </c>
      <c r="M579" s="332">
        <f>191668+16358.5+8305+0.5+19699.5+16705.5+7289+4467+3138+2267+1882+6536+9273+1289+852+1124+2416+1164+28+80</f>
        <v>294542</v>
      </c>
      <c r="N579" s="138">
        <f>10324+8249+7871+7121+4755+3362+1751+2958+2636+1185+800+596+440+265+961+1648+202+172+213+528+291+7+20</f>
        <v>56355</v>
      </c>
      <c r="O579" s="274">
        <f>+M579/N579</f>
        <v>5.226546003016591</v>
      </c>
      <c r="P579" s="300">
        <v>1</v>
      </c>
    </row>
    <row r="580" spans="1:16" ht="15">
      <c r="A580" s="66">
        <v>577</v>
      </c>
      <c r="B580" s="49" t="s">
        <v>380</v>
      </c>
      <c r="C580" s="39">
        <v>39696</v>
      </c>
      <c r="D580" s="44" t="s">
        <v>4</v>
      </c>
      <c r="E580" s="44" t="s">
        <v>112</v>
      </c>
      <c r="F580" s="41">
        <v>1</v>
      </c>
      <c r="G580" s="41">
        <v>1</v>
      </c>
      <c r="H580" s="41">
        <v>53</v>
      </c>
      <c r="I580" s="301">
        <v>80</v>
      </c>
      <c r="J580" s="138">
        <v>16</v>
      </c>
      <c r="K580" s="138">
        <f>+J580/G580</f>
        <v>16</v>
      </c>
      <c r="L580" s="139">
        <f>+I580/J580</f>
        <v>5</v>
      </c>
      <c r="M580" s="301">
        <v>8027</v>
      </c>
      <c r="N580" s="138">
        <v>835</v>
      </c>
      <c r="O580" s="103">
        <f>+M580/N580</f>
        <v>9.613173652694611</v>
      </c>
      <c r="P580" s="255">
        <v>1</v>
      </c>
    </row>
    <row r="581" spans="1:16" ht="15">
      <c r="A581" s="66">
        <v>578</v>
      </c>
      <c r="B581" s="49" t="s">
        <v>80</v>
      </c>
      <c r="C581" s="40">
        <v>39703</v>
      </c>
      <c r="D581" s="45" t="s">
        <v>134</v>
      </c>
      <c r="E581" s="44" t="s">
        <v>81</v>
      </c>
      <c r="F581" s="41">
        <v>6</v>
      </c>
      <c r="G581" s="41">
        <v>1</v>
      </c>
      <c r="H581" s="41">
        <v>14</v>
      </c>
      <c r="I581" s="327">
        <v>73</v>
      </c>
      <c r="J581" s="328">
        <v>11</v>
      </c>
      <c r="K581" s="140">
        <f>(J581/G581)</f>
        <v>11</v>
      </c>
      <c r="L581" s="141">
        <f>I581/J581</f>
        <v>6.636363636363637</v>
      </c>
      <c r="M581" s="327">
        <f>18453+18044+4959+3105.5+2221+2795+1156+907+1188+3416+108+86+53+73</f>
        <v>56564.5</v>
      </c>
      <c r="N581" s="328">
        <f>1896+1808+596+485+314+510+270+216+297+854+33+15+9+11</f>
        <v>7314</v>
      </c>
      <c r="O581" s="105">
        <f>M581/N581</f>
        <v>7.733729833196609</v>
      </c>
      <c r="P581" s="247">
        <v>1</v>
      </c>
    </row>
    <row r="582" spans="1:16" ht="15">
      <c r="A582" s="66">
        <v>579</v>
      </c>
      <c r="B582" s="49" t="s">
        <v>52</v>
      </c>
      <c r="C582" s="40">
        <v>39738</v>
      </c>
      <c r="D582" s="45" t="s">
        <v>134</v>
      </c>
      <c r="E582" s="44" t="s">
        <v>133</v>
      </c>
      <c r="F582" s="41">
        <v>65</v>
      </c>
      <c r="G582" s="41">
        <v>1</v>
      </c>
      <c r="H582" s="41">
        <v>13</v>
      </c>
      <c r="I582" s="327">
        <v>72</v>
      </c>
      <c r="J582" s="328">
        <v>12</v>
      </c>
      <c r="K582" s="140">
        <f>(J582/G582)</f>
        <v>12</v>
      </c>
      <c r="L582" s="141">
        <f>I582/J582</f>
        <v>6</v>
      </c>
      <c r="M582" s="327">
        <f>502954.7+385847+127398.5+41644+35371+15703.5+9494+704+1120.5+952+891+302+72</f>
        <v>1122454.2</v>
      </c>
      <c r="N582" s="328">
        <f>51438+39611+14487+7156+6343+2488+1591+176+567+238+149+50+12</f>
        <v>124306</v>
      </c>
      <c r="O582" s="105">
        <f>M582/N582</f>
        <v>9.029766865638022</v>
      </c>
      <c r="P582" s="247"/>
    </row>
    <row r="583" spans="1:16" ht="15">
      <c r="A583" s="66">
        <v>580</v>
      </c>
      <c r="B583" s="49" t="s">
        <v>98</v>
      </c>
      <c r="C583" s="40">
        <v>39724</v>
      </c>
      <c r="D583" s="45" t="s">
        <v>134</v>
      </c>
      <c r="E583" s="44" t="s">
        <v>106</v>
      </c>
      <c r="F583" s="41">
        <v>2</v>
      </c>
      <c r="G583" s="41">
        <v>1</v>
      </c>
      <c r="H583" s="41">
        <v>11</v>
      </c>
      <c r="I583" s="327">
        <v>67</v>
      </c>
      <c r="J583" s="328">
        <v>10</v>
      </c>
      <c r="K583" s="140">
        <f>(J583/G583)</f>
        <v>10</v>
      </c>
      <c r="L583" s="141">
        <f>I583/J583</f>
        <v>6.7</v>
      </c>
      <c r="M583" s="327">
        <f>10160+3974+2322+148+808+1106+1364.5+963+712+38+67</f>
        <v>21662.5</v>
      </c>
      <c r="N583" s="328">
        <f>966+422+271+18+130+124+165+258+178+6+10</f>
        <v>2548</v>
      </c>
      <c r="O583" s="105">
        <f>M583/N583</f>
        <v>8.501766091051806</v>
      </c>
      <c r="P583" s="255"/>
    </row>
    <row r="584" spans="1:16" ht="15">
      <c r="A584" s="66">
        <v>581</v>
      </c>
      <c r="B584" s="49" t="s">
        <v>61</v>
      </c>
      <c r="C584" s="40">
        <v>39752</v>
      </c>
      <c r="D584" s="45" t="s">
        <v>134</v>
      </c>
      <c r="E584" s="44" t="s">
        <v>112</v>
      </c>
      <c r="F584" s="41">
        <v>27</v>
      </c>
      <c r="G584" s="41">
        <v>1</v>
      </c>
      <c r="H584" s="41">
        <v>10</v>
      </c>
      <c r="I584" s="327">
        <v>67</v>
      </c>
      <c r="J584" s="328">
        <v>10</v>
      </c>
      <c r="K584" s="140">
        <f>(J584/G584)</f>
        <v>10</v>
      </c>
      <c r="L584" s="141">
        <f>I584/J584</f>
        <v>6.7</v>
      </c>
      <c r="M584" s="327">
        <f>122635.5+51150+18262+4454+16388.5+1375+1246+204+334+67</f>
        <v>216116</v>
      </c>
      <c r="N584" s="328">
        <f>11002+4826+2043+624+2156+227+195+32+110+10</f>
        <v>21225</v>
      </c>
      <c r="O584" s="105">
        <f>M584/N584</f>
        <v>10.182143698468787</v>
      </c>
      <c r="P584" s="255">
        <v>1</v>
      </c>
    </row>
    <row r="585" spans="1:16" ht="15">
      <c r="A585" s="66">
        <v>582</v>
      </c>
      <c r="B585" s="275" t="s">
        <v>382</v>
      </c>
      <c r="C585" s="39">
        <v>39689</v>
      </c>
      <c r="D585" s="44" t="s">
        <v>4</v>
      </c>
      <c r="E585" s="44" t="s">
        <v>77</v>
      </c>
      <c r="F585" s="41">
        <v>4</v>
      </c>
      <c r="G585" s="41">
        <v>1</v>
      </c>
      <c r="H585" s="41">
        <v>38</v>
      </c>
      <c r="I585" s="332">
        <v>66</v>
      </c>
      <c r="J585" s="138">
        <v>9</v>
      </c>
      <c r="K585" s="138">
        <f>+J585/G585</f>
        <v>9</v>
      </c>
      <c r="L585" s="273">
        <f>+I585/J585</f>
        <v>7.333333333333333</v>
      </c>
      <c r="M585" s="332">
        <v>40311</v>
      </c>
      <c r="N585" s="138">
        <v>3411</v>
      </c>
      <c r="O585" s="274">
        <f>+M585/N585</f>
        <v>11.817941952506596</v>
      </c>
      <c r="P585" s="254"/>
    </row>
    <row r="586" spans="1:16" ht="15">
      <c r="A586" s="66">
        <v>583</v>
      </c>
      <c r="B586" s="49" t="s">
        <v>53</v>
      </c>
      <c r="C586" s="39">
        <v>39738</v>
      </c>
      <c r="D586" s="44" t="s">
        <v>134</v>
      </c>
      <c r="E586" s="44" t="s">
        <v>54</v>
      </c>
      <c r="F586" s="41">
        <v>67</v>
      </c>
      <c r="G586" s="41">
        <v>1</v>
      </c>
      <c r="H586" s="41">
        <v>30</v>
      </c>
      <c r="I586" s="301">
        <v>65</v>
      </c>
      <c r="J586" s="138">
        <v>13</v>
      </c>
      <c r="K586" s="138">
        <f>(J586/G586)</f>
        <v>13</v>
      </c>
      <c r="L586" s="139">
        <f>I586/J586</f>
        <v>5</v>
      </c>
      <c r="M586" s="301">
        <f>167196+176809+54428+37340+38330.5+23467+11581+5867+4382+2577+3552+2137+545+4006+9422+7992+4936+1547+1147+288+371+2842+1282+168+610+1948+150+3292+132+65</f>
        <v>568409.5</v>
      </c>
      <c r="N586" s="138">
        <f>19168+21164+7719+6215+6404+4964+2339+1306+907+580+859+440+127+905+2170+1822+1050+392+333+56+73+734+411+21+61+466+30+807+26+13</f>
        <v>81562</v>
      </c>
      <c r="O586" s="103">
        <f>M586/N586</f>
        <v>6.969048086118535</v>
      </c>
      <c r="P586" s="253"/>
    </row>
    <row r="587" spans="1:16" ht="15">
      <c r="A587" s="66">
        <v>584</v>
      </c>
      <c r="B587" s="233" t="s">
        <v>98</v>
      </c>
      <c r="C587" s="40">
        <v>39724</v>
      </c>
      <c r="D587" s="126" t="s">
        <v>134</v>
      </c>
      <c r="E587" s="226" t="s">
        <v>106</v>
      </c>
      <c r="F587" s="227">
        <v>2</v>
      </c>
      <c r="G587" s="227">
        <v>1</v>
      </c>
      <c r="H587" s="227">
        <v>12</v>
      </c>
      <c r="I587" s="325">
        <v>64</v>
      </c>
      <c r="J587" s="326">
        <v>10</v>
      </c>
      <c r="K587" s="232">
        <f>(J587/G587)</f>
        <v>10</v>
      </c>
      <c r="L587" s="141">
        <f>I587/J587</f>
        <v>6.4</v>
      </c>
      <c r="M587" s="325">
        <f>10160+3974+2322+148+808+1106+1364.5+963+712+38+67+64</f>
        <v>21726.5</v>
      </c>
      <c r="N587" s="326">
        <f>966+422+271+18+130+124+165+258+178+6+10+10</f>
        <v>2558</v>
      </c>
      <c r="O587" s="105">
        <f>M587/N587</f>
        <v>8.493549648162627</v>
      </c>
      <c r="P587" s="253"/>
    </row>
    <row r="588" spans="1:16" ht="15">
      <c r="A588" s="66">
        <v>585</v>
      </c>
      <c r="B588" s="49" t="s">
        <v>401</v>
      </c>
      <c r="C588" s="39">
        <v>38275</v>
      </c>
      <c r="D588" s="44" t="s">
        <v>92</v>
      </c>
      <c r="E588" s="44" t="s">
        <v>421</v>
      </c>
      <c r="F588" s="41">
        <v>13</v>
      </c>
      <c r="G588" s="41">
        <v>1</v>
      </c>
      <c r="H588" s="41">
        <v>30</v>
      </c>
      <c r="I588" s="301">
        <v>62</v>
      </c>
      <c r="J588" s="138">
        <v>8</v>
      </c>
      <c r="K588" s="138">
        <f>J588/G588</f>
        <v>8</v>
      </c>
      <c r="L588" s="139">
        <f>I588/J588</f>
        <v>7.75</v>
      </c>
      <c r="M588" s="301">
        <v>89201.5</v>
      </c>
      <c r="N588" s="138">
        <v>14255</v>
      </c>
      <c r="O588" s="103">
        <f>+M588/N588</f>
        <v>6.257558751315328</v>
      </c>
      <c r="P588" s="253">
        <v>1</v>
      </c>
    </row>
    <row r="589" spans="1:16" ht="15">
      <c r="A589" s="66">
        <v>586</v>
      </c>
      <c r="B589" s="49" t="s">
        <v>495</v>
      </c>
      <c r="C589" s="39">
        <v>37232</v>
      </c>
      <c r="D589" s="44" t="s">
        <v>132</v>
      </c>
      <c r="E589" s="44" t="s">
        <v>496</v>
      </c>
      <c r="F589" s="41">
        <v>75</v>
      </c>
      <c r="G589" s="41">
        <v>1</v>
      </c>
      <c r="H589" s="41">
        <v>45</v>
      </c>
      <c r="I589" s="301">
        <v>60</v>
      </c>
      <c r="J589" s="138">
        <v>10</v>
      </c>
      <c r="K589" s="138">
        <f>J589/G589</f>
        <v>10</v>
      </c>
      <c r="L589" s="139">
        <f>I589/J589</f>
        <v>6</v>
      </c>
      <c r="M589"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89" s="138">
        <f>175278+277245+127655+110704+59468+90890+60665+41640+27136+11691+4359+12183+1720+17572+4105+5207+3054+1964+2189+313+220+792+93+975+40+1007+1230+41+1240+676+89+618+1429+1350+324+467+5424+134+367+477+860+16+756+10</f>
        <v>1053673</v>
      </c>
      <c r="O589" s="103">
        <f>+M589/N589</f>
        <v>2.8434346329458946</v>
      </c>
      <c r="P589" s="266">
        <v>1</v>
      </c>
    </row>
    <row r="590" spans="1:16" ht="15">
      <c r="A590" s="66">
        <v>587</v>
      </c>
      <c r="B590" s="240" t="s">
        <v>245</v>
      </c>
      <c r="C590" s="236">
        <v>39731</v>
      </c>
      <c r="D590" s="235" t="s">
        <v>136</v>
      </c>
      <c r="E590" s="235" t="s">
        <v>246</v>
      </c>
      <c r="F590" s="237">
        <v>131</v>
      </c>
      <c r="G590" s="237">
        <v>1</v>
      </c>
      <c r="H590" s="237">
        <v>13</v>
      </c>
      <c r="I590" s="331">
        <v>55</v>
      </c>
      <c r="J590" s="238">
        <v>11</v>
      </c>
      <c r="K590" s="238">
        <f>IF(I590&lt;&gt;0,J590/G590,"")</f>
        <v>11</v>
      </c>
      <c r="L590" s="239">
        <f>IF(I590&lt;&gt;0,I590/J590,"")</f>
        <v>5</v>
      </c>
      <c r="M590" s="331">
        <v>1232074</v>
      </c>
      <c r="N590" s="238">
        <v>157539</v>
      </c>
      <c r="O590" s="241">
        <v>7.83</v>
      </c>
      <c r="P590" s="255"/>
    </row>
    <row r="591" spans="1:16" ht="15">
      <c r="A591" s="66">
        <v>588</v>
      </c>
      <c r="B591" s="233" t="s">
        <v>52</v>
      </c>
      <c r="C591" s="40">
        <v>39738</v>
      </c>
      <c r="D591" s="126" t="s">
        <v>134</v>
      </c>
      <c r="E591" s="226" t="s">
        <v>133</v>
      </c>
      <c r="F591" s="227">
        <v>65</v>
      </c>
      <c r="G591" s="227">
        <v>1</v>
      </c>
      <c r="H591" s="227">
        <v>14</v>
      </c>
      <c r="I591" s="325">
        <v>55</v>
      </c>
      <c r="J591" s="326">
        <v>9</v>
      </c>
      <c r="K591" s="232">
        <f>(J591/G591)</f>
        <v>9</v>
      </c>
      <c r="L591" s="141">
        <f>I591/J591</f>
        <v>6.111111111111111</v>
      </c>
      <c r="M591" s="325">
        <f>502954.7+385847+127398.5+41644+35371+15703.5+9494+704+1120.5+952+891+302+72+55</f>
        <v>1122509.2</v>
      </c>
      <c r="N591" s="326">
        <f>51438+39611+14487+7156+6343+2488+1591+176+567+238+149+50+12+9</f>
        <v>124315</v>
      </c>
      <c r="O591" s="105">
        <f>M591/N591</f>
        <v>9.029555564493423</v>
      </c>
      <c r="P591" s="247"/>
    </row>
    <row r="592" spans="1:16" ht="15">
      <c r="A592" s="66">
        <v>589</v>
      </c>
      <c r="B592" s="49" t="s">
        <v>419</v>
      </c>
      <c r="C592" s="39">
        <v>39192</v>
      </c>
      <c r="D592" s="44" t="s">
        <v>132</v>
      </c>
      <c r="E592" s="44" t="s">
        <v>107</v>
      </c>
      <c r="F592" s="41">
        <v>82</v>
      </c>
      <c r="G592" s="41">
        <v>1</v>
      </c>
      <c r="H592" s="41">
        <v>22</v>
      </c>
      <c r="I592" s="301">
        <v>54</v>
      </c>
      <c r="J592" s="138">
        <v>9</v>
      </c>
      <c r="K592" s="138">
        <f>J592/G592</f>
        <v>9</v>
      </c>
      <c r="L592" s="139">
        <f>I592/J592</f>
        <v>6</v>
      </c>
      <c r="M592" s="301">
        <f>407730+156171.5+87089+48964+29084+13173.5+8330+7579.5+805.5+1100+1464+3021+264+123+23+430+70+2408+0.5+234+42+54</f>
        <v>768160.5</v>
      </c>
      <c r="N592" s="138">
        <f>48903+19527+11239+7709+5693+3389+1770+1751+250+248+325+755+88+19+3+86+14+602+39+7+9</f>
        <v>102426</v>
      </c>
      <c r="O592" s="103">
        <f aca="true" t="shared" si="43" ref="O592:O603">+M592/N592</f>
        <v>7.499663171460371</v>
      </c>
      <c r="P592" s="255"/>
    </row>
    <row r="593" spans="1:16" ht="15">
      <c r="A593" s="66">
        <v>590</v>
      </c>
      <c r="B593" s="240" t="s">
        <v>44</v>
      </c>
      <c r="C593" s="236">
        <v>39780</v>
      </c>
      <c r="D593" s="235" t="s">
        <v>131</v>
      </c>
      <c r="E593" s="235" t="s">
        <v>127</v>
      </c>
      <c r="F593" s="237">
        <v>121</v>
      </c>
      <c r="G593" s="237">
        <v>2</v>
      </c>
      <c r="H593" s="237">
        <v>14</v>
      </c>
      <c r="I593" s="331">
        <v>54</v>
      </c>
      <c r="J593" s="238">
        <v>9</v>
      </c>
      <c r="K593" s="238">
        <f>J593/G593</f>
        <v>4.5</v>
      </c>
      <c r="L593" s="239">
        <f>+I593/J593</f>
        <v>6</v>
      </c>
      <c r="M593" s="331">
        <v>3456633</v>
      </c>
      <c r="N593" s="238">
        <v>406065</v>
      </c>
      <c r="O593" s="241">
        <f t="shared" si="43"/>
        <v>8.51251154371837</v>
      </c>
      <c r="P593" s="300">
        <v>1</v>
      </c>
    </row>
    <row r="594" spans="1:16" ht="15">
      <c r="A594" s="66">
        <v>591</v>
      </c>
      <c r="B594" s="240" t="s">
        <v>44</v>
      </c>
      <c r="C594" s="236">
        <v>39780</v>
      </c>
      <c r="D594" s="235" t="s">
        <v>131</v>
      </c>
      <c r="E594" s="235" t="s">
        <v>127</v>
      </c>
      <c r="F594" s="237">
        <v>121</v>
      </c>
      <c r="G594" s="237">
        <v>2</v>
      </c>
      <c r="H594" s="237">
        <v>15</v>
      </c>
      <c r="I594" s="331">
        <v>50</v>
      </c>
      <c r="J594" s="238">
        <v>10</v>
      </c>
      <c r="K594" s="238">
        <f>J594/G594</f>
        <v>5</v>
      </c>
      <c r="L594" s="239">
        <f>+I594/J594</f>
        <v>5</v>
      </c>
      <c r="M594" s="331">
        <v>3456683</v>
      </c>
      <c r="N594" s="238">
        <v>406075</v>
      </c>
      <c r="O594" s="241">
        <f t="shared" si="43"/>
        <v>8.512425044634611</v>
      </c>
      <c r="P594" s="255"/>
    </row>
    <row r="595" spans="1:16" ht="15">
      <c r="A595" s="66">
        <v>592</v>
      </c>
      <c r="B595" s="240" t="s">
        <v>145</v>
      </c>
      <c r="C595" s="236">
        <v>39801</v>
      </c>
      <c r="D595" s="235" t="s">
        <v>136</v>
      </c>
      <c r="E595" s="235" t="s">
        <v>146</v>
      </c>
      <c r="F595" s="237">
        <v>84</v>
      </c>
      <c r="G595" s="237">
        <v>1</v>
      </c>
      <c r="H595" s="237">
        <v>9</v>
      </c>
      <c r="I595" s="331">
        <v>50</v>
      </c>
      <c r="J595" s="238">
        <v>10</v>
      </c>
      <c r="K595" s="238">
        <f>IF(I595&lt;&gt;0,J595/G595,"")</f>
        <v>10</v>
      </c>
      <c r="L595" s="239">
        <f>IF(I595&lt;&gt;0,I595/J595,"")</f>
        <v>5</v>
      </c>
      <c r="M595" s="331">
        <f>369313.5+145108.5+43813+31258+11772.5+5392.5+2080+3225+50</f>
        <v>612013</v>
      </c>
      <c r="N595" s="238">
        <f>41017+16460+6346+5364+2357+1094+419+545+10</f>
        <v>73612</v>
      </c>
      <c r="O595" s="241">
        <f t="shared" si="43"/>
        <v>8.314038471988264</v>
      </c>
      <c r="P595" s="255"/>
    </row>
    <row r="596" spans="1:16" ht="15">
      <c r="A596" s="66">
        <v>593</v>
      </c>
      <c r="B596" s="275" t="s">
        <v>339</v>
      </c>
      <c r="C596" s="39">
        <v>8</v>
      </c>
      <c r="D596" s="44" t="s">
        <v>132</v>
      </c>
      <c r="E596" s="44" t="s">
        <v>21</v>
      </c>
      <c r="F596" s="41">
        <v>39</v>
      </c>
      <c r="G596" s="41">
        <v>1</v>
      </c>
      <c r="H596" s="41">
        <v>8</v>
      </c>
      <c r="I596" s="332">
        <v>48</v>
      </c>
      <c r="J596" s="138">
        <v>12</v>
      </c>
      <c r="K596" s="138">
        <f>J596/G596</f>
        <v>12</v>
      </c>
      <c r="L596" s="273">
        <f>I596/J596</f>
        <v>4</v>
      </c>
      <c r="M596" s="332">
        <f>155297+102243.5+44566+14322.5+10689.5+2748+1324+20+48</f>
        <v>331258.5</v>
      </c>
      <c r="N596" s="138">
        <f>14452+9703+4988+2246+1834+340+173+5+12</f>
        <v>33753</v>
      </c>
      <c r="O596" s="274">
        <f t="shared" si="43"/>
        <v>9.814194293840547</v>
      </c>
      <c r="P596" s="255"/>
    </row>
    <row r="597" spans="1:16" ht="15">
      <c r="A597" s="66">
        <v>594</v>
      </c>
      <c r="B597" s="49" t="s">
        <v>495</v>
      </c>
      <c r="C597" s="39">
        <v>37232</v>
      </c>
      <c r="D597" s="44" t="s">
        <v>132</v>
      </c>
      <c r="E597" s="44" t="s">
        <v>496</v>
      </c>
      <c r="F597" s="41">
        <v>75</v>
      </c>
      <c r="G597" s="41">
        <v>1</v>
      </c>
      <c r="H597" s="41">
        <v>48</v>
      </c>
      <c r="I597" s="301">
        <v>48</v>
      </c>
      <c r="J597" s="138">
        <v>8</v>
      </c>
      <c r="K597" s="138">
        <f>J597/G597</f>
        <v>8</v>
      </c>
      <c r="L597" s="139">
        <f>I597/J597</f>
        <v>6</v>
      </c>
      <c r="M597"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597" s="138">
        <f>175278+277245+127655+110704+59468+90890+60665+41640+27136+11691+4359+12183+1720+17572+4105+5207+3054+1964+2189+313+220+792+93+975+40+1007+1230+41+1240+676+89+618+1429+1350+324+467+5424+134+367+477+860+16+756+10+2+2+8</f>
        <v>1053685</v>
      </c>
      <c r="O597" s="103">
        <f t="shared" si="43"/>
        <v>2.8434705818152484</v>
      </c>
      <c r="P597" s="247"/>
    </row>
    <row r="598" spans="1:16" ht="15">
      <c r="A598" s="66">
        <v>595</v>
      </c>
      <c r="B598" s="275" t="s">
        <v>336</v>
      </c>
      <c r="C598" s="39">
        <v>39577</v>
      </c>
      <c r="D598" s="44" t="s">
        <v>92</v>
      </c>
      <c r="E598" s="44" t="s">
        <v>337</v>
      </c>
      <c r="F598" s="41">
        <v>26</v>
      </c>
      <c r="G598" s="41">
        <v>2</v>
      </c>
      <c r="H598" s="41">
        <v>13</v>
      </c>
      <c r="I598" s="332">
        <v>44</v>
      </c>
      <c r="J598" s="138">
        <v>11</v>
      </c>
      <c r="K598" s="138">
        <f>J598/G598</f>
        <v>5.5</v>
      </c>
      <c r="L598" s="273">
        <f>I598/J598</f>
        <v>4</v>
      </c>
      <c r="M598" s="332">
        <v>115578.42</v>
      </c>
      <c r="N598" s="138">
        <v>13497</v>
      </c>
      <c r="O598" s="274">
        <f t="shared" si="43"/>
        <v>8.563267392753945</v>
      </c>
      <c r="P598" s="255">
        <v>1</v>
      </c>
    </row>
    <row r="599" spans="1:16" ht="15">
      <c r="A599" s="66">
        <v>596</v>
      </c>
      <c r="B599" s="240" t="s">
        <v>149</v>
      </c>
      <c r="C599" s="236">
        <v>39801</v>
      </c>
      <c r="D599" s="235" t="s">
        <v>4</v>
      </c>
      <c r="E599" s="235" t="s">
        <v>77</v>
      </c>
      <c r="F599" s="237">
        <v>19</v>
      </c>
      <c r="G599" s="237">
        <v>1</v>
      </c>
      <c r="H599" s="237">
        <v>9</v>
      </c>
      <c r="I599" s="331">
        <v>43</v>
      </c>
      <c r="J599" s="238">
        <v>7</v>
      </c>
      <c r="K599" s="238">
        <f>+J599/G599</f>
        <v>7</v>
      </c>
      <c r="L599" s="239">
        <f>+I599/J599</f>
        <v>6.142857142857143</v>
      </c>
      <c r="M599" s="331">
        <v>140010</v>
      </c>
      <c r="N599" s="238">
        <v>13242</v>
      </c>
      <c r="O599" s="241">
        <f t="shared" si="43"/>
        <v>10.573176257362936</v>
      </c>
      <c r="P599" s="255"/>
    </row>
    <row r="600" spans="1:16" ht="15">
      <c r="A600" s="66">
        <v>597</v>
      </c>
      <c r="B600" s="49" t="s">
        <v>419</v>
      </c>
      <c r="C600" s="39">
        <v>39192</v>
      </c>
      <c r="D600" s="44" t="s">
        <v>132</v>
      </c>
      <c r="E600" s="44" t="s">
        <v>107</v>
      </c>
      <c r="F600" s="41">
        <v>82</v>
      </c>
      <c r="G600" s="41">
        <v>1</v>
      </c>
      <c r="H600" s="41">
        <v>21</v>
      </c>
      <c r="I600" s="301">
        <v>42</v>
      </c>
      <c r="J600" s="138">
        <v>7</v>
      </c>
      <c r="K600" s="138">
        <f>J600/G600</f>
        <v>7</v>
      </c>
      <c r="L600" s="139">
        <f>I600/J600</f>
        <v>6</v>
      </c>
      <c r="M600" s="301">
        <f>407730+156171.5+87089+48964+29084+13173.5+8330+7579.5+805.5+1100+1464+3021+264+123+23+430+70+2408+0.5+234+42</f>
        <v>768106.5</v>
      </c>
      <c r="N600" s="138">
        <f>48903+19527+11239+7709+5693+3389+1770+1751+250+248+325+755+88+19+3+86+14+602+39+7</f>
        <v>102417</v>
      </c>
      <c r="O600" s="103">
        <f t="shared" si="43"/>
        <v>7.4997949559155215</v>
      </c>
      <c r="P600" s="255"/>
    </row>
    <row r="601" spans="1:16" ht="15">
      <c r="A601" s="66">
        <v>598</v>
      </c>
      <c r="B601" s="240" t="s">
        <v>20</v>
      </c>
      <c r="C601" s="236">
        <v>39773</v>
      </c>
      <c r="D601" s="235" t="s">
        <v>132</v>
      </c>
      <c r="E601" s="235" t="s">
        <v>21</v>
      </c>
      <c r="F601" s="237">
        <v>1</v>
      </c>
      <c r="G601" s="237">
        <v>1</v>
      </c>
      <c r="H601" s="237">
        <v>7</v>
      </c>
      <c r="I601" s="331">
        <v>42</v>
      </c>
      <c r="J601" s="238">
        <v>7</v>
      </c>
      <c r="K601" s="238">
        <f>J601/G601</f>
        <v>7</v>
      </c>
      <c r="L601" s="239">
        <f>I601/J601</f>
        <v>6</v>
      </c>
      <c r="M601" s="331">
        <f>43532.5+13875+1400+341+344+969+42</f>
        <v>60503.5</v>
      </c>
      <c r="N601" s="238">
        <f>3969+1359+251+52+61+210+7</f>
        <v>5909</v>
      </c>
      <c r="O601" s="241">
        <f t="shared" si="43"/>
        <v>10.239211372482654</v>
      </c>
      <c r="P601" s="253"/>
    </row>
    <row r="602" spans="1:16" ht="15">
      <c r="A602" s="66">
        <v>599</v>
      </c>
      <c r="B602" s="275" t="s">
        <v>268</v>
      </c>
      <c r="C602" s="39">
        <v>39724</v>
      </c>
      <c r="D602" s="44" t="s">
        <v>132</v>
      </c>
      <c r="E602" s="44" t="s">
        <v>107</v>
      </c>
      <c r="F602" s="41">
        <v>40</v>
      </c>
      <c r="G602" s="41">
        <v>1</v>
      </c>
      <c r="H602" s="41">
        <v>15</v>
      </c>
      <c r="I602" s="332">
        <v>40</v>
      </c>
      <c r="J602" s="138">
        <v>7</v>
      </c>
      <c r="K602" s="138">
        <f>J602/G602</f>
        <v>7</v>
      </c>
      <c r="L602" s="273">
        <f>I602/J602</f>
        <v>5.714285714285714</v>
      </c>
      <c r="M602" s="332">
        <f>192113+96740+52854+14954+6896+10470+13434+2509+289+62+1274+1363+35+40</f>
        <v>393033</v>
      </c>
      <c r="N602" s="138">
        <f>19993+10602+7693+2633+1151+1896+3059+485+49+7+235+227+5+7</f>
        <v>48042</v>
      </c>
      <c r="O602" s="274">
        <f t="shared" si="43"/>
        <v>8.181029099537904</v>
      </c>
      <c r="P602" s="255"/>
    </row>
    <row r="603" spans="1:16" ht="15">
      <c r="A603" s="66">
        <v>600</v>
      </c>
      <c r="B603" s="53" t="s">
        <v>149</v>
      </c>
      <c r="C603" s="39">
        <v>39801</v>
      </c>
      <c r="D603" s="126" t="s">
        <v>4</v>
      </c>
      <c r="E603" s="126" t="s">
        <v>77</v>
      </c>
      <c r="F603" s="50">
        <v>19</v>
      </c>
      <c r="G603" s="50">
        <v>1</v>
      </c>
      <c r="H603" s="50">
        <v>6</v>
      </c>
      <c r="I603" s="325">
        <v>40</v>
      </c>
      <c r="J603" s="326">
        <v>6</v>
      </c>
      <c r="K603" s="231">
        <f>+J603/G603</f>
        <v>6</v>
      </c>
      <c r="L603" s="137">
        <f>+I603/J603</f>
        <v>6.666666666666667</v>
      </c>
      <c r="M603" s="325">
        <v>137893</v>
      </c>
      <c r="N603" s="326">
        <v>12890</v>
      </c>
      <c r="O603" s="104">
        <f t="shared" si="43"/>
        <v>10.697672614429791</v>
      </c>
      <c r="P603" s="255">
        <v>1</v>
      </c>
    </row>
    <row r="604" spans="1:16" ht="15">
      <c r="A604" s="66">
        <v>601</v>
      </c>
      <c r="B604" s="209" t="s">
        <v>98</v>
      </c>
      <c r="C604" s="205">
        <v>39724</v>
      </c>
      <c r="D604" s="196" t="s">
        <v>134</v>
      </c>
      <c r="E604" s="203" t="s">
        <v>106</v>
      </c>
      <c r="F604" s="204">
        <v>2</v>
      </c>
      <c r="G604" s="204">
        <v>1</v>
      </c>
      <c r="H604" s="204">
        <v>10</v>
      </c>
      <c r="I604" s="321">
        <v>38</v>
      </c>
      <c r="J604" s="322">
        <v>6</v>
      </c>
      <c r="K604" s="201">
        <f>(J604/G604)</f>
        <v>6</v>
      </c>
      <c r="L604" s="202">
        <f>I604/J604</f>
        <v>6.333333333333333</v>
      </c>
      <c r="M604" s="321">
        <f>10160+3974+2322+148+808+1106+1364.5+963+712+38</f>
        <v>21595.5</v>
      </c>
      <c r="N604" s="322">
        <f>966+422+271+18+130+124+165+258+178+6</f>
        <v>2538</v>
      </c>
      <c r="O604" s="208">
        <f>M604/N604</f>
        <v>8.50886524822695</v>
      </c>
      <c r="P604" s="255"/>
    </row>
    <row r="605" spans="1:16" ht="15">
      <c r="A605" s="66">
        <v>602</v>
      </c>
      <c r="B605" s="219" t="s">
        <v>44</v>
      </c>
      <c r="C605" s="40">
        <v>39780</v>
      </c>
      <c r="D605" s="65" t="s">
        <v>131</v>
      </c>
      <c r="E605" s="44" t="s">
        <v>127</v>
      </c>
      <c r="F605" s="41">
        <v>121</v>
      </c>
      <c r="G605" s="41">
        <v>1</v>
      </c>
      <c r="H605" s="41">
        <v>28</v>
      </c>
      <c r="I605" s="301">
        <v>36</v>
      </c>
      <c r="J605" s="138">
        <v>9</v>
      </c>
      <c r="K605" s="138">
        <f>J605/G605</f>
        <v>9</v>
      </c>
      <c r="L605" s="139">
        <f>+I605/J605</f>
        <v>4</v>
      </c>
      <c r="M605" s="301">
        <v>3471128</v>
      </c>
      <c r="N605" s="138">
        <v>409946</v>
      </c>
      <c r="O605" s="103">
        <f>+M605/N605</f>
        <v>8.467281056529396</v>
      </c>
      <c r="P605" s="247"/>
    </row>
    <row r="606" spans="1:16" ht="15">
      <c r="A606" s="66">
        <v>603</v>
      </c>
      <c r="B606" s="49" t="s">
        <v>488</v>
      </c>
      <c r="C606" s="39">
        <v>38674</v>
      </c>
      <c r="D606" s="44" t="s">
        <v>132</v>
      </c>
      <c r="E606" s="44" t="s">
        <v>126</v>
      </c>
      <c r="F606" s="41">
        <v>135</v>
      </c>
      <c r="G606" s="41">
        <v>1</v>
      </c>
      <c r="H606" s="41">
        <v>76</v>
      </c>
      <c r="I606" s="301">
        <v>36</v>
      </c>
      <c r="J606" s="138">
        <v>6</v>
      </c>
      <c r="K606" s="138">
        <f>J606/G606</f>
        <v>6</v>
      </c>
      <c r="L606" s="139">
        <f>I606/J606</f>
        <v>6</v>
      </c>
      <c r="M606"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06"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06" s="103">
        <f>+M606/N606</f>
        <v>6.633716070478457</v>
      </c>
      <c r="P606" s="255"/>
    </row>
    <row r="607" spans="1:16" ht="15">
      <c r="A607" s="66">
        <v>604</v>
      </c>
      <c r="B607" s="209" t="s">
        <v>61</v>
      </c>
      <c r="C607" s="205">
        <v>39752</v>
      </c>
      <c r="D607" s="196" t="s">
        <v>134</v>
      </c>
      <c r="E607" s="203" t="s">
        <v>112</v>
      </c>
      <c r="F607" s="204">
        <v>27</v>
      </c>
      <c r="G607" s="204">
        <v>1</v>
      </c>
      <c r="H607" s="204">
        <v>11</v>
      </c>
      <c r="I607" s="321">
        <v>36</v>
      </c>
      <c r="J607" s="322">
        <v>6</v>
      </c>
      <c r="K607" s="201">
        <f>(J607/G607)</f>
        <v>6</v>
      </c>
      <c r="L607" s="202">
        <f>I607/J607</f>
        <v>6</v>
      </c>
      <c r="M607" s="321">
        <f>122635.5+51150+18262+4454+16388.5+1375+1246+204+334+67+36</f>
        <v>216152</v>
      </c>
      <c r="N607" s="322">
        <f>11002+4826+2043+624+2156+227+195+32+110+10+6</f>
        <v>21231</v>
      </c>
      <c r="O607" s="208">
        <f>M607/N607</f>
        <v>10.180961801139842</v>
      </c>
      <c r="P607" s="247"/>
    </row>
    <row r="608" spans="1:16" ht="15">
      <c r="A608" s="66">
        <v>605</v>
      </c>
      <c r="B608" s="275" t="s">
        <v>268</v>
      </c>
      <c r="C608" s="39">
        <v>39724</v>
      </c>
      <c r="D608" s="44" t="s">
        <v>132</v>
      </c>
      <c r="E608" s="44" t="s">
        <v>107</v>
      </c>
      <c r="F608" s="41">
        <v>1</v>
      </c>
      <c r="G608" s="41">
        <v>1</v>
      </c>
      <c r="H608" s="41">
        <v>14</v>
      </c>
      <c r="I608" s="332">
        <v>35</v>
      </c>
      <c r="J608" s="138">
        <v>5</v>
      </c>
      <c r="K608" s="138">
        <f aca="true" t="shared" si="44" ref="K608:K616">J608/G608</f>
        <v>5</v>
      </c>
      <c r="L608" s="273">
        <f>I608/J608</f>
        <v>7</v>
      </c>
      <c r="M608" s="332">
        <f>192113+96740+52854+14954+6896+10470+13434+2509+289+62+1274+1363+35</f>
        <v>392993</v>
      </c>
      <c r="N608" s="138">
        <f>19993+10602+7693+2633+1151+1896+3059+485+49+7+235+227+5</f>
        <v>48035</v>
      </c>
      <c r="O608" s="274">
        <f aca="true" t="shared" si="45" ref="O608:O616">+M608/N608</f>
        <v>8.181388570833768</v>
      </c>
      <c r="P608" s="247"/>
    </row>
    <row r="609" spans="1:16" ht="15">
      <c r="A609" s="66">
        <v>606</v>
      </c>
      <c r="B609" s="275" t="s">
        <v>70</v>
      </c>
      <c r="C609" s="39">
        <v>39766</v>
      </c>
      <c r="D609" s="44" t="s">
        <v>132</v>
      </c>
      <c r="E609" s="44" t="s">
        <v>338</v>
      </c>
      <c r="F609" s="41">
        <v>1</v>
      </c>
      <c r="G609" s="41">
        <v>1</v>
      </c>
      <c r="H609" s="41">
        <v>22</v>
      </c>
      <c r="I609" s="332">
        <v>28</v>
      </c>
      <c r="J609" s="138">
        <v>7</v>
      </c>
      <c r="K609" s="138">
        <f t="shared" si="44"/>
        <v>7</v>
      </c>
      <c r="L609" s="273">
        <f>I609/J609</f>
        <v>4</v>
      </c>
      <c r="M609" s="332">
        <f>191668+16358.5+8305+0.5+19699.5+16705.5+7289+4467+3138+2267+1882+6536+9273+1289+852+1124+2416+1164+28</f>
        <v>294462</v>
      </c>
      <c r="N609" s="138">
        <f>10324+8249+7871+7121+4755+3362+1751+2958+2636+1185+800+596+440+265+961+1648+202+172+213+528+291+7</f>
        <v>56335</v>
      </c>
      <c r="O609" s="274">
        <f t="shared" si="45"/>
        <v>5.226981450252951</v>
      </c>
      <c r="P609" s="247">
        <v>1</v>
      </c>
    </row>
    <row r="610" spans="1:16" ht="15">
      <c r="A610" s="66">
        <v>607</v>
      </c>
      <c r="B610" s="275" t="s">
        <v>44</v>
      </c>
      <c r="C610" s="39">
        <v>39780</v>
      </c>
      <c r="D610" s="44" t="s">
        <v>131</v>
      </c>
      <c r="E610" s="44" t="s">
        <v>127</v>
      </c>
      <c r="F610" s="41">
        <v>121</v>
      </c>
      <c r="G610" s="41">
        <v>1</v>
      </c>
      <c r="H610" s="41">
        <v>27</v>
      </c>
      <c r="I610" s="332">
        <v>24</v>
      </c>
      <c r="J610" s="138">
        <v>6</v>
      </c>
      <c r="K610" s="138">
        <f t="shared" si="44"/>
        <v>6</v>
      </c>
      <c r="L610" s="273">
        <f>+I610/J610</f>
        <v>4</v>
      </c>
      <c r="M610" s="332">
        <v>3471092</v>
      </c>
      <c r="N610" s="138">
        <v>409937</v>
      </c>
      <c r="O610" s="274">
        <f t="shared" si="45"/>
        <v>8.467379133866912</v>
      </c>
      <c r="P610" s="247">
        <v>1</v>
      </c>
    </row>
    <row r="611" spans="1:16" ht="15">
      <c r="A611" s="66">
        <v>608</v>
      </c>
      <c r="B611" s="49" t="s">
        <v>497</v>
      </c>
      <c r="C611" s="39">
        <v>38429</v>
      </c>
      <c r="D611" s="44" t="s">
        <v>132</v>
      </c>
      <c r="E611" s="44" t="s">
        <v>59</v>
      </c>
      <c r="F611" s="41">
        <v>95</v>
      </c>
      <c r="G611" s="41">
        <v>1</v>
      </c>
      <c r="H611" s="41">
        <v>38</v>
      </c>
      <c r="I611" s="301">
        <v>24</v>
      </c>
      <c r="J611" s="138">
        <v>4</v>
      </c>
      <c r="K611" s="138">
        <f t="shared" si="44"/>
        <v>4</v>
      </c>
      <c r="L611" s="139">
        <f aca="true" t="shared" si="46" ref="L611:L619">I611/J611</f>
        <v>6</v>
      </c>
      <c r="M611" s="301">
        <f>1563268+855702+435680+239868+184373+155484+80039+13183+3888+6069+566+3823+1707+429+435+1546+955+1426+3564+1452+123+4444+1500+920+1007+5342+810+1188+1188+2376+2376+2376+2376+4027.62+12+24</f>
        <v>3583546.62</v>
      </c>
      <c r="N611" s="138">
        <f>657685+2611+111+2188+817+74+81+646+169+713+1782+363+40+2222+528+264+504+2218+540+297+297+503+594+594+594+503+594+2+4</f>
        <v>677538</v>
      </c>
      <c r="O611" s="103">
        <f t="shared" si="45"/>
        <v>5.289071048413521</v>
      </c>
      <c r="P611" s="255"/>
    </row>
    <row r="612" spans="1:16" ht="15">
      <c r="A612" s="66">
        <v>609</v>
      </c>
      <c r="B612" s="275" t="s">
        <v>340</v>
      </c>
      <c r="C612" s="39">
        <v>39388</v>
      </c>
      <c r="D612" s="44" t="s">
        <v>132</v>
      </c>
      <c r="E612" s="44" t="s">
        <v>341</v>
      </c>
      <c r="F612" s="41">
        <v>1</v>
      </c>
      <c r="G612" s="41">
        <v>1</v>
      </c>
      <c r="H612" s="41">
        <v>9</v>
      </c>
      <c r="I612" s="332">
        <v>20</v>
      </c>
      <c r="J612" s="138">
        <v>5</v>
      </c>
      <c r="K612" s="138">
        <f t="shared" si="44"/>
        <v>5</v>
      </c>
      <c r="L612" s="273">
        <f t="shared" si="46"/>
        <v>4</v>
      </c>
      <c r="M612" s="332">
        <f>31108.5+12339+4008+1827+3573.5+1219.5+765.5+108+20</f>
        <v>54969</v>
      </c>
      <c r="N612" s="138">
        <f>3175+1380+493+264+592+165+99+18+5</f>
        <v>6191</v>
      </c>
      <c r="O612" s="274">
        <f t="shared" si="45"/>
        <v>8.878856404458084</v>
      </c>
      <c r="P612" s="247">
        <v>1</v>
      </c>
    </row>
    <row r="613" spans="1:16" ht="15">
      <c r="A613" s="66">
        <v>610</v>
      </c>
      <c r="B613" s="275" t="s">
        <v>339</v>
      </c>
      <c r="C613" s="39">
        <v>39752</v>
      </c>
      <c r="D613" s="44" t="s">
        <v>132</v>
      </c>
      <c r="E613" s="44" t="s">
        <v>21</v>
      </c>
      <c r="F613" s="41">
        <v>1</v>
      </c>
      <c r="G613" s="41">
        <v>1</v>
      </c>
      <c r="H613" s="41">
        <v>7</v>
      </c>
      <c r="I613" s="332">
        <v>20</v>
      </c>
      <c r="J613" s="138">
        <v>5</v>
      </c>
      <c r="K613" s="138">
        <f t="shared" si="44"/>
        <v>5</v>
      </c>
      <c r="L613" s="273">
        <f t="shared" si="46"/>
        <v>4</v>
      </c>
      <c r="M613" s="332">
        <f>155297+102243.5+44566+14322.5+10689.5+2748+1324+20</f>
        <v>331210.5</v>
      </c>
      <c r="N613" s="138">
        <f>14452+9703+4988+2246+1834+340+173+5</f>
        <v>33741</v>
      </c>
      <c r="O613" s="274">
        <f t="shared" si="45"/>
        <v>9.816262114341603</v>
      </c>
      <c r="P613" s="247">
        <v>1</v>
      </c>
    </row>
    <row r="614" spans="1:16" ht="15">
      <c r="A614" s="66">
        <v>611</v>
      </c>
      <c r="B614" s="49">
        <v>120</v>
      </c>
      <c r="C614" s="39">
        <v>39493</v>
      </c>
      <c r="D614" s="44" t="s">
        <v>132</v>
      </c>
      <c r="E614" s="44" t="s">
        <v>94</v>
      </c>
      <c r="F614" s="41">
        <v>42</v>
      </c>
      <c r="G614" s="41">
        <v>179</v>
      </c>
      <c r="H614" s="41">
        <v>1</v>
      </c>
      <c r="I614" s="332">
        <v>20</v>
      </c>
      <c r="J614" s="138">
        <v>5</v>
      </c>
      <c r="K614" s="138">
        <f t="shared" si="44"/>
        <v>0.027932960893854747</v>
      </c>
      <c r="L614" s="273">
        <f t="shared" si="46"/>
        <v>4</v>
      </c>
      <c r="M614" s="332">
        <f>940515+844172.5+750489+533469+396399.5+362067.5+228159+211115.5+153941.5+48+73076.5+60280+47290.5+46690+13789+13717.5+9809+2709.5+1288.5+22597.5+10821.5+12218+7313+44774.5+111294+3629+0.5+41599.5+20470.5+5217-3719.5+10067+1376+10253+13391+15635+48+500+2820+500+666+1758+12+12+20</f>
        <v>5022300.5</v>
      </c>
      <c r="N614" s="138">
        <f>135921+127724+124508+97493+101422+99063+62455+57586+44490+6+19837+19877+15923+15427+4822+4847+3310+822+280+7405+3528+4050+2428+14923+37098+1709+6180+3303+3114+328+3418+4411+5191+12+100+806+100+222+586+3+3+5</f>
        <v>1034736</v>
      </c>
      <c r="O614" s="274">
        <f t="shared" si="45"/>
        <v>4.853702297011025</v>
      </c>
      <c r="P614" s="300">
        <v>1</v>
      </c>
    </row>
    <row r="615" spans="1:16" ht="15">
      <c r="A615" s="66">
        <v>612</v>
      </c>
      <c r="B615" s="49" t="s">
        <v>401</v>
      </c>
      <c r="C615" s="39">
        <v>38275</v>
      </c>
      <c r="D615" s="44" t="s">
        <v>92</v>
      </c>
      <c r="E615" s="44" t="s">
        <v>421</v>
      </c>
      <c r="F615" s="41">
        <v>13</v>
      </c>
      <c r="G615" s="41">
        <v>1</v>
      </c>
      <c r="H615" s="41">
        <v>29</v>
      </c>
      <c r="I615" s="301">
        <v>20</v>
      </c>
      <c r="J615" s="138">
        <v>4</v>
      </c>
      <c r="K615" s="138">
        <f t="shared" si="44"/>
        <v>4</v>
      </c>
      <c r="L615" s="139">
        <f t="shared" si="46"/>
        <v>5</v>
      </c>
      <c r="M615" s="301">
        <v>89139.5</v>
      </c>
      <c r="N615" s="138">
        <v>14247</v>
      </c>
      <c r="O615" s="103">
        <f t="shared" si="45"/>
        <v>6.256720713132589</v>
      </c>
      <c r="P615" s="247"/>
    </row>
    <row r="616" spans="1:16" ht="15">
      <c r="A616" s="66">
        <v>613</v>
      </c>
      <c r="B616" s="49" t="s">
        <v>400</v>
      </c>
      <c r="C616" s="39">
        <v>38450</v>
      </c>
      <c r="D616" s="44" t="s">
        <v>92</v>
      </c>
      <c r="E616" s="44" t="s">
        <v>107</v>
      </c>
      <c r="F616" s="41">
        <v>18</v>
      </c>
      <c r="G616" s="41">
        <v>1</v>
      </c>
      <c r="H616" s="41">
        <v>25</v>
      </c>
      <c r="I616" s="301">
        <v>20</v>
      </c>
      <c r="J616" s="138">
        <v>4</v>
      </c>
      <c r="K616" s="138">
        <f t="shared" si="44"/>
        <v>4</v>
      </c>
      <c r="L616" s="139">
        <f t="shared" si="46"/>
        <v>5</v>
      </c>
      <c r="M616" s="301">
        <v>94138.5</v>
      </c>
      <c r="N616" s="138">
        <v>14857</v>
      </c>
      <c r="O616" s="103">
        <f t="shared" si="45"/>
        <v>6.336306118328061</v>
      </c>
      <c r="P616" s="247">
        <v>1</v>
      </c>
    </row>
    <row r="617" spans="1:16" ht="15">
      <c r="A617" s="66">
        <v>614</v>
      </c>
      <c r="B617" s="49" t="s">
        <v>60</v>
      </c>
      <c r="C617" s="39">
        <v>39745</v>
      </c>
      <c r="D617" s="44" t="s">
        <v>134</v>
      </c>
      <c r="E617" s="44" t="s">
        <v>106</v>
      </c>
      <c r="F617" s="41">
        <v>7</v>
      </c>
      <c r="G617" s="41">
        <v>1</v>
      </c>
      <c r="H617" s="41">
        <v>15</v>
      </c>
      <c r="I617" s="301">
        <v>20</v>
      </c>
      <c r="J617" s="138">
        <v>2</v>
      </c>
      <c r="K617" s="138">
        <f>(J617/G617)</f>
        <v>2</v>
      </c>
      <c r="L617" s="139">
        <f t="shared" si="46"/>
        <v>10</v>
      </c>
      <c r="M617" s="301">
        <f>31758.5+8225.5+1958+2180+395+7254.5+494+2046+429+128+135+1066+1003+620+20</f>
        <v>57712.5</v>
      </c>
      <c r="N617" s="138">
        <f>2732+851+288+247+46+761+52+333+72+22+23+258+223+133+2</f>
        <v>6043</v>
      </c>
      <c r="O617" s="103">
        <f>M617/N617</f>
        <v>9.550306139334767</v>
      </c>
      <c r="P617" s="247"/>
    </row>
    <row r="618" spans="1:16" ht="15">
      <c r="A618" s="66">
        <v>615</v>
      </c>
      <c r="B618" s="49" t="s">
        <v>44</v>
      </c>
      <c r="C618" s="39">
        <v>39780</v>
      </c>
      <c r="D618" s="44" t="s">
        <v>131</v>
      </c>
      <c r="E618" s="44" t="s">
        <v>127</v>
      </c>
      <c r="F618" s="41">
        <v>121</v>
      </c>
      <c r="G618" s="41">
        <v>1</v>
      </c>
      <c r="H618" s="41">
        <v>29</v>
      </c>
      <c r="I618" s="301">
        <v>16</v>
      </c>
      <c r="J618" s="138">
        <v>4</v>
      </c>
      <c r="K618" s="138">
        <f>J618/G618</f>
        <v>4</v>
      </c>
      <c r="L618" s="139">
        <f t="shared" si="46"/>
        <v>4</v>
      </c>
      <c r="M618" s="301">
        <v>3471144</v>
      </c>
      <c r="N618" s="138">
        <v>409950</v>
      </c>
      <c r="O618" s="103">
        <f aca="true" t="shared" si="47" ref="O618:O635">+M618/N618</f>
        <v>8.467237467983901</v>
      </c>
      <c r="P618" s="255"/>
    </row>
    <row r="619" spans="1:16" ht="15">
      <c r="A619" s="66">
        <v>616</v>
      </c>
      <c r="B619" s="275" t="s">
        <v>322</v>
      </c>
      <c r="C619" s="39">
        <v>39766</v>
      </c>
      <c r="D619" s="44" t="s">
        <v>132</v>
      </c>
      <c r="E619" s="44" t="s">
        <v>107</v>
      </c>
      <c r="F619" s="41">
        <v>18</v>
      </c>
      <c r="G619" s="41">
        <v>1</v>
      </c>
      <c r="H619" s="41">
        <v>8</v>
      </c>
      <c r="I619" s="332">
        <v>16</v>
      </c>
      <c r="J619" s="138">
        <v>4</v>
      </c>
      <c r="K619" s="138">
        <f>J619/G619</f>
        <v>4</v>
      </c>
      <c r="L619" s="273">
        <f t="shared" si="46"/>
        <v>4</v>
      </c>
      <c r="M619" s="332">
        <f>155654+80570.5+22675+7882+15+246+8+16</f>
        <v>267066.5</v>
      </c>
      <c r="N619" s="138">
        <f>15277+7852+3194+1551+3+41+2+4</f>
        <v>27924</v>
      </c>
      <c r="O619" s="274">
        <f t="shared" si="47"/>
        <v>9.564048846870076</v>
      </c>
      <c r="P619" s="255">
        <v>1</v>
      </c>
    </row>
    <row r="620" spans="1:16" ht="15">
      <c r="A620" s="66">
        <v>617</v>
      </c>
      <c r="B620" s="240" t="s">
        <v>44</v>
      </c>
      <c r="C620" s="236">
        <v>39780</v>
      </c>
      <c r="D620" s="235" t="s">
        <v>131</v>
      </c>
      <c r="E620" s="235" t="s">
        <v>127</v>
      </c>
      <c r="F620" s="237">
        <v>121</v>
      </c>
      <c r="G620" s="237">
        <v>1</v>
      </c>
      <c r="H620" s="237">
        <v>16</v>
      </c>
      <c r="I620" s="331">
        <v>15</v>
      </c>
      <c r="J620" s="238">
        <v>3</v>
      </c>
      <c r="K620" s="238">
        <f>J620/G620</f>
        <v>3</v>
      </c>
      <c r="L620" s="239">
        <f>+I620/J620</f>
        <v>5</v>
      </c>
      <c r="M620" s="331">
        <v>3456698</v>
      </c>
      <c r="N620" s="238">
        <v>406078</v>
      </c>
      <c r="O620" s="241">
        <f t="shared" si="47"/>
        <v>8.512399095740227</v>
      </c>
      <c r="P620" s="247"/>
    </row>
    <row r="621" spans="1:16" ht="15">
      <c r="A621" s="66">
        <v>618</v>
      </c>
      <c r="B621" s="240" t="s">
        <v>49</v>
      </c>
      <c r="C621" s="236">
        <v>39710</v>
      </c>
      <c r="D621" s="235" t="s">
        <v>132</v>
      </c>
      <c r="E621" s="235" t="s">
        <v>177</v>
      </c>
      <c r="F621" s="237">
        <v>1</v>
      </c>
      <c r="G621" s="237">
        <v>1</v>
      </c>
      <c r="H621" s="237">
        <v>21</v>
      </c>
      <c r="I621" s="331">
        <v>15</v>
      </c>
      <c r="J621" s="238">
        <v>3</v>
      </c>
      <c r="K621" s="238">
        <f>(J621/G621)</f>
        <v>3</v>
      </c>
      <c r="L621" s="239">
        <f>I621/J621</f>
        <v>5</v>
      </c>
      <c r="M621" s="331">
        <f>152576+127511+68854.5+21974+10111.5+7103+7290+0.5+1014+3149+989+3524+0.5+3768+138+2528+257+351.5+573.5+184+3655+10+15</f>
        <v>415577</v>
      </c>
      <c r="N621" s="238">
        <f>50018+825+47+65+137+67+1215+2+3</f>
        <v>52379</v>
      </c>
      <c r="O621" s="241">
        <f t="shared" si="47"/>
        <v>7.934038450524065</v>
      </c>
      <c r="P621" s="247"/>
    </row>
    <row r="622" spans="1:16" ht="15">
      <c r="A622" s="66">
        <v>619</v>
      </c>
      <c r="B622" s="49">
        <v>120</v>
      </c>
      <c r="C622" s="39">
        <v>39493</v>
      </c>
      <c r="D622" s="44" t="s">
        <v>132</v>
      </c>
      <c r="E622" s="44" t="s">
        <v>94</v>
      </c>
      <c r="F622" s="41">
        <v>179</v>
      </c>
      <c r="G622" s="41">
        <v>1</v>
      </c>
      <c r="H622" s="41">
        <v>41</v>
      </c>
      <c r="I622" s="301">
        <v>12</v>
      </c>
      <c r="J622" s="138">
        <v>3</v>
      </c>
      <c r="K622" s="138">
        <f aca="true" t="shared" si="48" ref="K622:K635">J622/G622</f>
        <v>3</v>
      </c>
      <c r="L622" s="139">
        <f>I622/J622</f>
        <v>4</v>
      </c>
      <c r="M622" s="301">
        <f>940515+844172.5+750489+533469+396399.5+362067.5+228159+211115.5+153941.5+48+73076.5+60280+47290.5+46690+13789+13717.5+9809+2709.5+1288.5+22597.5+10821.5+12218+7313+44774.5+111294+3629+0.5+41599.5+20470.5+5217-3719.5+10067+1376+10253+13391+15635+48+500+2820+500+666+1758+12+12</f>
        <v>5022280.5</v>
      </c>
      <c r="N622" s="138">
        <f>135921+127724+124508+97493+101422+99063+62455+57586+44490+6+19837+19877+15923+15427+4822+4847+3310+822+280+7405+3528+4050+2428+14923+37098+1709+6180+3303+3114+328+3418+4411+5191+12+100+806+100+222+586+3+3</f>
        <v>1034731</v>
      </c>
      <c r="O622" s="103">
        <f t="shared" si="47"/>
        <v>4.853706422248874</v>
      </c>
      <c r="P622" s="247"/>
    </row>
    <row r="623" spans="1:16" ht="15">
      <c r="A623" s="66">
        <v>620</v>
      </c>
      <c r="B623" s="240">
        <v>120</v>
      </c>
      <c r="C623" s="236">
        <v>39493</v>
      </c>
      <c r="D623" s="235" t="s">
        <v>132</v>
      </c>
      <c r="E623" s="235" t="s">
        <v>94</v>
      </c>
      <c r="F623" s="237">
        <v>179</v>
      </c>
      <c r="G623" s="237">
        <v>1</v>
      </c>
      <c r="H623" s="237">
        <v>40</v>
      </c>
      <c r="I623" s="331">
        <v>12</v>
      </c>
      <c r="J623" s="238">
        <v>3</v>
      </c>
      <c r="K623" s="238">
        <f t="shared" si="48"/>
        <v>3</v>
      </c>
      <c r="L623" s="239">
        <f>I623/J623</f>
        <v>4</v>
      </c>
      <c r="M623" s="331">
        <f>940515+844172.5+750489+533469+396399.5+362067.5+228159+211115.5+153941.5+48+73076.5+60280+47290.5+46690+13789+13717.5+9809+2709.5+1288.5+22597.5+10821.5+12218+7313+44774.5+111294+3629+0.5+41599.5+20470.5+5217-3719.5+10067+1376+10253+13391+15635+48+500+2820+500+666+1758+12</f>
        <v>5022268.5</v>
      </c>
      <c r="N623" s="238">
        <f>135921+127724+124508+97493+101422+99063+62455+57586+44490+6+19837+19877+15923+15427+4822+4847+3310+822+280+7405+3528+4050+2428+14923+37098+1709+6180+3303+3114+328+3418+4411+5191+12+100+806+100+222+586+3</f>
        <v>1034728</v>
      </c>
      <c r="O623" s="241">
        <f t="shared" si="47"/>
        <v>4.85370889741072</v>
      </c>
      <c r="P623" s="247"/>
    </row>
    <row r="624" spans="1:16" ht="15">
      <c r="A624" s="66">
        <v>621</v>
      </c>
      <c r="B624" s="49" t="s">
        <v>514</v>
      </c>
      <c r="C624" s="39">
        <v>37232</v>
      </c>
      <c r="D624" s="44" t="s">
        <v>132</v>
      </c>
      <c r="E624" s="44" t="s">
        <v>496</v>
      </c>
      <c r="F624" s="41">
        <v>75</v>
      </c>
      <c r="G624" s="41">
        <v>1</v>
      </c>
      <c r="H624" s="41">
        <v>47</v>
      </c>
      <c r="I624" s="301">
        <v>12</v>
      </c>
      <c r="J624" s="138">
        <v>2</v>
      </c>
      <c r="K624" s="138">
        <f t="shared" si="48"/>
        <v>2</v>
      </c>
      <c r="L624" s="139">
        <f>+I624/J624</f>
        <v>6</v>
      </c>
      <c r="M624"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4" s="138">
        <f>175278+277245+127655+110704+59468+90890+60665+41640+27136+11691+4359+12183+1720+17572+4105+5207+3054+1964+2189+313+220+792+93+975+40+1007+1230+41+1240+676+89+618+1429+1350+324+467+5424+134+367+477+860+16+756+10+2+2</f>
        <v>1053677</v>
      </c>
      <c r="O624" s="103">
        <f t="shared" si="47"/>
        <v>2.8434466159933263</v>
      </c>
      <c r="P624" s="254"/>
    </row>
    <row r="625" spans="1:16" ht="15">
      <c r="A625" s="66">
        <v>622</v>
      </c>
      <c r="B625" s="49" t="s">
        <v>495</v>
      </c>
      <c r="C625" s="39">
        <v>37232</v>
      </c>
      <c r="D625" s="44" t="s">
        <v>132</v>
      </c>
      <c r="E625" s="44" t="s">
        <v>496</v>
      </c>
      <c r="F625" s="41">
        <v>75</v>
      </c>
      <c r="G625" s="41">
        <v>1</v>
      </c>
      <c r="H625" s="41">
        <v>46</v>
      </c>
      <c r="I625" s="301">
        <v>12</v>
      </c>
      <c r="J625" s="138">
        <v>2</v>
      </c>
      <c r="K625" s="138">
        <f t="shared" si="48"/>
        <v>2</v>
      </c>
      <c r="L625" s="139">
        <f>+I625/J625</f>
        <v>6</v>
      </c>
      <c r="M625"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5" s="138">
        <f>175278+277245+127655+110704+59468+90890+60665+41640+27136+11691+4359+12183+1720+17572+4105+5207+3054+1964+2189+313+220+792+93+975+40+1007+1230+41+1240+676+89+618+1429+1350+324+467+5424+134+367+477+860+16+756+10+2</f>
        <v>1053675</v>
      </c>
      <c r="O625" s="103">
        <f t="shared" si="47"/>
        <v>2.843440624480983</v>
      </c>
      <c r="P625" s="254"/>
    </row>
    <row r="626" spans="1:16" ht="15">
      <c r="A626" s="66">
        <v>623</v>
      </c>
      <c r="B626" s="49" t="s">
        <v>488</v>
      </c>
      <c r="C626" s="39">
        <v>38674</v>
      </c>
      <c r="D626" s="44" t="s">
        <v>132</v>
      </c>
      <c r="E626" s="44" t="s">
        <v>126</v>
      </c>
      <c r="F626" s="41">
        <v>135</v>
      </c>
      <c r="G626" s="41">
        <v>1</v>
      </c>
      <c r="H626" s="41">
        <v>77</v>
      </c>
      <c r="I626" s="301">
        <v>12</v>
      </c>
      <c r="J626" s="138">
        <v>2</v>
      </c>
      <c r="K626" s="138">
        <f t="shared" si="48"/>
        <v>2</v>
      </c>
      <c r="L626" s="139">
        <f>I626/J626</f>
        <v>6</v>
      </c>
      <c r="M626"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26"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26" s="103">
        <f t="shared" si="47"/>
        <v>6.633715740236026</v>
      </c>
      <c r="P626" s="266"/>
    </row>
    <row r="627" spans="1:16" ht="15">
      <c r="A627" s="66">
        <v>624</v>
      </c>
      <c r="B627" s="49" t="s">
        <v>498</v>
      </c>
      <c r="C627" s="39">
        <v>36868</v>
      </c>
      <c r="D627" s="44" t="s">
        <v>92</v>
      </c>
      <c r="E627" s="44" t="s">
        <v>92</v>
      </c>
      <c r="F627" s="41">
        <v>61</v>
      </c>
      <c r="G627" s="41">
        <v>1</v>
      </c>
      <c r="H627" s="41">
        <v>47</v>
      </c>
      <c r="I627" s="301">
        <v>12</v>
      </c>
      <c r="J627" s="138">
        <v>2</v>
      </c>
      <c r="K627" s="138">
        <f t="shared" si="48"/>
        <v>2</v>
      </c>
      <c r="L627" s="139">
        <f>I627/J627</f>
        <v>6</v>
      </c>
      <c r="M627" s="301">
        <v>310341.98</v>
      </c>
      <c r="N627" s="138">
        <v>142451</v>
      </c>
      <c r="O627" s="103">
        <f t="shared" si="47"/>
        <v>2.178587584502741</v>
      </c>
      <c r="P627" s="300"/>
    </row>
    <row r="628" spans="1:16" ht="15">
      <c r="A628" s="66">
        <v>625</v>
      </c>
      <c r="B628" s="49" t="s">
        <v>489</v>
      </c>
      <c r="C628" s="39">
        <v>38429</v>
      </c>
      <c r="D628" s="44" t="s">
        <v>132</v>
      </c>
      <c r="E628" s="44" t="s">
        <v>59</v>
      </c>
      <c r="F628" s="41">
        <v>95</v>
      </c>
      <c r="G628" s="41">
        <v>1</v>
      </c>
      <c r="H628" s="41">
        <v>37</v>
      </c>
      <c r="I628" s="301">
        <v>12</v>
      </c>
      <c r="J628" s="138">
        <v>2</v>
      </c>
      <c r="K628" s="138">
        <f t="shared" si="48"/>
        <v>2</v>
      </c>
      <c r="L628" s="139">
        <f>I628/J628</f>
        <v>6</v>
      </c>
      <c r="M628" s="301">
        <f>1563268+855702+435680+239868+184373+155484+80039+13183+3888+6069+566+3823+1707+429+435+1546+955+1426+3564+1452+123+4444+1500+920+1007+5342+810+1188+1188+2376+2376+2376+2376+4027.62+12</f>
        <v>3583522.62</v>
      </c>
      <c r="N628" s="138">
        <f>657685+2611+111+2188+817+74+81+646+169+713+1782+363+40+2222+528+264+504+2218+540+297+297+503+594+594+594+503+594+2</f>
        <v>677534</v>
      </c>
      <c r="O628" s="103">
        <f t="shared" si="47"/>
        <v>5.289066851257649</v>
      </c>
      <c r="P628" s="300">
        <v>1</v>
      </c>
    </row>
    <row r="629" spans="1:16" ht="15">
      <c r="A629" s="66">
        <v>626</v>
      </c>
      <c r="B629" s="49" t="s">
        <v>167</v>
      </c>
      <c r="C629" s="39">
        <v>39472</v>
      </c>
      <c r="D629" s="44" t="s">
        <v>132</v>
      </c>
      <c r="E629" s="44" t="s">
        <v>107</v>
      </c>
      <c r="F629" s="41">
        <v>59</v>
      </c>
      <c r="G629" s="41">
        <v>1</v>
      </c>
      <c r="H629" s="41">
        <v>35</v>
      </c>
      <c r="I629" s="301">
        <v>12</v>
      </c>
      <c r="J629" s="138">
        <v>2</v>
      </c>
      <c r="K629" s="138">
        <f t="shared" si="48"/>
        <v>2</v>
      </c>
      <c r="L629" s="139">
        <f>I629/J629</f>
        <v>6</v>
      </c>
      <c r="M629" s="301">
        <f>395290.5+262822+75939+23709.5+4083+1327+9321+1445+1267+2173+4575+201+1748+3343+728+28+948+1329+163+182+173+15521.5+171+40+110+75+183.5+127+124.5+1976+312+180+12</f>
        <v>809627.5</v>
      </c>
      <c r="N629" s="138">
        <f>47426+32442+9866+4010+887+225+2185+263+226+460+1077+33+367+887+230+4+139+355+32+35+32+3859+49+8+22+15+68+46+45+659+52+30+2</f>
        <v>106036</v>
      </c>
      <c r="O629" s="103">
        <f t="shared" si="47"/>
        <v>7.6354021275793125</v>
      </c>
      <c r="P629" s="255"/>
    </row>
    <row r="630" spans="1:16" ht="15">
      <c r="A630" s="66">
        <v>627</v>
      </c>
      <c r="B630" s="240" t="s">
        <v>49</v>
      </c>
      <c r="C630" s="236">
        <v>39710</v>
      </c>
      <c r="D630" s="235" t="s">
        <v>132</v>
      </c>
      <c r="E630" s="235" t="s">
        <v>177</v>
      </c>
      <c r="F630" s="237">
        <v>1</v>
      </c>
      <c r="G630" s="237">
        <v>1</v>
      </c>
      <c r="H630" s="237">
        <v>23</v>
      </c>
      <c r="I630" s="331">
        <v>10</v>
      </c>
      <c r="J630" s="238">
        <v>2</v>
      </c>
      <c r="K630" s="238">
        <f t="shared" si="48"/>
        <v>2</v>
      </c>
      <c r="L630" s="239">
        <f>IF(I630&lt;&gt;0,I630/J630,"")</f>
        <v>5</v>
      </c>
      <c r="M630" s="331">
        <v>415587</v>
      </c>
      <c r="N630" s="238">
        <v>52381</v>
      </c>
      <c r="O630" s="241">
        <f t="shared" si="47"/>
        <v>7.933926423703251</v>
      </c>
      <c r="P630" s="255"/>
    </row>
    <row r="631" spans="1:16" ht="15">
      <c r="A631" s="66">
        <v>628</v>
      </c>
      <c r="B631" s="240" t="s">
        <v>49</v>
      </c>
      <c r="C631" s="236">
        <v>39710</v>
      </c>
      <c r="D631" s="235" t="s">
        <v>132</v>
      </c>
      <c r="E631" s="235" t="s">
        <v>177</v>
      </c>
      <c r="F631" s="237">
        <v>1</v>
      </c>
      <c r="G631" s="237">
        <v>1</v>
      </c>
      <c r="H631" s="237">
        <v>20</v>
      </c>
      <c r="I631" s="331">
        <v>10</v>
      </c>
      <c r="J631" s="238">
        <v>2</v>
      </c>
      <c r="K631" s="238">
        <f t="shared" si="48"/>
        <v>2</v>
      </c>
      <c r="L631" s="239">
        <f>I631/J631</f>
        <v>5</v>
      </c>
      <c r="M631" s="331">
        <f>152576+127511+68854.5+21974+10111.5+7103+7290+0.5+1014+3149+989+3524+0.5+3768+138+2528+257+351.5+573.5+184+3655+10</f>
        <v>415562</v>
      </c>
      <c r="N631" s="238">
        <f>50018+825+47+65+137+67+1215+2</f>
        <v>52376</v>
      </c>
      <c r="O631" s="241">
        <f t="shared" si="47"/>
        <v>7.934206506797007</v>
      </c>
      <c r="P631" s="255"/>
    </row>
    <row r="632" spans="1:16" ht="15">
      <c r="A632" s="66">
        <v>629</v>
      </c>
      <c r="B632" s="275" t="s">
        <v>340</v>
      </c>
      <c r="C632" s="39">
        <v>39388</v>
      </c>
      <c r="D632" s="44" t="s">
        <v>132</v>
      </c>
      <c r="E632" s="44" t="s">
        <v>341</v>
      </c>
      <c r="F632" s="41">
        <v>22</v>
      </c>
      <c r="G632" s="41">
        <v>1</v>
      </c>
      <c r="H632" s="41">
        <v>10</v>
      </c>
      <c r="I632" s="332">
        <v>8</v>
      </c>
      <c r="J632" s="138">
        <v>2</v>
      </c>
      <c r="K632" s="138">
        <f t="shared" si="48"/>
        <v>2</v>
      </c>
      <c r="L632" s="273">
        <f>I632/J632</f>
        <v>4</v>
      </c>
      <c r="M632" s="332">
        <f>31108.5+12339+4008+1827+3573.5+1219.5+765.5+108+20+8</f>
        <v>54977</v>
      </c>
      <c r="N632" s="138">
        <f>3175+1380+493+264+592+165+99+18+5+2</f>
        <v>6193</v>
      </c>
      <c r="O632" s="274">
        <f t="shared" si="47"/>
        <v>8.877280800904247</v>
      </c>
      <c r="P632" s="255"/>
    </row>
    <row r="633" spans="1:16" ht="15">
      <c r="A633" s="66">
        <v>630</v>
      </c>
      <c r="B633" s="275" t="s">
        <v>336</v>
      </c>
      <c r="C633" s="39">
        <v>39577</v>
      </c>
      <c r="D633" s="44" t="s">
        <v>92</v>
      </c>
      <c r="E633" s="44" t="s">
        <v>337</v>
      </c>
      <c r="F633" s="41">
        <v>26</v>
      </c>
      <c r="G633" s="41">
        <v>2</v>
      </c>
      <c r="H633" s="41">
        <v>14</v>
      </c>
      <c r="I633" s="332">
        <v>8</v>
      </c>
      <c r="J633" s="138">
        <v>2</v>
      </c>
      <c r="K633" s="138">
        <f t="shared" si="48"/>
        <v>1</v>
      </c>
      <c r="L633" s="273">
        <f>I633/J633</f>
        <v>4</v>
      </c>
      <c r="M633" s="332">
        <v>115586.42</v>
      </c>
      <c r="N633" s="138">
        <v>13499</v>
      </c>
      <c r="O633" s="274">
        <f t="shared" si="47"/>
        <v>8.562591303059486</v>
      </c>
      <c r="P633" s="247"/>
    </row>
    <row r="634" spans="1:16" ht="15">
      <c r="A634" s="66">
        <v>631</v>
      </c>
      <c r="B634" s="275" t="s">
        <v>322</v>
      </c>
      <c r="C634" s="39">
        <v>39766</v>
      </c>
      <c r="D634" s="44" t="s">
        <v>132</v>
      </c>
      <c r="E634" s="44" t="s">
        <v>107</v>
      </c>
      <c r="F634" s="41">
        <v>1</v>
      </c>
      <c r="G634" s="41">
        <v>1</v>
      </c>
      <c r="H634" s="41">
        <v>7</v>
      </c>
      <c r="I634" s="332">
        <v>8</v>
      </c>
      <c r="J634" s="138">
        <v>2</v>
      </c>
      <c r="K634" s="138">
        <f t="shared" si="48"/>
        <v>2</v>
      </c>
      <c r="L634" s="273">
        <f>I634/J634</f>
        <v>4</v>
      </c>
      <c r="M634" s="332">
        <f>155654+80570.5+22675+7882+15+246+8</f>
        <v>267050.5</v>
      </c>
      <c r="N634" s="138">
        <f>15277+7852+3194+1551+3+41+2</f>
        <v>27920</v>
      </c>
      <c r="O634" s="274">
        <f t="shared" si="47"/>
        <v>9.564845988538682</v>
      </c>
      <c r="P634" s="247"/>
    </row>
    <row r="635" spans="1:16" ht="15.75" thickBot="1">
      <c r="A635" s="66">
        <v>632</v>
      </c>
      <c r="B635" s="287" t="s">
        <v>488</v>
      </c>
      <c r="C635" s="259">
        <v>38674</v>
      </c>
      <c r="D635" s="260" t="s">
        <v>132</v>
      </c>
      <c r="E635" s="260" t="s">
        <v>126</v>
      </c>
      <c r="F635" s="261">
        <v>135</v>
      </c>
      <c r="G635" s="261">
        <v>1</v>
      </c>
      <c r="H635" s="261">
        <v>79</v>
      </c>
      <c r="I635" s="302">
        <v>6</v>
      </c>
      <c r="J635" s="272">
        <v>1</v>
      </c>
      <c r="K635" s="272">
        <f t="shared" si="48"/>
        <v>1</v>
      </c>
      <c r="L635" s="285">
        <f>+I635/J635</f>
        <v>6</v>
      </c>
      <c r="M635" s="30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5" s="27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5" s="286">
        <f t="shared" si="47"/>
        <v>6.633715575114939</v>
      </c>
      <c r="P635" s="255"/>
    </row>
    <row r="636" spans="1:15" ht="12.75">
      <c r="A636" s="88"/>
      <c r="B636" s="89"/>
      <c r="C636" s="90"/>
      <c r="D636" s="90"/>
      <c r="E636" s="90"/>
      <c r="F636" s="95"/>
      <c r="G636" s="96"/>
      <c r="H636" s="97"/>
      <c r="I636" s="307">
        <f>SUM(I4:I635)</f>
        <v>15013864.75</v>
      </c>
      <c r="J636" s="308">
        <f>SUM(J4:J635)</f>
        <v>2010552</v>
      </c>
      <c r="K636" s="128"/>
      <c r="L636" s="130"/>
      <c r="M636" s="127"/>
      <c r="N636" s="128"/>
      <c r="O636" s="130"/>
    </row>
    <row r="637" spans="1:7" ht="12.75">
      <c r="A637" s="32"/>
      <c r="B637" s="30"/>
      <c r="C637" s="24"/>
      <c r="D637" s="24"/>
      <c r="E637" s="24"/>
      <c r="F637" s="98"/>
      <c r="G637" s="99"/>
    </row>
    <row r="638" spans="1:15" ht="13.5">
      <c r="A638" s="32"/>
      <c r="B638" s="30"/>
      <c r="C638" s="85"/>
      <c r="D638" s="86"/>
      <c r="E638" s="86"/>
      <c r="F638" s="24"/>
      <c r="G638" s="24"/>
      <c r="K638" s="400" t="s">
        <v>74</v>
      </c>
      <c r="L638" s="386"/>
      <c r="M638" s="386"/>
      <c r="N638" s="386"/>
      <c r="O638" s="386"/>
    </row>
    <row r="639" spans="1:15" ht="12.75">
      <c r="A639" s="32"/>
      <c r="B639" s="30"/>
      <c r="C639" s="86"/>
      <c r="D639" s="86"/>
      <c r="E639" s="86"/>
      <c r="F639" s="24"/>
      <c r="G639" s="24"/>
      <c r="K639" s="386"/>
      <c r="L639" s="386"/>
      <c r="M639" s="386"/>
      <c r="N639" s="386"/>
      <c r="O639" s="386"/>
    </row>
    <row r="640" spans="1:15" ht="12.75">
      <c r="A640" s="32"/>
      <c r="B640" s="30"/>
      <c r="C640" s="86"/>
      <c r="D640" s="86"/>
      <c r="E640" s="86"/>
      <c r="F640" s="24"/>
      <c r="G640" s="24"/>
      <c r="K640" s="386"/>
      <c r="L640" s="386"/>
      <c r="M640" s="386"/>
      <c r="N640" s="386"/>
      <c r="O640" s="386"/>
    </row>
    <row r="641" spans="1:15" ht="12.75">
      <c r="A641" s="32"/>
      <c r="B641" s="30"/>
      <c r="C641" s="86"/>
      <c r="D641" s="86"/>
      <c r="E641" s="86"/>
      <c r="F641" s="24"/>
      <c r="G641" s="24"/>
      <c r="K641" s="386"/>
      <c r="L641" s="386"/>
      <c r="M641" s="386"/>
      <c r="N641" s="386"/>
      <c r="O641" s="386"/>
    </row>
    <row r="642" spans="1:15" ht="12.75">
      <c r="A642" s="32"/>
      <c r="B642" s="30"/>
      <c r="C642" s="86"/>
      <c r="D642" s="86"/>
      <c r="E642" s="86"/>
      <c r="F642" s="24"/>
      <c r="G642" s="24"/>
      <c r="K642" s="386"/>
      <c r="L642" s="386"/>
      <c r="M642" s="386"/>
      <c r="N642" s="386"/>
      <c r="O642" s="386"/>
    </row>
    <row r="643" spans="1:15" ht="12.75">
      <c r="A643" s="32"/>
      <c r="B643" s="30"/>
      <c r="C643" s="86"/>
      <c r="D643" s="86"/>
      <c r="E643" s="86"/>
      <c r="F643" s="24"/>
      <c r="G643" s="24"/>
      <c r="K643" s="386"/>
      <c r="L643" s="386"/>
      <c r="M643" s="386"/>
      <c r="N643" s="386"/>
      <c r="O643" s="386"/>
    </row>
    <row r="644" spans="1:15" ht="12.75">
      <c r="A644" s="32"/>
      <c r="B644" s="30"/>
      <c r="C644" s="24"/>
      <c r="D644" s="86"/>
      <c r="E644" s="86"/>
      <c r="F644" s="98"/>
      <c r="G644" s="99"/>
      <c r="K644" s="314"/>
      <c r="L644" s="315"/>
      <c r="M644" s="316"/>
      <c r="N644" s="317"/>
      <c r="O644" s="129"/>
    </row>
    <row r="645" spans="1:15" ht="13.5">
      <c r="A645" s="32"/>
      <c r="B645" s="30"/>
      <c r="C645" s="87"/>
      <c r="D645" s="86"/>
      <c r="E645" s="86"/>
      <c r="F645" s="24"/>
      <c r="G645" s="24"/>
      <c r="K645" s="384" t="s">
        <v>0</v>
      </c>
      <c r="L645" s="385"/>
      <c r="M645" s="385"/>
      <c r="N645" s="386"/>
      <c r="O645" s="385"/>
    </row>
    <row r="646" spans="1:15" ht="12.75">
      <c r="A646" s="32"/>
      <c r="B646" s="30"/>
      <c r="C646" s="86"/>
      <c r="D646" s="86"/>
      <c r="E646" s="86"/>
      <c r="F646" s="24"/>
      <c r="G646" s="24"/>
      <c r="K646" s="385"/>
      <c r="L646" s="385"/>
      <c r="M646" s="385"/>
      <c r="N646" s="386"/>
      <c r="O646" s="385"/>
    </row>
    <row r="647" spans="1:15" ht="12.75">
      <c r="A647" s="32"/>
      <c r="B647" s="30"/>
      <c r="C647" s="86"/>
      <c r="D647" s="86"/>
      <c r="E647" s="86"/>
      <c r="F647" s="24"/>
      <c r="G647" s="24"/>
      <c r="K647" s="385"/>
      <c r="L647" s="385"/>
      <c r="M647" s="385"/>
      <c r="N647" s="386"/>
      <c r="O647" s="385"/>
    </row>
    <row r="648" spans="1:15" ht="12.75">
      <c r="A648" s="32"/>
      <c r="B648" s="30"/>
      <c r="C648" s="86"/>
      <c r="D648" s="86"/>
      <c r="E648" s="86"/>
      <c r="F648" s="24"/>
      <c r="G648" s="24"/>
      <c r="K648" s="385"/>
      <c r="L648" s="385"/>
      <c r="M648" s="385"/>
      <c r="N648" s="386"/>
      <c r="O648" s="385"/>
    </row>
    <row r="649" spans="1:15" ht="12.75">
      <c r="A649" s="32"/>
      <c r="B649" s="30"/>
      <c r="C649" s="86"/>
      <c r="D649" s="86"/>
      <c r="E649" s="86"/>
      <c r="F649" s="24"/>
      <c r="G649" s="24"/>
      <c r="K649" s="385"/>
      <c r="L649" s="385"/>
      <c r="M649" s="385"/>
      <c r="N649" s="386"/>
      <c r="O649" s="385"/>
    </row>
    <row r="650" spans="1:15" ht="12.75">
      <c r="A650" s="32"/>
      <c r="B650" s="30"/>
      <c r="C650" s="86"/>
      <c r="D650" s="86"/>
      <c r="E650" s="86"/>
      <c r="F650" s="24"/>
      <c r="G650" s="24"/>
      <c r="K650" s="385"/>
      <c r="L650" s="385"/>
      <c r="M650" s="385"/>
      <c r="N650" s="386"/>
      <c r="O650" s="385"/>
    </row>
    <row r="651" spans="1:15" ht="12.75">
      <c r="A651" s="32"/>
      <c r="B651" s="30"/>
      <c r="C651" s="30"/>
      <c r="D651" s="30"/>
      <c r="E651" s="30"/>
      <c r="F651" s="24"/>
      <c r="G651" s="24"/>
      <c r="K651" s="387"/>
      <c r="L651" s="387"/>
      <c r="M651" s="387"/>
      <c r="N651" s="388"/>
      <c r="O651" s="387"/>
    </row>
    <row r="652" spans="1:7" ht="12.75">
      <c r="A652" s="32"/>
      <c r="B652" s="30"/>
      <c r="C652" s="24"/>
      <c r="D652" s="24"/>
      <c r="E652" s="24"/>
      <c r="F652" s="98"/>
      <c r="G652" s="99"/>
    </row>
    <row r="653" spans="1:7" ht="12.75">
      <c r="A653" s="32"/>
      <c r="B653" s="30"/>
      <c r="C653" s="24"/>
      <c r="D653" s="24"/>
      <c r="E653" s="24"/>
      <c r="F653" s="98"/>
      <c r="G653" s="99"/>
    </row>
  </sheetData>
  <sheetProtection/>
  <mergeCells count="12">
    <mergeCell ref="A1:O1"/>
    <mergeCell ref="K638:O643"/>
    <mergeCell ref="B2:B3"/>
    <mergeCell ref="C2:C3"/>
    <mergeCell ref="D2:D3"/>
    <mergeCell ref="K645:O651"/>
    <mergeCell ref="G2:G3"/>
    <mergeCell ref="H2:H3"/>
    <mergeCell ref="I2:L2"/>
    <mergeCell ref="M2:O2"/>
    <mergeCell ref="E2:E3"/>
    <mergeCell ref="F2:F3"/>
  </mergeCells>
  <printOptions/>
  <pageMargins left="0.75" right="0.75" top="1" bottom="1" header="0.5" footer="0.5"/>
  <pageSetup orientation="portrait" paperSize="9" r:id="rId1"/>
  <ignoredErrors>
    <ignoredError sqref="Q290:Q325 P96:P105 P55:R55 P53:R53 Q86:Q87 P86:P87 P54:R54 Q88:Q95 P80:P85 Q80:Q85 P88:P95 O18:O44" formula="1" unlockedFormula="1"/>
    <ignoredError sqref="Q225 Q156 Q285:Q289 Q136 Q132:Q133 Q108:Q110 Q111:Q124 P45:R46 P44:R44 P52:R52 P106:P110 P77:Q79 P47:R51 M44:N46 O9:O17 O45:O46 M9:N43 P10:R43 I44:J46" unlockedFormula="1"/>
    <ignoredError sqref="P591:P633 R80:R105 Q96:Q105 P56:R76 K7:L46" formula="1"/>
  </ignoredErrors>
</worksheet>
</file>

<file path=xl/worksheets/sheet4.xml><?xml version="1.0" encoding="utf-8"?>
<worksheet xmlns="http://schemas.openxmlformats.org/spreadsheetml/2006/main" xmlns:r="http://schemas.openxmlformats.org/officeDocument/2006/relationships">
  <dimension ref="A1:O63"/>
  <sheetViews>
    <sheetView zoomScale="160" zoomScaleNormal="160" zoomScalePageLayoutView="0" workbookViewId="0" topLeftCell="A1">
      <selection activeCell="A41" sqref="A41"/>
    </sheetView>
  </sheetViews>
  <sheetFormatPr defaultColWidth="9.140625" defaultRowHeight="12.75"/>
  <cols>
    <col min="1" max="1" width="3.421875" style="160" bestFit="1" customWidth="1"/>
    <col min="2" max="2" width="6.28125" style="161" bestFit="1" customWidth="1"/>
    <col min="3" max="3" width="11.7109375" style="160" bestFit="1" customWidth="1"/>
    <col min="4" max="4" width="6.28125" style="185" bestFit="1" customWidth="1"/>
    <col min="5" max="5" width="15.8515625" style="186" bestFit="1" customWidth="1"/>
    <col min="6" max="6" width="11.7109375" style="185" bestFit="1" customWidth="1"/>
    <col min="7" max="7" width="3.421875" style="160" bestFit="1" customWidth="1"/>
    <col min="8" max="8" width="16.00390625" style="168" bestFit="1" customWidth="1"/>
    <col min="9" max="9" width="11.7109375" style="169" customWidth="1"/>
    <col min="10" max="10" width="7.7109375" style="177" bestFit="1" customWidth="1"/>
    <col min="11" max="11" width="1.8515625" style="119" bestFit="1" customWidth="1"/>
    <col min="12" max="12" width="10.421875" style="119" bestFit="1" customWidth="1"/>
    <col min="13" max="16384" width="9.140625" style="119" customWidth="1"/>
  </cols>
  <sheetData>
    <row r="1" spans="1:10" ht="15.75" thickBot="1">
      <c r="A1" s="150">
        <v>1</v>
      </c>
      <c r="B1" s="151" t="s">
        <v>108</v>
      </c>
      <c r="C1" s="152" t="s">
        <v>75</v>
      </c>
      <c r="D1" s="178">
        <v>45</v>
      </c>
      <c r="E1" s="179">
        <v>6658013.5</v>
      </c>
      <c r="F1" s="180">
        <v>793660</v>
      </c>
      <c r="G1" s="153">
        <v>17</v>
      </c>
      <c r="H1" s="162">
        <v>4239918.5</v>
      </c>
      <c r="I1" s="163">
        <v>539295</v>
      </c>
      <c r="J1" s="164">
        <f aca="true" t="shared" si="0" ref="J1:J40">SUM(I1/F1)</f>
        <v>0.679503817755714</v>
      </c>
    </row>
    <row r="2" spans="1:10" ht="15.75" thickBot="1">
      <c r="A2" s="150">
        <v>2</v>
      </c>
      <c r="B2" s="151" t="s">
        <v>85</v>
      </c>
      <c r="C2" s="152" t="s">
        <v>75</v>
      </c>
      <c r="D2" s="181">
        <v>43</v>
      </c>
      <c r="E2" s="179">
        <v>6639071.5</v>
      </c>
      <c r="F2" s="180">
        <v>832213</v>
      </c>
      <c r="G2" s="153">
        <v>17</v>
      </c>
      <c r="H2" s="162">
        <v>4079062</v>
      </c>
      <c r="I2" s="163">
        <v>562422</v>
      </c>
      <c r="J2" s="164">
        <f t="shared" si="0"/>
        <v>0.6758149656398061</v>
      </c>
    </row>
    <row r="3" spans="1:10" ht="15.75" thickBot="1">
      <c r="A3" s="150">
        <v>3</v>
      </c>
      <c r="B3" s="151" t="s">
        <v>99</v>
      </c>
      <c r="C3" s="152" t="s">
        <v>75</v>
      </c>
      <c r="D3" s="181">
        <v>53</v>
      </c>
      <c r="E3" s="179">
        <v>8733845</v>
      </c>
      <c r="F3" s="180">
        <v>1080261</v>
      </c>
      <c r="G3" s="153">
        <v>23</v>
      </c>
      <c r="H3" s="162">
        <v>5039182</v>
      </c>
      <c r="I3" s="163">
        <v>673682</v>
      </c>
      <c r="J3" s="164">
        <f t="shared" si="0"/>
        <v>0.6236289193074637</v>
      </c>
    </row>
    <row r="4" spans="1:10" ht="15.75" thickBot="1">
      <c r="A4" s="150">
        <v>4</v>
      </c>
      <c r="B4" s="151" t="s">
        <v>150</v>
      </c>
      <c r="C4" s="152" t="s">
        <v>75</v>
      </c>
      <c r="D4" s="181">
        <v>53</v>
      </c>
      <c r="E4" s="179">
        <v>8888659</v>
      </c>
      <c r="F4" s="180">
        <v>1070929</v>
      </c>
      <c r="G4" s="153">
        <v>23</v>
      </c>
      <c r="H4" s="162">
        <v>4693311.5</v>
      </c>
      <c r="I4" s="163">
        <v>608301</v>
      </c>
      <c r="J4" s="164">
        <f t="shared" si="0"/>
        <v>0.568012445269481</v>
      </c>
    </row>
    <row r="5" spans="1:10" ht="15.75" thickBot="1">
      <c r="A5" s="150">
        <v>5</v>
      </c>
      <c r="B5" s="151" t="s">
        <v>168</v>
      </c>
      <c r="C5" s="152" t="s">
        <v>169</v>
      </c>
      <c r="D5" s="181">
        <v>49</v>
      </c>
      <c r="E5" s="179">
        <v>8052708</v>
      </c>
      <c r="F5" s="180">
        <v>964107</v>
      </c>
      <c r="G5" s="153">
        <v>17</v>
      </c>
      <c r="H5" s="162">
        <v>3630761.5</v>
      </c>
      <c r="I5" s="163">
        <v>475853</v>
      </c>
      <c r="J5" s="164">
        <f t="shared" si="0"/>
        <v>0.4935686599101552</v>
      </c>
    </row>
    <row r="6" spans="1:10" ht="15.75" thickBot="1">
      <c r="A6" s="150">
        <v>6</v>
      </c>
      <c r="B6" s="151" t="s">
        <v>180</v>
      </c>
      <c r="C6" s="152" t="s">
        <v>169</v>
      </c>
      <c r="D6" s="181">
        <v>54</v>
      </c>
      <c r="E6" s="179">
        <v>6370282.5</v>
      </c>
      <c r="F6" s="180">
        <v>748726</v>
      </c>
      <c r="G6" s="153">
        <v>16</v>
      </c>
      <c r="H6" s="162">
        <v>2051397.5</v>
      </c>
      <c r="I6" s="163">
        <v>278469</v>
      </c>
      <c r="J6" s="164">
        <f t="shared" si="0"/>
        <v>0.3719237745183151</v>
      </c>
    </row>
    <row r="7" spans="1:10" ht="15.75" thickBot="1">
      <c r="A7" s="150">
        <v>7</v>
      </c>
      <c r="B7" s="151" t="s">
        <v>193</v>
      </c>
      <c r="C7" s="152" t="s">
        <v>169</v>
      </c>
      <c r="D7" s="181">
        <v>56</v>
      </c>
      <c r="E7" s="179">
        <v>20271309</v>
      </c>
      <c r="F7" s="180">
        <v>2575383</v>
      </c>
      <c r="G7" s="153">
        <v>20</v>
      </c>
      <c r="H7" s="162">
        <v>17871756.5</v>
      </c>
      <c r="I7" s="163">
        <v>2319917</v>
      </c>
      <c r="J7" s="164">
        <f t="shared" si="0"/>
        <v>0.9008046570160633</v>
      </c>
    </row>
    <row r="8" spans="1:10" ht="15.75" thickBot="1">
      <c r="A8" s="150">
        <v>8</v>
      </c>
      <c r="B8" s="151" t="s">
        <v>203</v>
      </c>
      <c r="C8" s="152" t="s">
        <v>169</v>
      </c>
      <c r="D8" s="181">
        <v>58</v>
      </c>
      <c r="E8" s="179">
        <v>12304820.5</v>
      </c>
      <c r="F8" s="180">
        <v>1540913</v>
      </c>
      <c r="G8" s="153">
        <v>18</v>
      </c>
      <c r="H8" s="162">
        <v>9751608</v>
      </c>
      <c r="I8" s="163">
        <v>1260008</v>
      </c>
      <c r="J8" s="164">
        <f t="shared" si="0"/>
        <v>0.8177022323778176</v>
      </c>
    </row>
    <row r="9" spans="1:10" ht="15.75" thickBot="1">
      <c r="A9" s="150">
        <v>9</v>
      </c>
      <c r="B9" s="151" t="s">
        <v>216</v>
      </c>
      <c r="C9" s="152" t="s">
        <v>215</v>
      </c>
      <c r="D9" s="181">
        <v>47</v>
      </c>
      <c r="E9" s="179">
        <v>7856404.5</v>
      </c>
      <c r="F9" s="180">
        <v>962930</v>
      </c>
      <c r="G9" s="153">
        <v>21</v>
      </c>
      <c r="H9" s="162">
        <v>4911121</v>
      </c>
      <c r="I9" s="163">
        <v>644142</v>
      </c>
      <c r="J9" s="164">
        <f t="shared" si="0"/>
        <v>0.6689395906244483</v>
      </c>
    </row>
    <row r="10" spans="1:10" ht="15.75" thickBot="1">
      <c r="A10" s="150">
        <v>10</v>
      </c>
      <c r="B10" s="151" t="s">
        <v>180</v>
      </c>
      <c r="C10" s="152" t="s">
        <v>215</v>
      </c>
      <c r="D10" s="181">
        <v>74</v>
      </c>
      <c r="E10" s="179">
        <v>5262665.5</v>
      </c>
      <c r="F10" s="180">
        <v>640692</v>
      </c>
      <c r="G10" s="153">
        <v>26</v>
      </c>
      <c r="H10" s="162">
        <v>2385212</v>
      </c>
      <c r="I10" s="163">
        <v>321514</v>
      </c>
      <c r="J10" s="164">
        <f t="shared" si="0"/>
        <v>0.5018230288500559</v>
      </c>
    </row>
    <row r="11" spans="1:10" ht="15.75" thickBot="1">
      <c r="A11" s="150">
        <v>11</v>
      </c>
      <c r="B11" s="151" t="s">
        <v>193</v>
      </c>
      <c r="C11" s="152" t="s">
        <v>215</v>
      </c>
      <c r="D11" s="181">
        <v>38</v>
      </c>
      <c r="E11" s="179">
        <v>10766623.5</v>
      </c>
      <c r="F11" s="180">
        <v>1381371</v>
      </c>
      <c r="G11" s="153">
        <v>16</v>
      </c>
      <c r="H11" s="162">
        <v>9267313</v>
      </c>
      <c r="I11" s="163">
        <v>1221193</v>
      </c>
      <c r="J11" s="164">
        <f t="shared" si="0"/>
        <v>0.8840441850885823</v>
      </c>
    </row>
    <row r="12" spans="1:10" ht="15.75" thickBot="1">
      <c r="A12" s="150">
        <v>12</v>
      </c>
      <c r="B12" s="151" t="s">
        <v>203</v>
      </c>
      <c r="C12" s="152" t="s">
        <v>215</v>
      </c>
      <c r="D12" s="181">
        <v>58</v>
      </c>
      <c r="E12" s="179">
        <v>7142984.5</v>
      </c>
      <c r="F12" s="180">
        <v>896116</v>
      </c>
      <c r="G12" s="153">
        <v>19</v>
      </c>
      <c r="H12" s="162">
        <v>5085887</v>
      </c>
      <c r="I12" s="163">
        <v>666905</v>
      </c>
      <c r="J12" s="164">
        <f t="shared" si="0"/>
        <v>0.7442172665146031</v>
      </c>
    </row>
    <row r="13" spans="1:10" ht="15.75" thickBot="1">
      <c r="A13" s="150">
        <v>13</v>
      </c>
      <c r="B13" s="151" t="s">
        <v>257</v>
      </c>
      <c r="C13" s="152" t="s">
        <v>258</v>
      </c>
      <c r="D13" s="181">
        <v>76</v>
      </c>
      <c r="E13" s="179">
        <v>4765810.1</v>
      </c>
      <c r="F13" s="180">
        <v>629304</v>
      </c>
      <c r="G13" s="153">
        <v>21</v>
      </c>
      <c r="H13" s="162">
        <v>2709803.1</v>
      </c>
      <c r="I13" s="163">
        <v>378126</v>
      </c>
      <c r="J13" s="164">
        <f t="shared" si="0"/>
        <v>0.6008638114488387</v>
      </c>
    </row>
    <row r="14" spans="1:10" ht="15.75" thickBot="1">
      <c r="A14" s="150">
        <v>14</v>
      </c>
      <c r="B14" s="151" t="s">
        <v>270</v>
      </c>
      <c r="C14" s="152" t="s">
        <v>258</v>
      </c>
      <c r="D14" s="181">
        <v>89</v>
      </c>
      <c r="E14" s="179">
        <v>4918601.5</v>
      </c>
      <c r="F14" s="180">
        <v>613059</v>
      </c>
      <c r="G14" s="153">
        <v>25</v>
      </c>
      <c r="H14" s="162">
        <v>1775887.5</v>
      </c>
      <c r="I14" s="163">
        <v>243795</v>
      </c>
      <c r="J14" s="164">
        <f t="shared" si="0"/>
        <v>0.39766971857521055</v>
      </c>
    </row>
    <row r="15" spans="1:10" ht="15.75" thickBot="1">
      <c r="A15" s="153">
        <v>15</v>
      </c>
      <c r="B15" s="151" t="s">
        <v>289</v>
      </c>
      <c r="C15" s="152" t="s">
        <v>258</v>
      </c>
      <c r="D15" s="181">
        <v>87</v>
      </c>
      <c r="E15" s="179">
        <v>4085852</v>
      </c>
      <c r="F15" s="180">
        <v>488753</v>
      </c>
      <c r="G15" s="153">
        <v>25</v>
      </c>
      <c r="H15" s="162">
        <v>999112</v>
      </c>
      <c r="I15" s="163">
        <v>136434</v>
      </c>
      <c r="J15" s="164">
        <f t="shared" si="0"/>
        <v>0.27914713566975546</v>
      </c>
    </row>
    <row r="16" spans="1:10" ht="15.75" thickBot="1">
      <c r="A16" s="153">
        <v>16</v>
      </c>
      <c r="B16" s="151" t="s">
        <v>301</v>
      </c>
      <c r="C16" s="152" t="s">
        <v>258</v>
      </c>
      <c r="D16" s="181">
        <v>43</v>
      </c>
      <c r="E16" s="179">
        <v>4527951.5</v>
      </c>
      <c r="F16" s="180">
        <v>543672</v>
      </c>
      <c r="G16" s="153">
        <v>11</v>
      </c>
      <c r="H16" s="162">
        <v>1857186</v>
      </c>
      <c r="I16" s="163">
        <v>244264</v>
      </c>
      <c r="J16" s="164">
        <f t="shared" si="0"/>
        <v>0.4492855986697862</v>
      </c>
    </row>
    <row r="17" spans="1:10" ht="15.75" thickBot="1">
      <c r="A17" s="153">
        <v>17</v>
      </c>
      <c r="B17" s="151" t="s">
        <v>310</v>
      </c>
      <c r="C17" s="152" t="s">
        <v>258</v>
      </c>
      <c r="D17" s="181">
        <v>76</v>
      </c>
      <c r="E17" s="179">
        <v>3759215.75</v>
      </c>
      <c r="F17" s="180">
        <v>455467</v>
      </c>
      <c r="G17" s="153">
        <v>22</v>
      </c>
      <c r="H17" s="162">
        <v>807761.75</v>
      </c>
      <c r="I17" s="163">
        <v>106101</v>
      </c>
      <c r="J17" s="164">
        <f t="shared" si="0"/>
        <v>0.23294991733758977</v>
      </c>
    </row>
    <row r="18" spans="1:10" ht="15.75" thickBot="1">
      <c r="A18" s="153">
        <v>18</v>
      </c>
      <c r="B18" s="151" t="s">
        <v>323</v>
      </c>
      <c r="C18" s="152" t="s">
        <v>324</v>
      </c>
      <c r="D18" s="181">
        <v>85</v>
      </c>
      <c r="E18" s="179">
        <v>3310471.5</v>
      </c>
      <c r="F18" s="180">
        <v>383694</v>
      </c>
      <c r="G18" s="153">
        <v>23</v>
      </c>
      <c r="H18" s="162">
        <v>685206</v>
      </c>
      <c r="I18" s="163">
        <v>88589</v>
      </c>
      <c r="J18" s="164">
        <f t="shared" si="0"/>
        <v>0.230884506924789</v>
      </c>
    </row>
    <row r="19" spans="1:15" ht="15.75" thickBot="1">
      <c r="A19" s="153">
        <v>19</v>
      </c>
      <c r="B19" s="151" t="s">
        <v>342</v>
      </c>
      <c r="C19" s="152" t="s">
        <v>324</v>
      </c>
      <c r="D19" s="181">
        <v>78</v>
      </c>
      <c r="E19" s="179">
        <v>1814009.5</v>
      </c>
      <c r="F19" s="180">
        <v>208426</v>
      </c>
      <c r="G19" s="153">
        <v>25</v>
      </c>
      <c r="H19" s="162">
        <v>592482.75</v>
      </c>
      <c r="I19" s="163">
        <v>81929</v>
      </c>
      <c r="J19" s="164">
        <f t="shared" si="0"/>
        <v>0.3930843560784163</v>
      </c>
      <c r="K19" s="276"/>
      <c r="N19" s="121"/>
      <c r="O19" s="122"/>
    </row>
    <row r="20" spans="1:12" ht="15.75" thickBot="1">
      <c r="A20" s="153">
        <v>20</v>
      </c>
      <c r="B20" s="151" t="s">
        <v>354</v>
      </c>
      <c r="C20" s="152" t="s">
        <v>324</v>
      </c>
      <c r="D20" s="181">
        <v>69</v>
      </c>
      <c r="E20" s="179">
        <v>4267017.3</v>
      </c>
      <c r="F20" s="180">
        <v>496356</v>
      </c>
      <c r="G20" s="153">
        <v>20</v>
      </c>
      <c r="H20" s="162">
        <v>559239.55</v>
      </c>
      <c r="I20" s="163">
        <v>78173</v>
      </c>
      <c r="J20" s="164">
        <f t="shared" si="0"/>
        <v>0.15749381492316</v>
      </c>
      <c r="L20" s="121"/>
    </row>
    <row r="21" spans="1:10" ht="15.75" thickBot="1">
      <c r="A21" s="153">
        <v>21</v>
      </c>
      <c r="B21" s="151" t="s">
        <v>360</v>
      </c>
      <c r="C21" s="152" t="s">
        <v>324</v>
      </c>
      <c r="D21" s="181">
        <v>80</v>
      </c>
      <c r="E21" s="179">
        <v>2694611.25</v>
      </c>
      <c r="F21" s="180">
        <v>305371</v>
      </c>
      <c r="G21" s="153">
        <v>26</v>
      </c>
      <c r="H21" s="162">
        <v>341660</v>
      </c>
      <c r="I21" s="163">
        <v>51557</v>
      </c>
      <c r="J21" s="164">
        <f t="shared" si="0"/>
        <v>0.16883397572133568</v>
      </c>
    </row>
    <row r="22" spans="1:10" ht="15.75" thickBot="1">
      <c r="A22" s="153">
        <v>22</v>
      </c>
      <c r="B22" s="151" t="s">
        <v>371</v>
      </c>
      <c r="C22" s="152" t="s">
        <v>439</v>
      </c>
      <c r="D22" s="181">
        <v>87</v>
      </c>
      <c r="E22" s="179">
        <v>2193589</v>
      </c>
      <c r="F22" s="180">
        <v>272153</v>
      </c>
      <c r="G22" s="153">
        <v>26</v>
      </c>
      <c r="H22" s="162">
        <v>197398</v>
      </c>
      <c r="I22" s="163">
        <v>32997</v>
      </c>
      <c r="J22" s="164">
        <f t="shared" si="0"/>
        <v>0.12124430008120432</v>
      </c>
    </row>
    <row r="23" spans="1:10" ht="15.75" thickBot="1">
      <c r="A23" s="153">
        <v>23</v>
      </c>
      <c r="B23" s="151" t="s">
        <v>383</v>
      </c>
      <c r="C23" s="152" t="s">
        <v>439</v>
      </c>
      <c r="D23" s="181">
        <v>71</v>
      </c>
      <c r="E23" s="179">
        <v>2833368.5</v>
      </c>
      <c r="F23" s="180">
        <v>357593</v>
      </c>
      <c r="G23" s="153">
        <v>16</v>
      </c>
      <c r="H23" s="162">
        <v>81466.5</v>
      </c>
      <c r="I23" s="163">
        <v>14699</v>
      </c>
      <c r="J23" s="164">
        <f t="shared" si="0"/>
        <v>0.04110539076547919</v>
      </c>
    </row>
    <row r="24" spans="1:10" ht="15.75" thickBot="1">
      <c r="A24" s="153">
        <v>24</v>
      </c>
      <c r="B24" s="151" t="s">
        <v>392</v>
      </c>
      <c r="C24" s="152" t="s">
        <v>439</v>
      </c>
      <c r="D24" s="181">
        <v>83</v>
      </c>
      <c r="E24" s="179">
        <v>2384746.75</v>
      </c>
      <c r="F24" s="180">
        <v>338401</v>
      </c>
      <c r="G24" s="153">
        <v>15</v>
      </c>
      <c r="H24" s="162">
        <v>70481.25</v>
      </c>
      <c r="I24" s="163">
        <v>13855</v>
      </c>
      <c r="J24" s="164">
        <f t="shared" si="0"/>
        <v>0.04094255040617492</v>
      </c>
    </row>
    <row r="25" spans="1:10" ht="15.75" thickBot="1">
      <c r="A25" s="153">
        <v>25</v>
      </c>
      <c r="B25" s="151" t="s">
        <v>413</v>
      </c>
      <c r="C25" s="152" t="s">
        <v>439</v>
      </c>
      <c r="D25" s="181">
        <v>98</v>
      </c>
      <c r="E25" s="179">
        <v>2352130.8</v>
      </c>
      <c r="F25" s="180">
        <v>295660</v>
      </c>
      <c r="G25" s="153">
        <v>22</v>
      </c>
      <c r="H25" s="162">
        <v>56243.8</v>
      </c>
      <c r="I25" s="163">
        <v>10638</v>
      </c>
      <c r="J25" s="164">
        <f t="shared" si="0"/>
        <v>0.035980518162754514</v>
      </c>
    </row>
    <row r="26" spans="1:10" ht="15.75" thickBot="1">
      <c r="A26" s="153">
        <v>26</v>
      </c>
      <c r="B26" s="151" t="s">
        <v>422</v>
      </c>
      <c r="C26" s="152" t="s">
        <v>438</v>
      </c>
      <c r="D26" s="181">
        <v>101</v>
      </c>
      <c r="E26" s="179">
        <v>3460273</v>
      </c>
      <c r="F26" s="180">
        <v>433220</v>
      </c>
      <c r="G26" s="153">
        <v>22</v>
      </c>
      <c r="H26" s="162">
        <v>62144.5</v>
      </c>
      <c r="I26" s="163">
        <v>11060</v>
      </c>
      <c r="J26" s="164">
        <f t="shared" si="0"/>
        <v>0.025529753935644706</v>
      </c>
    </row>
    <row r="27" spans="1:10" ht="15.75" thickBot="1">
      <c r="A27" s="153">
        <v>27</v>
      </c>
      <c r="B27" s="151" t="s">
        <v>270</v>
      </c>
      <c r="C27" s="152" t="s">
        <v>438</v>
      </c>
      <c r="D27" s="181">
        <v>85</v>
      </c>
      <c r="E27" s="179">
        <v>4546052.25</v>
      </c>
      <c r="F27" s="180">
        <v>549342</v>
      </c>
      <c r="G27" s="153">
        <v>17</v>
      </c>
      <c r="H27" s="162">
        <v>20040.5</v>
      </c>
      <c r="I27" s="163">
        <v>3634</v>
      </c>
      <c r="J27" s="164">
        <f t="shared" si="0"/>
        <v>0.006615186896323237</v>
      </c>
    </row>
    <row r="28" spans="1:10" ht="15.75" thickBot="1">
      <c r="A28" s="153">
        <v>28</v>
      </c>
      <c r="B28" s="151" t="s">
        <v>289</v>
      </c>
      <c r="C28" s="152" t="s">
        <v>438</v>
      </c>
      <c r="D28" s="181">
        <v>87</v>
      </c>
      <c r="E28" s="179">
        <v>4401996</v>
      </c>
      <c r="F28" s="180">
        <v>534495</v>
      </c>
      <c r="G28" s="153">
        <v>14</v>
      </c>
      <c r="H28" s="162">
        <v>15718.5</v>
      </c>
      <c r="I28" s="163">
        <v>3314</v>
      </c>
      <c r="J28" s="164">
        <f t="shared" si="0"/>
        <v>0.006200245091160815</v>
      </c>
    </row>
    <row r="29" spans="1:10" ht="15.75" thickBot="1">
      <c r="A29" s="153">
        <v>29</v>
      </c>
      <c r="B29" s="151" t="s">
        <v>301</v>
      </c>
      <c r="C29" s="152" t="s">
        <v>438</v>
      </c>
      <c r="D29" s="181">
        <v>75</v>
      </c>
      <c r="E29" s="179">
        <v>4340702.5</v>
      </c>
      <c r="F29" s="180">
        <v>528462</v>
      </c>
      <c r="G29" s="153">
        <v>12</v>
      </c>
      <c r="H29" s="162">
        <v>31593</v>
      </c>
      <c r="I29" s="163">
        <v>5352</v>
      </c>
      <c r="J29" s="164">
        <f t="shared" si="0"/>
        <v>0.010127502072050593</v>
      </c>
    </row>
    <row r="30" spans="1:10" ht="15.75" thickBot="1">
      <c r="A30" s="153">
        <v>30</v>
      </c>
      <c r="B30" s="151" t="s">
        <v>310</v>
      </c>
      <c r="C30" s="152" t="s">
        <v>438</v>
      </c>
      <c r="D30" s="181">
        <v>85</v>
      </c>
      <c r="E30" s="179">
        <v>3010839.75</v>
      </c>
      <c r="F30" s="180">
        <v>371612</v>
      </c>
      <c r="G30" s="153">
        <v>15</v>
      </c>
      <c r="H30" s="162">
        <v>22299.5</v>
      </c>
      <c r="I30" s="163">
        <v>4794</v>
      </c>
      <c r="J30" s="164">
        <f t="shared" si="0"/>
        <v>0.012900552188842125</v>
      </c>
    </row>
    <row r="31" spans="1:10" ht="15.75" thickBot="1">
      <c r="A31" s="153">
        <v>31</v>
      </c>
      <c r="B31" s="151" t="s">
        <v>464</v>
      </c>
      <c r="C31" s="152" t="s">
        <v>465</v>
      </c>
      <c r="D31" s="181">
        <v>92</v>
      </c>
      <c r="E31" s="179">
        <v>2592552.5</v>
      </c>
      <c r="F31" s="180">
        <v>315225</v>
      </c>
      <c r="G31" s="153">
        <v>21</v>
      </c>
      <c r="H31" s="162">
        <v>34959</v>
      </c>
      <c r="I31" s="163">
        <v>7379</v>
      </c>
      <c r="J31" s="164">
        <f t="shared" si="0"/>
        <v>0.023408676342295185</v>
      </c>
    </row>
    <row r="32" spans="1:10" ht="15.75" thickBot="1">
      <c r="A32" s="153">
        <v>32</v>
      </c>
      <c r="B32" s="151" t="s">
        <v>473</v>
      </c>
      <c r="C32" s="152" t="s">
        <v>465</v>
      </c>
      <c r="D32" s="181">
        <v>95</v>
      </c>
      <c r="E32" s="179">
        <v>2526597.5</v>
      </c>
      <c r="F32" s="180">
        <v>308116</v>
      </c>
      <c r="G32" s="153">
        <v>22</v>
      </c>
      <c r="H32" s="162">
        <v>54840.5</v>
      </c>
      <c r="I32" s="163">
        <v>9032</v>
      </c>
      <c r="J32" s="164">
        <f t="shared" si="0"/>
        <v>0.029313635124433655</v>
      </c>
    </row>
    <row r="33" spans="1:10" ht="15.75" thickBot="1">
      <c r="A33" s="153">
        <v>33</v>
      </c>
      <c r="B33" s="151" t="s">
        <v>480</v>
      </c>
      <c r="C33" s="152" t="s">
        <v>465</v>
      </c>
      <c r="D33" s="181">
        <v>118</v>
      </c>
      <c r="E33" s="179">
        <v>2238266</v>
      </c>
      <c r="F33" s="180">
        <v>279543</v>
      </c>
      <c r="G33" s="153">
        <v>28</v>
      </c>
      <c r="H33" s="162">
        <v>36495.5</v>
      </c>
      <c r="I33" s="163">
        <v>6508</v>
      </c>
      <c r="J33" s="164">
        <f t="shared" si="0"/>
        <v>0.02328085482376593</v>
      </c>
    </row>
    <row r="34" spans="1:10" ht="15.75" thickBot="1">
      <c r="A34" s="153">
        <v>34</v>
      </c>
      <c r="B34" s="151" t="s">
        <v>490</v>
      </c>
      <c r="C34" s="152" t="s">
        <v>465</v>
      </c>
      <c r="D34" s="181">
        <v>118</v>
      </c>
      <c r="E34" s="179">
        <v>2340342.5</v>
      </c>
      <c r="F34" s="180">
        <v>272676</v>
      </c>
      <c r="G34" s="153">
        <v>31</v>
      </c>
      <c r="H34" s="162">
        <v>34630.25</v>
      </c>
      <c r="I34" s="163">
        <v>6344</v>
      </c>
      <c r="J34" s="164">
        <f t="shared" si="0"/>
        <v>0.02326570728630316</v>
      </c>
    </row>
    <row r="35" spans="1:10" ht="15.75" thickBot="1">
      <c r="A35" s="153">
        <v>35</v>
      </c>
      <c r="B35" s="151" t="s">
        <v>499</v>
      </c>
      <c r="C35" s="152" t="s">
        <v>500</v>
      </c>
      <c r="D35" s="181">
        <v>114</v>
      </c>
      <c r="E35" s="179">
        <v>2859801.75</v>
      </c>
      <c r="F35" s="180">
        <v>314067</v>
      </c>
      <c r="G35" s="153">
        <v>25</v>
      </c>
      <c r="H35" s="162">
        <v>34367</v>
      </c>
      <c r="I35" s="163">
        <v>5290</v>
      </c>
      <c r="J35" s="164">
        <f t="shared" si="0"/>
        <v>0.016843539754256256</v>
      </c>
    </row>
    <row r="36" spans="1:10" ht="15.75" thickBot="1">
      <c r="A36" s="153">
        <v>36</v>
      </c>
      <c r="B36" s="151" t="s">
        <v>506</v>
      </c>
      <c r="C36" s="152" t="s">
        <v>500</v>
      </c>
      <c r="D36" s="181">
        <v>122</v>
      </c>
      <c r="E36" s="179">
        <v>2534194.25</v>
      </c>
      <c r="F36" s="180">
        <v>309892</v>
      </c>
      <c r="G36" s="153">
        <v>25</v>
      </c>
      <c r="H36" s="162">
        <v>56207</v>
      </c>
      <c r="I36" s="163">
        <v>9171</v>
      </c>
      <c r="J36" s="164">
        <f t="shared" si="0"/>
        <v>0.029594181198611128</v>
      </c>
    </row>
    <row r="37" spans="1:10" ht="15.75" thickBot="1">
      <c r="A37" s="153">
        <v>37</v>
      </c>
      <c r="B37" s="151" t="s">
        <v>515</v>
      </c>
      <c r="C37" s="152" t="s">
        <v>500</v>
      </c>
      <c r="D37" s="181">
        <v>87</v>
      </c>
      <c r="E37" s="179">
        <v>2322631.25</v>
      </c>
      <c r="F37" s="180">
        <v>259498</v>
      </c>
      <c r="G37" s="153">
        <v>15</v>
      </c>
      <c r="H37" s="162">
        <v>28852.75</v>
      </c>
      <c r="I37" s="163">
        <v>2310</v>
      </c>
      <c r="J37" s="164">
        <f t="shared" si="0"/>
        <v>0.008901802711388912</v>
      </c>
    </row>
    <row r="38" spans="1:10" ht="15.75" thickBot="1">
      <c r="A38" s="153">
        <v>38</v>
      </c>
      <c r="B38" s="151" t="s">
        <v>523</v>
      </c>
      <c r="C38" s="152" t="s">
        <v>500</v>
      </c>
      <c r="D38" s="181">
        <v>74</v>
      </c>
      <c r="E38" s="179">
        <v>4314620</v>
      </c>
      <c r="F38" s="180">
        <v>481604</v>
      </c>
      <c r="G38" s="153">
        <v>15</v>
      </c>
      <c r="H38" s="162">
        <v>1200528</v>
      </c>
      <c r="I38" s="163">
        <v>146155</v>
      </c>
      <c r="J38" s="164">
        <f t="shared" si="0"/>
        <v>0.3034754694728449</v>
      </c>
    </row>
    <row r="39" spans="1:10" ht="15.75" thickBot="1">
      <c r="A39" s="153">
        <v>39</v>
      </c>
      <c r="B39" s="151" t="s">
        <v>539</v>
      </c>
      <c r="C39" s="152" t="s">
        <v>540</v>
      </c>
      <c r="D39" s="181">
        <v>75</v>
      </c>
      <c r="E39" s="179">
        <v>2887678.25</v>
      </c>
      <c r="F39" s="180">
        <v>311229</v>
      </c>
      <c r="G39" s="153">
        <v>15</v>
      </c>
      <c r="H39" s="162">
        <v>512312</v>
      </c>
      <c r="I39" s="163">
        <v>66024</v>
      </c>
      <c r="J39" s="164">
        <f t="shared" si="0"/>
        <v>0.212139614239033</v>
      </c>
    </row>
    <row r="40" spans="1:10" ht="15.75" thickBot="1">
      <c r="A40" s="153">
        <v>40</v>
      </c>
      <c r="B40" s="151" t="s">
        <v>108</v>
      </c>
      <c r="C40" s="152" t="s">
        <v>540</v>
      </c>
      <c r="D40" s="181">
        <v>87</v>
      </c>
      <c r="E40" s="179">
        <v>2893360</v>
      </c>
      <c r="F40" s="180">
        <v>312927</v>
      </c>
      <c r="G40" s="153">
        <v>17</v>
      </c>
      <c r="H40" s="162">
        <v>835942.5</v>
      </c>
      <c r="I40" s="163">
        <v>101024</v>
      </c>
      <c r="J40" s="164">
        <f t="shared" si="0"/>
        <v>0.3228356773304956</v>
      </c>
    </row>
    <row r="41" spans="1:10" ht="15.75" thickBot="1">
      <c r="A41" s="153">
        <v>41</v>
      </c>
      <c r="B41" s="151"/>
      <c r="C41" s="152"/>
      <c r="D41" s="181"/>
      <c r="E41" s="179"/>
      <c r="F41" s="180"/>
      <c r="G41" s="153"/>
      <c r="H41" s="162"/>
      <c r="I41" s="163"/>
      <c r="J41" s="164"/>
    </row>
    <row r="42" spans="1:10" ht="15.75" thickBot="1">
      <c r="A42" s="153"/>
      <c r="B42" s="151"/>
      <c r="C42" s="152"/>
      <c r="D42" s="181"/>
      <c r="E42" s="179"/>
      <c r="F42" s="180"/>
      <c r="G42" s="153"/>
      <c r="H42" s="162"/>
      <c r="I42" s="163"/>
      <c r="J42" s="164"/>
    </row>
    <row r="43" spans="1:10" ht="15.75" thickBot="1">
      <c r="A43" s="153"/>
      <c r="B43" s="151"/>
      <c r="C43" s="152"/>
      <c r="D43" s="181"/>
      <c r="E43" s="179"/>
      <c r="F43" s="180"/>
      <c r="G43" s="153"/>
      <c r="H43" s="162"/>
      <c r="I43" s="163"/>
      <c r="J43" s="164"/>
    </row>
    <row r="44" spans="1:10" ht="15.75" thickBot="1">
      <c r="A44" s="153"/>
      <c r="B44" s="151"/>
      <c r="C44" s="152"/>
      <c r="D44" s="181"/>
      <c r="E44" s="179"/>
      <c r="F44" s="180"/>
      <c r="G44" s="153"/>
      <c r="H44" s="162"/>
      <c r="I44" s="163"/>
      <c r="J44" s="164"/>
    </row>
    <row r="45" spans="1:10" ht="15.75" thickBot="1">
      <c r="A45" s="153"/>
      <c r="B45" s="151"/>
      <c r="C45" s="152"/>
      <c r="D45" s="181"/>
      <c r="E45" s="179"/>
      <c r="F45" s="180"/>
      <c r="G45" s="153"/>
      <c r="H45" s="162"/>
      <c r="I45" s="163"/>
      <c r="J45" s="164"/>
    </row>
    <row r="46" spans="1:10" ht="15.75" thickBot="1">
      <c r="A46" s="153"/>
      <c r="B46" s="151"/>
      <c r="C46" s="152"/>
      <c r="D46" s="181"/>
      <c r="E46" s="179"/>
      <c r="F46" s="180"/>
      <c r="G46" s="153"/>
      <c r="H46" s="162"/>
      <c r="I46" s="163"/>
      <c r="J46" s="164"/>
    </row>
    <row r="47" spans="1:10" ht="15.75" thickBot="1">
      <c r="A47" s="153"/>
      <c r="B47" s="151"/>
      <c r="C47" s="152"/>
      <c r="D47" s="181"/>
      <c r="E47" s="179"/>
      <c r="F47" s="180"/>
      <c r="G47" s="153"/>
      <c r="H47" s="162"/>
      <c r="I47" s="163"/>
      <c r="J47" s="164"/>
    </row>
    <row r="48" spans="1:10" ht="15.75" thickBot="1">
      <c r="A48" s="153"/>
      <c r="B48" s="151"/>
      <c r="C48" s="152"/>
      <c r="D48" s="181"/>
      <c r="E48" s="179"/>
      <c r="F48" s="180"/>
      <c r="G48" s="153"/>
      <c r="H48" s="162"/>
      <c r="I48" s="163"/>
      <c r="J48" s="164"/>
    </row>
    <row r="49" spans="1:10" ht="15.75" thickBot="1">
      <c r="A49" s="153"/>
      <c r="B49" s="151"/>
      <c r="C49" s="152"/>
      <c r="D49" s="181"/>
      <c r="E49" s="179"/>
      <c r="F49" s="180"/>
      <c r="G49" s="153"/>
      <c r="H49" s="162"/>
      <c r="I49" s="163"/>
      <c r="J49" s="164"/>
    </row>
    <row r="50" spans="1:10" ht="15.75" thickBot="1">
      <c r="A50" s="153"/>
      <c r="B50" s="151"/>
      <c r="C50" s="152"/>
      <c r="D50" s="181"/>
      <c r="E50" s="179"/>
      <c r="F50" s="180"/>
      <c r="G50" s="153"/>
      <c r="H50" s="162"/>
      <c r="I50" s="163"/>
      <c r="J50" s="164"/>
    </row>
    <row r="51" spans="1:10" ht="15.75" thickBot="1">
      <c r="A51" s="153"/>
      <c r="B51" s="151"/>
      <c r="C51" s="152"/>
      <c r="D51" s="181"/>
      <c r="E51" s="179"/>
      <c r="F51" s="180"/>
      <c r="G51" s="153"/>
      <c r="H51" s="162"/>
      <c r="I51" s="163"/>
      <c r="J51" s="164"/>
    </row>
    <row r="52" spans="1:10" ht="15.75" thickBot="1">
      <c r="A52" s="153"/>
      <c r="B52" s="151"/>
      <c r="C52" s="152"/>
      <c r="D52" s="181"/>
      <c r="E52" s="179"/>
      <c r="F52" s="180"/>
      <c r="G52" s="153"/>
      <c r="H52" s="162"/>
      <c r="I52" s="163"/>
      <c r="J52" s="164"/>
    </row>
    <row r="53" spans="1:10" ht="15">
      <c r="A53" s="154"/>
      <c r="B53" s="155"/>
      <c r="C53" s="156"/>
      <c r="D53" s="182"/>
      <c r="E53" s="183"/>
      <c r="F53" s="184"/>
      <c r="G53" s="154"/>
      <c r="H53" s="165"/>
      <c r="I53" s="166"/>
      <c r="J53" s="167"/>
    </row>
    <row r="54" spans="1:10" ht="15">
      <c r="A54" s="154"/>
      <c r="B54" s="155"/>
      <c r="C54" s="156"/>
      <c r="F54" s="184"/>
      <c r="J54" s="167"/>
    </row>
    <row r="55" spans="1:10" ht="15">
      <c r="A55" s="154"/>
      <c r="B55" s="155"/>
      <c r="C55" s="156"/>
      <c r="F55" s="184"/>
      <c r="J55" s="167"/>
    </row>
    <row r="56" spans="1:10" ht="15">
      <c r="A56" s="154"/>
      <c r="B56" s="155"/>
      <c r="C56" s="156"/>
      <c r="F56" s="184"/>
      <c r="J56" s="167"/>
    </row>
    <row r="57" spans="1:10" ht="15">
      <c r="A57" s="405">
        <v>2009</v>
      </c>
      <c r="B57" s="406"/>
      <c r="C57" s="407"/>
      <c r="D57" s="187">
        <f>SUM(D1:D56)</f>
        <v>3065</v>
      </c>
      <c r="E57" s="188">
        <f>SUM(E1:E56)</f>
        <v>200124669.95000002</v>
      </c>
      <c r="F57" s="189">
        <f>SUM(F1:F56)</f>
        <v>24457118</v>
      </c>
      <c r="G57" s="170"/>
      <c r="H57" s="171">
        <f>SUM(H1:H56)</f>
        <v>86721389.19999999</v>
      </c>
      <c r="I57" s="172">
        <f>SUM(I1:I56)</f>
        <v>11440249</v>
      </c>
      <c r="J57" s="173">
        <f>SUM(I57/F57)</f>
        <v>0.46776766583863233</v>
      </c>
    </row>
    <row r="58" spans="1:10" s="120" customFormat="1" ht="15">
      <c r="A58" s="408"/>
      <c r="B58" s="409"/>
      <c r="C58" s="410"/>
      <c r="D58" s="190"/>
      <c r="E58" s="183"/>
      <c r="F58" s="184"/>
      <c r="G58" s="154"/>
      <c r="H58" s="165"/>
      <c r="I58" s="166"/>
      <c r="J58" s="167"/>
    </row>
    <row r="59" spans="1:10" ht="15">
      <c r="A59" s="154"/>
      <c r="B59" s="155"/>
      <c r="C59" s="156"/>
      <c r="D59" s="182"/>
      <c r="E59" s="183"/>
      <c r="F59" s="184"/>
      <c r="G59" s="154"/>
      <c r="H59" s="165"/>
      <c r="I59" s="166"/>
      <c r="J59" s="167"/>
    </row>
    <row r="60" spans="1:10" ht="15.75" thickBot="1">
      <c r="A60" s="157"/>
      <c r="B60" s="158"/>
      <c r="C60" s="159"/>
      <c r="D60" s="191"/>
      <c r="E60" s="192"/>
      <c r="F60" s="193"/>
      <c r="G60" s="157"/>
      <c r="H60" s="174"/>
      <c r="I60" s="175"/>
      <c r="J60" s="176"/>
    </row>
    <row r="63" ht="15">
      <c r="H63" s="16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2009-11-01T20:23:56Z</dcterms:modified>
  <cp:category/>
  <cp:version/>
  <cp:contentType/>
  <cp:contentStatus/>
</cp:coreProperties>
</file>