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12-18 Jun' '09 (WK 24)" sheetId="1" r:id="rId1"/>
    <sheet name="02 Jan'-18 Jun'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Jan''-18 Jun'' ''09 (Annual)'!$A$5:$J$8</definedName>
    <definedName name="_xlnm.Print_Area" localSheetId="0">'12-18 Jun' '09 (WK 24)'!$A$1:$O$108</definedName>
  </definedNames>
  <calcPr fullCalcOnLoad="1"/>
</workbook>
</file>

<file path=xl/sharedStrings.xml><?xml version="1.0" encoding="utf-8"?>
<sst xmlns="http://schemas.openxmlformats.org/spreadsheetml/2006/main" count="2104" uniqueCount="440">
  <si>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</si>
  <si>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</si>
  <si>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</si>
  <si>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</si>
  <si>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</si>
  <si>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</si>
  <si>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</si>
  <si>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</si>
  <si>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</si>
  <si>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</si>
  <si>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</si>
  <si>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</si>
  <si>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</si>
  <si>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</si>
  <si>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</si>
  <si>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</si>
  <si>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</si>
  <si>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</si>
  <si>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</si>
  <si>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</si>
  <si>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</si>
  <si>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</si>
  <si>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</si>
  <si>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</si>
  <si>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</si>
  <si>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</si>
  <si>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</si>
  <si>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</si>
  <si>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</si>
  <si>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</si>
  <si>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</si>
  <si>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</si>
  <si>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</si>
  <si>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</si>
  <si>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</si>
  <si>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</si>
  <si>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</si>
  <si>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</si>
  <si>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</si>
  <si>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</si>
  <si>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</si>
  <si>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</si>
  <si>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</si>
  <si>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</si>
  <si>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</si>
  <si>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</si>
  <si>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</si>
  <si>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</si>
  <si>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</si>
  <si>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</si>
  <si>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</si>
  <si>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</si>
  <si>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</si>
  <si>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</si>
  <si>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</si>
  <si>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</si>
  <si>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</si>
  <si>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</si>
  <si>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</si>
  <si>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</si>
  <si>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</si>
  <si>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</si>
  <si>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</si>
  <si>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</si>
  <si>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</si>
  <si>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</si>
  <si>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</si>
  <si>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</si>
  <si>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</si>
  <si>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</si>
  <si>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</si>
  <si>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</si>
  <si>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</si>
  <si>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</si>
  <si>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</si>
  <si>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</si>
  <si>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</si>
  <si>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</si>
  <si>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</si>
  <si>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</si>
  <si>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</si>
  <si>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</si>
  <si>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</si>
  <si>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</si>
  <si>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</si>
  <si>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</si>
  <si>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</si>
  <si>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</si>
  <si>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</si>
  <si>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</si>
  <si>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</si>
  <si>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</si>
  <si>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</si>
  <si>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</si>
  <si>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</si>
  <si>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</si>
  <si>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</si>
  <si>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</si>
  <si>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</si>
  <si>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</si>
  <si>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</si>
  <si>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</si>
  <si>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</si>
  <si>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</si>
  <si>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</si>
  <si>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</si>
  <si>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</si>
  <si>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</si>
  <si>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</si>
  <si>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</si>
  <si>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</si>
  <si>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</si>
  <si>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</si>
  <si>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</si>
  <si>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</si>
  <si>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</si>
  <si>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</si>
  <si>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</si>
  <si>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</si>
  <si>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</si>
  <si>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</si>
  <si>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</si>
  <si>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</si>
  <si>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</si>
  <si>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</si>
  <si>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</si>
  <si>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</si>
  <si>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</si>
  <si>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</si>
  <si>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</si>
  <si>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</si>
  <si>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</si>
  <si>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</si>
  <si>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</si>
  <si>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</si>
  <si>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</si>
  <si>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</si>
  <si>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</si>
  <si>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</si>
  <si>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</si>
  <si>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</si>
  <si>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</si>
  <si>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</si>
  <si>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</si>
  <si>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</si>
  <si>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</si>
  <si>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</si>
  <si>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</si>
  <si>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</si>
  <si>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</si>
  <si>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</si>
  <si>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</si>
  <si>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C YAPIM</t>
  </si>
  <si>
    <t>USTA-MEDYAVIZYON</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</si>
  <si>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</si>
  <si>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</si>
  <si>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</si>
  <si>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</si>
  <si>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</si>
  <si>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</si>
  <si>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</si>
  <si>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</si>
  <si>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</si>
  <si>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</si>
  <si>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</si>
  <si>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</si>
  <si>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</si>
  <si>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</si>
  <si>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</si>
  <si>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</si>
  <si>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</si>
  <si>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</si>
  <si>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</si>
  <si>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</si>
  <si>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</si>
  <si>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</si>
  <si>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</si>
  <si>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</si>
  <si>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</si>
  <si>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</si>
  <si>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</si>
  <si>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</si>
  <si>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</si>
  <si>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</si>
  <si>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</si>
  <si>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</si>
  <si>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</si>
  <si>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</si>
  <si>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</si>
  <si>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</si>
  <si>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</si>
  <si>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</si>
  <si>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</si>
  <si>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</si>
  <si>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</si>
  <si>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</si>
  <si>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</si>
  <si>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</si>
  <si>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</si>
  <si>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</si>
  <si>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</si>
  <si>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</si>
  <si>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</si>
  <si>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</si>
  <si>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</si>
  <si>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</si>
  <si>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</si>
  <si>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</si>
  <si>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</si>
  <si>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</si>
  <si>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</si>
  <si>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</si>
  <si>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</si>
  <si>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</si>
  <si>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</si>
  <si>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</si>
  <si>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</si>
  <si>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</si>
  <si>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</si>
  <si>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</si>
  <si>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</si>
  <si>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</si>
  <si>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</si>
  <si>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</si>
  <si>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</si>
  <si>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</si>
  <si>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</si>
  <si>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</si>
  <si>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</si>
  <si>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</si>
  <si>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</si>
  <si>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</si>
  <si>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</si>
  <si>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</si>
  <si>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</si>
  <si>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</si>
  <si>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</si>
  <si>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</si>
  <si>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</si>
  <si>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</si>
  <si>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</si>
  <si>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</si>
  <si>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</si>
  <si>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</si>
  <si>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</si>
  <si>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</si>
  <si>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</si>
  <si>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NO MAN'S LAND: THE RISE OF REEKER</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</si>
  <si>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</si>
  <si>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</si>
  <si>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</si>
  <si>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</si>
  <si>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</si>
  <si>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</si>
  <si>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</si>
  <si>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</si>
  <si>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</si>
  <si>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</si>
  <si>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</si>
  <si>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</si>
  <si>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</si>
  <si>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</si>
  <si>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</si>
  <si>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</si>
  <si>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</si>
  <si>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</si>
  <si>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</si>
  <si>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</si>
  <si>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</si>
  <si>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</si>
  <si>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</si>
  <si>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</si>
  <si>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</si>
  <si>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</si>
  <si>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</si>
  <si>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</si>
  <si>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</si>
  <si>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</si>
  <si>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</si>
  <si>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</si>
  <si>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</si>
  <si>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</si>
  <si>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</si>
  <si>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</si>
  <si>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</si>
  <si>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</si>
  <si>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r>
      <t>TUUS A L</t>
    </r>
    <r>
      <rPr>
        <b/>
        <sz val="10"/>
        <rFont val="Trebuchet MS"/>
        <family val="2"/>
      </rPr>
      <t>'</t>
    </r>
    <r>
      <rPr>
        <sz val="10"/>
        <rFont val="Trebuchet MS"/>
        <family val="2"/>
      </rPr>
      <t>OUEST:UNE AVEN TURE DE LUCKY LUCKE</t>
    </r>
  </si>
  <si>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</si>
  <si>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</si>
  <si>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</si>
  <si>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</si>
  <si>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</si>
  <si>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</si>
  <si>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</si>
  <si>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</si>
  <si>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</si>
  <si>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</si>
  <si>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</si>
  <si>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</si>
  <si>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</si>
  <si>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</si>
  <si>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</si>
  <si>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</si>
  <si>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</si>
  <si>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</si>
  <si>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</si>
  <si>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</si>
  <si>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</si>
  <si>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</si>
  <si>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</si>
  <si>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</si>
  <si>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</si>
  <si>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</si>
  <si>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</si>
  <si>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</si>
  <si>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</si>
  <si>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</si>
  <si>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</si>
  <si>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</si>
  <si>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</si>
  <si>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</si>
  <si>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</si>
  <si>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GÖKTEN 3 ELMA DÜŞTÜ</t>
  </si>
  <si>
    <t>UNBORN, THE</t>
  </si>
  <si>
    <t>FIDA FILM-AKSOY YAPIM</t>
  </si>
  <si>
    <t>TAKEN</t>
  </si>
  <si>
    <t>FIREFLIES IN THE GARDEN</t>
  </si>
  <si>
    <t>01-07</t>
  </si>
  <si>
    <t>May</t>
  </si>
  <si>
    <t>X-MEN ORIGINS: WOLVERINE</t>
  </si>
  <si>
    <t>KELEBEK</t>
  </si>
  <si>
    <t>SANAI NEFISE</t>
  </si>
  <si>
    <t>SADDAM'IN ASKERLERİ</t>
  </si>
  <si>
    <t>CINEGROUP</t>
  </si>
  <si>
    <t>7.SANAT</t>
  </si>
  <si>
    <t>MARTYRS</t>
  </si>
  <si>
    <t xml:space="preserve">BIR FILM   </t>
  </si>
  <si>
    <t>BENİM VE ROZ'UN SONBAHARI</t>
  </si>
  <si>
    <t>GALA AJANS</t>
  </si>
  <si>
    <t>JONAS BROTHERS CONSERT</t>
  </si>
  <si>
    <t>RUMBA</t>
  </si>
  <si>
    <t>FIDA</t>
  </si>
  <si>
    <t>OZEN-HERMES</t>
  </si>
  <si>
    <t>WAVE, THE</t>
  </si>
  <si>
    <t>CELLULOID DREAMS</t>
  </si>
  <si>
    <t xml:space="preserve">YAPIM 13 </t>
  </si>
  <si>
    <t>UN GIORNO PERFETTO</t>
  </si>
  <si>
    <t>IRINA PALM</t>
  </si>
  <si>
    <t>DENK AJANS</t>
  </si>
  <si>
    <t>08-14</t>
  </si>
  <si>
    <t>STAR TREK</t>
  </si>
  <si>
    <t>CRANK 2: HIGH VOLTAGE</t>
  </si>
  <si>
    <t>USTA</t>
  </si>
  <si>
    <t>FILMPARK</t>
  </si>
  <si>
    <t>CLIVE BARKER'S BOOK OF BLOOD</t>
  </si>
  <si>
    <t>MILK</t>
  </si>
  <si>
    <t>MONSTERS VS. ALIENS</t>
  </si>
  <si>
    <t>NOKTA</t>
  </si>
  <si>
    <t>MARATHON-SARMASIK SANATLAR</t>
  </si>
  <si>
    <t>IGOR</t>
  </si>
  <si>
    <t>ALİ'NİN SEKİZ GÜNÜ</t>
  </si>
  <si>
    <t>NU IMAGE FILMS</t>
  </si>
  <si>
    <t>IT'S A BOY GIRL THING</t>
  </si>
  <si>
    <t>ICON</t>
  </si>
  <si>
    <t>15-21</t>
  </si>
  <si>
    <t>ANGELS &amp; DEMONS</t>
  </si>
  <si>
    <t>ADAB-I MUAŞERET</t>
  </si>
  <si>
    <t>YERLI FILM</t>
  </si>
  <si>
    <t>CORALINE</t>
  </si>
  <si>
    <t>HANNAH MONTANA</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</si>
  <si>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</si>
  <si>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</si>
  <si>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</si>
  <si>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</si>
  <si>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</si>
  <si>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</si>
  <si>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</si>
  <si>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</si>
  <si>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</si>
  <si>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</si>
  <si>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</si>
  <si>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</si>
  <si>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</si>
  <si>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</si>
  <si>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Jun</t>
  </si>
  <si>
    <t>UNINVITED</t>
  </si>
  <si>
    <t>PUSH</t>
  </si>
  <si>
    <t>ROADSIDE ROMEO</t>
  </si>
  <si>
    <t>ICON MEDYA</t>
  </si>
  <si>
    <t>EASY VIRTUE</t>
  </si>
  <si>
    <t>R FILM</t>
  </si>
  <si>
    <t>PALERMO SHOOTING</t>
  </si>
  <si>
    <t>NEUE ROAD MOVIES</t>
  </si>
  <si>
    <t>FROZEN RIVER</t>
  </si>
  <si>
    <t>9</t>
  </si>
  <si>
    <t>YOUTH WITHOUT YOUTH</t>
  </si>
  <si>
    <t>YASAM ARSIZI</t>
  </si>
  <si>
    <t>OZEN-AKSOY FILM</t>
  </si>
  <si>
    <t>99 FRANCS</t>
  </si>
  <si>
    <r>
      <t>2009 Türkiye Ex Years Releases Annual Box Office Report</t>
    </r>
    <r>
      <rPr>
        <b/>
        <sz val="26"/>
        <rFont val="Impact"/>
        <family val="2"/>
      </rPr>
      <t xml:space="preserve">  </t>
    </r>
    <r>
      <rPr>
        <b/>
        <sz val="16"/>
        <rFont val="Impact"/>
        <family val="2"/>
      </rPr>
      <t>02 January-11 Jun 2009</t>
    </r>
  </si>
  <si>
    <t>05-11</t>
  </si>
  <si>
    <t>TERMINATOR: SALVATION</t>
  </si>
  <si>
    <t>BLINDNESS</t>
  </si>
  <si>
    <t>FOCUS FEATURES</t>
  </si>
  <si>
    <t>ANYTHING FOR HER</t>
  </si>
  <si>
    <t>LILLY THE WITCH</t>
  </si>
  <si>
    <t>3</t>
  </si>
  <si>
    <t>SOMEONE BEHIND YOU</t>
  </si>
  <si>
    <t>HAYALET FILM</t>
  </si>
  <si>
    <t>PALERMO'DA YÜZLEŞME</t>
  </si>
  <si>
    <t>ERMAN</t>
  </si>
  <si>
    <t>ÖLDUR BENİ</t>
  </si>
  <si>
    <t>12-18</t>
  </si>
  <si>
    <r>
      <t xml:space="preserve">2009 Türkiye Annual Box Office Report  </t>
    </r>
    <r>
      <rPr>
        <sz val="16"/>
        <rFont val="Impact"/>
        <family val="0"/>
      </rPr>
      <t>02 January-18 Jun 2009</t>
    </r>
  </si>
  <si>
    <t>SAN FILM</t>
  </si>
  <si>
    <t>KIZ KARDESIM: MOMMO</t>
  </si>
  <si>
    <t>HAUNTING IN CONNECTICUT</t>
  </si>
  <si>
    <t>TRAITOR</t>
  </si>
  <si>
    <t>ERMAN FILM-MARS PRODUCTIONS</t>
  </si>
  <si>
    <t>SHINJUKU INCIDENT</t>
  </si>
  <si>
    <t>EMPEROR</t>
  </si>
  <si>
    <t>BURNING PLAIN</t>
  </si>
  <si>
    <t>2929 INTERNATIONAL</t>
  </si>
  <si>
    <t>BRIDE &amp; PREJUDICE</t>
  </si>
  <si>
    <t>OLDBOY</t>
  </si>
  <si>
    <t>IN THE MOOD FOR LOVE</t>
  </si>
  <si>
    <t>FORTISSIMO</t>
  </si>
  <si>
    <t>I LOVE YOU MAN</t>
  </si>
  <si>
    <t>FAST AND THE FURIOUS, THE</t>
  </si>
  <si>
    <t>46</t>
  </si>
  <si>
    <t>4</t>
  </si>
  <si>
    <t>SUNSHINE BARRY AND THE DISCO WORMS</t>
  </si>
  <si>
    <t>NORTH</t>
  </si>
  <si>
    <t xml:space="preserve">BIR FILM </t>
  </si>
  <si>
    <t>CARAMEL</t>
  </si>
  <si>
    <t>ROISSY FILMS</t>
  </si>
  <si>
    <t>COUNTERFEITERS, THE</t>
  </si>
  <si>
    <t>BETA CINEMA</t>
  </si>
  <si>
    <t>MARATHON-SARMASIK</t>
  </si>
  <si>
    <t>ERMAN FILM-MARS</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</si>
</sst>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4">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b/>
      <sz val="10"/>
      <color indexed="58"/>
      <name val="Trebuchet MS"/>
      <family val="2"/>
    </font>
    <font>
      <sz val="10"/>
      <color indexed="9"/>
      <name val="Impact"/>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0"/>
      <color indexed="8"/>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color indexed="63"/>
      </right>
      <top style="hair"/>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style="thin"/>
      <top style="thin"/>
      <bottom style="medium"/>
    </border>
    <border>
      <left>
        <color indexed="63"/>
      </left>
      <right style="hair"/>
      <top style="hair"/>
      <bottom style="hair"/>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style="hair"/>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444">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192" fontId="11" fillId="0" borderId="21" xfId="60" applyNumberFormat="1" applyFont="1" applyFill="1" applyBorder="1" applyAlignment="1" applyProtection="1">
      <alignment vertical="center"/>
      <protection/>
    </xf>
    <xf numFmtId="192" fontId="11" fillId="0" borderId="21" xfId="42"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19" fillId="0" borderId="22" xfId="0" applyFont="1" applyFill="1" applyBorder="1" applyAlignment="1" applyProtection="1">
      <alignment horizontal="right" vertical="center"/>
      <protection/>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center" wrapText="1"/>
      <protection/>
    </xf>
    <xf numFmtId="4" fontId="26" fillId="33" borderId="0" xfId="0" applyNumberFormat="1" applyFont="1" applyFill="1" applyAlignment="1">
      <alignment/>
    </xf>
    <xf numFmtId="4" fontId="0" fillId="0" borderId="0" xfId="0" applyNumberFormat="1" applyFont="1" applyAlignment="1">
      <alignment/>
    </xf>
    <xf numFmtId="4" fontId="35" fillId="0" borderId="16"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16" xfId="0" applyNumberFormat="1" applyFont="1" applyFill="1" applyBorder="1" applyAlignment="1" applyProtection="1">
      <alignment horizontal="center" wrapText="1"/>
      <protection/>
    </xf>
    <xf numFmtId="3" fontId="30" fillId="33" borderId="0" xfId="0" applyNumberFormat="1" applyFont="1" applyFill="1" applyAlignment="1">
      <alignment/>
    </xf>
    <xf numFmtId="3" fontId="9" fillId="0" borderId="0" xfId="0" applyNumberFormat="1" applyFont="1" applyAlignment="1">
      <alignment/>
    </xf>
    <xf numFmtId="3" fontId="26" fillId="33"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16" xfId="0" applyNumberFormat="1" applyFont="1" applyFill="1" applyBorder="1" applyAlignment="1" applyProtection="1">
      <alignment horizontal="center" wrapText="1"/>
      <protection/>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4" fontId="30" fillId="33" borderId="0" xfId="0" applyNumberFormat="1" applyFont="1" applyFill="1" applyAlignment="1">
      <alignment/>
    </xf>
    <xf numFmtId="4" fontId="9" fillId="0" borderId="0" xfId="0" applyNumberFormat="1" applyFont="1" applyAlignment="1">
      <alignment/>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200" fontId="11" fillId="0" borderId="13" xfId="42" applyNumberFormat="1" applyFont="1" applyFill="1" applyBorder="1" applyAlignment="1" applyProtection="1">
      <alignment vertical="center"/>
      <protection locked="0"/>
    </xf>
    <xf numFmtId="193" fontId="11" fillId="0" borderId="13" xfId="42" applyNumberFormat="1" applyFont="1" applyFill="1" applyBorder="1" applyAlignment="1" applyProtection="1">
      <alignment vertical="center"/>
      <protection locked="0"/>
    </xf>
    <xf numFmtId="193" fontId="11" fillId="0" borderId="13" xfId="60" applyNumberFormat="1" applyFont="1" applyFill="1" applyBorder="1" applyAlignment="1" applyProtection="1">
      <alignment vertical="center"/>
      <protection/>
    </xf>
    <xf numFmtId="192" fontId="11" fillId="0" borderId="13" xfId="60" applyNumberFormat="1" applyFont="1" applyFill="1" applyBorder="1" applyAlignment="1" applyProtection="1">
      <alignment vertical="center"/>
      <protection/>
    </xf>
    <xf numFmtId="200" fontId="11" fillId="0" borderId="13" xfId="0" applyNumberFormat="1" applyFont="1" applyFill="1" applyBorder="1" applyAlignment="1">
      <alignment vertical="center"/>
    </xf>
    <xf numFmtId="193" fontId="11" fillId="0" borderId="13" xfId="0" applyNumberFormat="1" applyFont="1" applyFill="1" applyBorder="1" applyAlignment="1">
      <alignment vertical="center"/>
    </xf>
    <xf numFmtId="192" fontId="11" fillId="0" borderId="13" xfId="0" applyNumberFormat="1" applyFont="1" applyFill="1" applyBorder="1" applyAlignment="1">
      <alignment vertical="center"/>
    </xf>
    <xf numFmtId="200" fontId="11" fillId="0" borderId="13" xfId="42" applyNumberFormat="1" applyFont="1" applyFill="1" applyBorder="1" applyAlignment="1" applyProtection="1">
      <alignment vertical="center"/>
      <protection/>
    </xf>
    <xf numFmtId="193" fontId="11" fillId="0" borderId="13" xfId="42" applyNumberFormat="1" applyFont="1" applyFill="1" applyBorder="1" applyAlignment="1" applyProtection="1">
      <alignment vertical="center"/>
      <protection/>
    </xf>
    <xf numFmtId="192" fontId="11" fillId="0" borderId="13" xfId="42" applyNumberFormat="1" applyFont="1" applyFill="1" applyBorder="1" applyAlignment="1" applyProtection="1">
      <alignment vertical="center"/>
      <protection/>
    </xf>
    <xf numFmtId="200" fontId="11" fillId="0" borderId="13" xfId="0" applyNumberFormat="1" applyFont="1" applyFill="1" applyBorder="1" applyAlignment="1" applyProtection="1">
      <alignment vertical="center"/>
      <protection locked="0"/>
    </xf>
    <xf numFmtId="193" fontId="11" fillId="0" borderId="13" xfId="0" applyNumberFormat="1" applyFont="1" applyFill="1" applyBorder="1" applyAlignment="1" applyProtection="1">
      <alignmen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42" applyNumberFormat="1" applyFont="1" applyFill="1" applyBorder="1" applyAlignment="1" applyProtection="1">
      <alignment vertical="center"/>
      <protection locked="0"/>
    </xf>
    <xf numFmtId="193" fontId="11" fillId="0" borderId="24" xfId="42" applyNumberFormat="1" applyFont="1" applyFill="1" applyBorder="1" applyAlignment="1" applyProtection="1">
      <alignment vertical="center"/>
      <protection locked="0"/>
    </xf>
    <xf numFmtId="193" fontId="11" fillId="0" borderId="24" xfId="60" applyNumberFormat="1" applyFont="1" applyFill="1" applyBorder="1" applyAlignment="1" applyProtection="1">
      <alignment vertical="center"/>
      <protection/>
    </xf>
    <xf numFmtId="192" fontId="11" fillId="0" borderId="24" xfId="60" applyNumberFormat="1" applyFont="1" applyFill="1" applyBorder="1" applyAlignment="1" applyProtection="1">
      <alignment vertical="center"/>
      <protection/>
    </xf>
    <xf numFmtId="192" fontId="11" fillId="0" borderId="25" xfId="60" applyNumberFormat="1" applyFont="1" applyFill="1" applyBorder="1" applyAlignment="1" applyProtection="1">
      <alignment vertical="center"/>
      <protection/>
    </xf>
    <xf numFmtId="0" fontId="28" fillId="34" borderId="26" xfId="0" applyFont="1" applyFill="1" applyBorder="1" applyAlignment="1">
      <alignment horizontal="right"/>
    </xf>
    <xf numFmtId="49" fontId="28" fillId="34" borderId="27" xfId="0" applyNumberFormat="1" applyFont="1" applyFill="1" applyBorder="1" applyAlignment="1">
      <alignment horizontal="right"/>
    </xf>
    <xf numFmtId="0" fontId="28" fillId="34" borderId="28" xfId="0" applyFont="1" applyFill="1" applyBorder="1" applyAlignment="1">
      <alignment horizontal="right"/>
    </xf>
    <xf numFmtId="0" fontId="28" fillId="34" borderId="27"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9" xfId="0" applyFont="1" applyFill="1" applyBorder="1" applyAlignment="1">
      <alignment horizontal="right"/>
    </xf>
    <xf numFmtId="0" fontId="28" fillId="34" borderId="30" xfId="0" applyFont="1" applyFill="1" applyBorder="1" applyAlignment="1">
      <alignment horizontal="right"/>
    </xf>
    <xf numFmtId="49" fontId="28" fillId="34" borderId="30" xfId="0" applyNumberFormat="1" applyFont="1" applyFill="1" applyBorder="1" applyAlignment="1">
      <alignment horizontal="right"/>
    </xf>
    <xf numFmtId="0" fontId="28" fillId="34" borderId="31"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7" xfId="0" applyNumberFormat="1" applyFont="1" applyFill="1" applyBorder="1" applyAlignment="1">
      <alignment horizontal="right"/>
    </xf>
    <xf numFmtId="3" fontId="28" fillId="34" borderId="27" xfId="0" applyNumberFormat="1" applyFont="1" applyFill="1" applyBorder="1" applyAlignment="1">
      <alignment horizontal="right"/>
    </xf>
    <xf numFmtId="10" fontId="28" fillId="34" borderId="28"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9"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9" xfId="0" applyNumberFormat="1" applyFont="1" applyFill="1" applyBorder="1" applyAlignment="1">
      <alignment horizontal="right"/>
    </xf>
    <xf numFmtId="4" fontId="28" fillId="34" borderId="30" xfId="0" applyNumberFormat="1" applyFont="1" applyFill="1" applyBorder="1" applyAlignment="1">
      <alignment horizontal="right"/>
    </xf>
    <xf numFmtId="3" fontId="28" fillId="34" borderId="30" xfId="0" applyNumberFormat="1" applyFont="1" applyFill="1" applyBorder="1" applyAlignment="1">
      <alignment horizontal="right"/>
    </xf>
    <xf numFmtId="10" fontId="28" fillId="34" borderId="31"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7" xfId="0" applyFont="1" applyFill="1" applyBorder="1" applyAlignment="1">
      <alignment horizontal="right"/>
    </xf>
    <xf numFmtId="4" fontId="28" fillId="35" borderId="27" xfId="0" applyNumberFormat="1" applyFont="1" applyFill="1" applyBorder="1" applyAlignment="1">
      <alignment horizontal="right"/>
    </xf>
    <xf numFmtId="3" fontId="28" fillId="35" borderId="28"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9"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9" xfId="0" applyNumberFormat="1" applyFont="1" applyFill="1" applyBorder="1" applyAlignment="1">
      <alignment horizontal="right"/>
    </xf>
    <xf numFmtId="0" fontId="28" fillId="35" borderId="0" xfId="0" applyFont="1" applyFill="1" applyBorder="1" applyAlignment="1">
      <alignment horizontal="right"/>
    </xf>
    <xf numFmtId="3" fontId="28" fillId="35" borderId="30" xfId="0" applyNumberFormat="1" applyFont="1" applyFill="1" applyBorder="1" applyAlignment="1">
      <alignment horizontal="right"/>
    </xf>
    <xf numFmtId="4" fontId="28" fillId="35" borderId="30" xfId="0" applyNumberFormat="1" applyFont="1" applyFill="1" applyBorder="1" applyAlignment="1">
      <alignment horizontal="right"/>
    </xf>
    <xf numFmtId="3" fontId="28" fillId="35" borderId="31"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3" fontId="51" fillId="0" borderId="13" xfId="60" applyNumberFormat="1" applyFont="1" applyFill="1" applyBorder="1" applyAlignment="1" applyProtection="1">
      <alignment horizontal="right" vertical="center"/>
      <protection/>
    </xf>
    <xf numFmtId="192" fontId="51" fillId="0" borderId="13" xfId="60"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xf>
    <xf numFmtId="193" fontId="51" fillId="0" borderId="13" xfId="0" applyNumberFormat="1" applyFont="1" applyFill="1" applyBorder="1" applyAlignment="1">
      <alignment horizontal="right" vertical="center"/>
    </xf>
    <xf numFmtId="193" fontId="51" fillId="0" borderId="13" xfId="42" applyNumberFormat="1" applyFont="1" applyFill="1" applyBorder="1" applyAlignment="1" applyProtection="1">
      <alignment horizontal="right" vertical="center"/>
      <protection/>
    </xf>
    <xf numFmtId="192" fontId="51" fillId="0" borderId="13" xfId="42" applyNumberFormat="1" applyFont="1" applyFill="1" applyBorder="1" applyAlignment="1" applyProtection="1">
      <alignment horizontal="right" vertical="center"/>
      <protection/>
    </xf>
    <xf numFmtId="200" fontId="51" fillId="0" borderId="13" xfId="42" applyNumberFormat="1" applyFont="1" applyFill="1" applyBorder="1" applyAlignment="1" applyProtection="1">
      <alignment horizontal="right" vertical="center"/>
      <protection locked="0"/>
    </xf>
    <xf numFmtId="193" fontId="51" fillId="0" borderId="13" xfId="42" applyNumberFormat="1" applyFont="1" applyFill="1" applyBorder="1" applyAlignment="1" applyProtection="1">
      <alignment horizontal="right" vertical="center"/>
      <protection locked="0"/>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200"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192" fontId="51" fillId="0" borderId="21" xfId="42" applyNumberFormat="1" applyFont="1" applyFill="1" applyBorder="1" applyAlignment="1" applyProtection="1">
      <alignment horizontal="right" vertical="center"/>
      <protection/>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192" fontId="51" fillId="0" borderId="21" xfId="0" applyNumberFormat="1" applyFont="1" applyFill="1" applyBorder="1" applyAlignment="1">
      <alignment horizontal="right" vertical="center"/>
    </xf>
    <xf numFmtId="192" fontId="51" fillId="0" borderId="21" xfId="60" applyNumberFormat="1" applyFont="1" applyFill="1" applyBorder="1" applyAlignment="1" applyProtection="1">
      <alignment horizontal="right" vertical="center"/>
      <protection/>
    </xf>
    <xf numFmtId="0" fontId="11" fillId="0" borderId="32"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93" fontId="11" fillId="0" borderId="11" xfId="0" applyNumberFormat="1" applyFont="1" applyFill="1" applyBorder="1" applyAlignment="1">
      <alignment vertical="center"/>
    </xf>
    <xf numFmtId="0" fontId="11" fillId="0" borderId="33" xfId="0" applyNumberFormat="1" applyFont="1" applyFill="1" applyBorder="1" applyAlignment="1" applyProtection="1">
      <alignment horizontal="left" vertical="center"/>
      <protection locked="0"/>
    </xf>
    <xf numFmtId="184" fontId="11" fillId="0" borderId="34" xfId="0" applyNumberFormat="1" applyFont="1" applyFill="1" applyBorder="1" applyAlignment="1" applyProtection="1">
      <alignment horizontal="center" vertical="center"/>
      <protection locked="0"/>
    </xf>
    <xf numFmtId="0" fontId="11" fillId="0" borderId="34" xfId="0" applyNumberFormat="1" applyFont="1" applyFill="1" applyBorder="1" applyAlignment="1" applyProtection="1">
      <alignment horizontal="left" vertical="center"/>
      <protection locked="0"/>
    </xf>
    <xf numFmtId="0" fontId="11" fillId="0" borderId="34" xfId="0" applyNumberFormat="1" applyFont="1" applyFill="1" applyBorder="1" applyAlignment="1" applyProtection="1">
      <alignment horizontal="center" vertical="center"/>
      <protection locked="0"/>
    </xf>
    <xf numFmtId="193" fontId="11" fillId="0" borderId="34" xfId="42" applyNumberFormat="1" applyFont="1" applyFill="1" applyBorder="1" applyAlignment="1" applyProtection="1">
      <alignment vertical="center"/>
      <protection/>
    </xf>
    <xf numFmtId="192" fontId="11" fillId="0" borderId="34" xfId="42" applyNumberFormat="1" applyFont="1" applyFill="1" applyBorder="1" applyAlignment="1" applyProtection="1">
      <alignment vertical="center"/>
      <protection/>
    </xf>
    <xf numFmtId="200" fontId="11" fillId="0" borderId="34" xfId="42" applyNumberFormat="1" applyFont="1" applyFill="1" applyBorder="1" applyAlignment="1" applyProtection="1">
      <alignment vertical="center"/>
      <protection locked="0"/>
    </xf>
    <xf numFmtId="193" fontId="11" fillId="0" borderId="34" xfId="42" applyNumberFormat="1" applyFont="1" applyFill="1" applyBorder="1" applyAlignment="1" applyProtection="1">
      <alignment vertical="center"/>
      <protection locked="0"/>
    </xf>
    <xf numFmtId="192" fontId="11" fillId="0" borderId="35" xfId="42" applyNumberFormat="1" applyFont="1" applyFill="1" applyBorder="1" applyAlignment="1" applyProtection="1">
      <alignment vertical="center"/>
      <protection/>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200" fontId="11" fillId="0" borderId="11" xfId="0" applyNumberFormat="1" applyFont="1" applyFill="1" applyBorder="1" applyAlignment="1">
      <alignmen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200" fontId="28" fillId="0" borderId="13" xfId="0" applyNumberFormat="1" applyFont="1" applyFill="1" applyBorder="1" applyAlignment="1">
      <alignment horizontal="right" vertical="center"/>
    </xf>
    <xf numFmtId="193" fontId="28" fillId="0" borderId="13" xfId="0" applyNumberFormat="1" applyFont="1" applyFill="1" applyBorder="1" applyAlignment="1">
      <alignment horizontal="right" vertical="center"/>
    </xf>
    <xf numFmtId="193" fontId="11" fillId="0" borderId="13" xfId="0" applyNumberFormat="1" applyFont="1" applyFill="1" applyBorder="1" applyAlignment="1" applyProtection="1">
      <alignment horizontal="right" vertical="center"/>
      <protection/>
    </xf>
    <xf numFmtId="192" fontId="11" fillId="0" borderId="13" xfId="0" applyNumberFormat="1" applyFont="1" applyFill="1" applyBorder="1" applyAlignment="1" applyProtection="1">
      <alignment vertical="center"/>
      <protection/>
    </xf>
    <xf numFmtId="200" fontId="11" fillId="0" borderId="13" xfId="0" applyNumberFormat="1" applyFont="1" applyFill="1" applyBorder="1" applyAlignment="1">
      <alignment horizontal="right" vertical="center"/>
    </xf>
    <xf numFmtId="193" fontId="11" fillId="0" borderId="13" xfId="0" applyNumberFormat="1" applyFont="1" applyFill="1" applyBorder="1" applyAlignment="1">
      <alignment horizontal="right" vertical="center"/>
    </xf>
    <xf numFmtId="200" fontId="28"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horizontal="right" vertical="center"/>
      <protection/>
    </xf>
    <xf numFmtId="193" fontId="11" fillId="0" borderId="13" xfId="60"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xf>
    <xf numFmtId="200" fontId="28" fillId="0" borderId="13" xfId="42" applyNumberFormat="1" applyFont="1" applyFill="1" applyBorder="1" applyAlignment="1" applyProtection="1">
      <alignment horizontal="right" vertical="center"/>
      <protection locked="0"/>
    </xf>
    <xf numFmtId="193" fontId="28"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xf>
    <xf numFmtId="200" fontId="11" fillId="0" borderId="13" xfId="42" applyNumberFormat="1" applyFont="1" applyFill="1" applyBorder="1" applyAlignment="1" applyProtection="1">
      <alignment horizontal="right" vertical="center"/>
      <protection locked="0"/>
    </xf>
    <xf numFmtId="193" fontId="11" fillId="0" borderId="13" xfId="42" applyNumberFormat="1" applyFont="1" applyFill="1" applyBorder="1" applyAlignment="1" applyProtection="1">
      <alignment horizontal="right" vertical="center"/>
      <protection locked="0"/>
    </xf>
    <xf numFmtId="200" fontId="28" fillId="0" borderId="13" xfId="0" applyNumberFormat="1" applyFont="1" applyFill="1" applyBorder="1" applyAlignment="1" applyProtection="1">
      <alignment horizontal="right" vertical="center"/>
      <protection/>
    </xf>
    <xf numFmtId="193" fontId="28" fillId="0" borderId="13" xfId="0" applyNumberFormat="1" applyFont="1" applyFill="1" applyBorder="1" applyAlignment="1" applyProtection="1">
      <alignment horizontal="right" vertical="center"/>
      <protection/>
    </xf>
    <xf numFmtId="200" fontId="11" fillId="0" borderId="13" xfId="0" applyNumberFormat="1" applyFont="1" applyFill="1" applyBorder="1" applyAlignment="1" applyProtection="1">
      <alignment horizontal="right" vertical="center"/>
      <protection/>
    </xf>
    <xf numFmtId="0" fontId="11" fillId="0" borderId="15" xfId="0" applyNumberFormat="1" applyFont="1" applyFill="1" applyBorder="1" applyAlignment="1">
      <alignment horizontal="left" vertical="center"/>
    </xf>
    <xf numFmtId="192" fontId="11" fillId="0" borderId="21" xfId="0" applyNumberFormat="1" applyFont="1" applyFill="1" applyBorder="1" applyAlignment="1" applyProtection="1">
      <alignment vertical="center"/>
      <protection/>
    </xf>
    <xf numFmtId="200" fontId="22" fillId="0" borderId="36" xfId="0" applyNumberFormat="1" applyFont="1" applyFill="1" applyBorder="1" applyAlignment="1" applyProtection="1">
      <alignment horizontal="center" vertical="center" wrapText="1"/>
      <protection/>
    </xf>
    <xf numFmtId="193" fontId="22" fillId="0" borderId="36" xfId="0" applyNumberFormat="1" applyFont="1" applyFill="1" applyBorder="1" applyAlignment="1" applyProtection="1">
      <alignment horizontal="center" vertical="center" wrapText="1"/>
      <protection/>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200" fontId="28" fillId="0" borderId="13" xfId="0" applyNumberFormat="1" applyFont="1" applyBorder="1" applyAlignment="1">
      <alignment vertical="center"/>
    </xf>
    <xf numFmtId="193" fontId="28" fillId="0" borderId="13" xfId="0" applyNumberFormat="1" applyFont="1" applyBorder="1" applyAlignment="1">
      <alignment vertical="center"/>
    </xf>
    <xf numFmtId="193" fontId="11" fillId="0" borderId="13" xfId="0" applyNumberFormat="1" applyFont="1" applyBorder="1" applyAlignment="1">
      <alignment vertical="center"/>
    </xf>
    <xf numFmtId="192" fontId="11" fillId="0" borderId="13" xfId="0" applyNumberFormat="1" applyFont="1" applyBorder="1" applyAlignment="1">
      <alignment vertical="center"/>
    </xf>
    <xf numFmtId="200" fontId="11" fillId="0" borderId="13" xfId="0" applyNumberFormat="1" applyFont="1" applyBorder="1" applyAlignment="1">
      <alignment vertical="center"/>
    </xf>
    <xf numFmtId="0" fontId="11" fillId="0" borderId="15" xfId="0" applyFont="1" applyBorder="1" applyAlignment="1">
      <alignment horizontal="left" vertical="center"/>
    </xf>
    <xf numFmtId="192" fontId="11" fillId="0" borderId="21" xfId="0" applyNumberFormat="1" applyFont="1" applyBorder="1" applyAlignment="1">
      <alignment vertical="center"/>
    </xf>
    <xf numFmtId="200" fontId="28" fillId="0" borderId="24" xfId="42" applyNumberFormat="1" applyFont="1" applyFill="1" applyBorder="1" applyAlignment="1" applyProtection="1">
      <alignment vertical="center"/>
      <protection locked="0"/>
    </xf>
    <xf numFmtId="193" fontId="28" fillId="0" borderId="24" xfId="42" applyNumberFormat="1" applyFont="1" applyFill="1" applyBorder="1" applyAlignment="1" applyProtection="1">
      <alignment vertical="center"/>
      <protection locked="0"/>
    </xf>
    <xf numFmtId="200" fontId="52" fillId="0" borderId="13" xfId="42" applyNumberFormat="1" applyFont="1" applyFill="1" applyBorder="1" applyAlignment="1" applyProtection="1">
      <alignment horizontal="right" vertical="center"/>
      <protection locked="0"/>
    </xf>
    <xf numFmtId="193" fontId="52" fillId="0" borderId="13" xfId="42" applyNumberFormat="1" applyFont="1" applyFill="1" applyBorder="1" applyAlignment="1" applyProtection="1">
      <alignment horizontal="right" vertical="center"/>
      <protection locked="0"/>
    </xf>
    <xf numFmtId="200" fontId="28" fillId="0" borderId="34" xfId="42" applyNumberFormat="1" applyFont="1" applyFill="1" applyBorder="1" applyAlignment="1" applyProtection="1">
      <alignment vertical="center"/>
      <protection locked="0"/>
    </xf>
    <xf numFmtId="193" fontId="28" fillId="0" borderId="34" xfId="42" applyNumberFormat="1" applyFont="1" applyFill="1" applyBorder="1" applyAlignment="1" applyProtection="1">
      <alignment vertical="center"/>
      <protection locked="0"/>
    </xf>
    <xf numFmtId="200" fontId="28" fillId="0" borderId="11" xfId="0" applyNumberFormat="1" applyFont="1" applyFill="1" applyBorder="1" applyAlignment="1">
      <alignment vertical="center"/>
    </xf>
    <xf numFmtId="193" fontId="28" fillId="0" borderId="11" xfId="0" applyNumberFormat="1" applyFont="1" applyFill="1" applyBorder="1" applyAlignment="1">
      <alignment vertical="center"/>
    </xf>
    <xf numFmtId="200" fontId="28" fillId="0" borderId="13" xfId="42" applyNumberFormat="1" applyFont="1" applyFill="1" applyBorder="1" applyAlignment="1" applyProtection="1">
      <alignment vertical="center"/>
      <protection locked="0"/>
    </xf>
    <xf numFmtId="193" fontId="28" fillId="0" borderId="13" xfId="42" applyNumberFormat="1" applyFont="1" applyFill="1" applyBorder="1" applyAlignment="1" applyProtection="1">
      <alignment vertical="center"/>
      <protection locked="0"/>
    </xf>
    <xf numFmtId="200" fontId="28" fillId="0" borderId="13" xfId="42" applyNumberFormat="1" applyFont="1" applyFill="1" applyBorder="1" applyAlignment="1" applyProtection="1">
      <alignment vertical="center"/>
      <protection/>
    </xf>
    <xf numFmtId="193" fontId="28" fillId="0" borderId="13" xfId="42" applyNumberFormat="1" applyFont="1" applyFill="1" applyBorder="1" applyAlignment="1" applyProtection="1">
      <alignment vertical="center"/>
      <protection/>
    </xf>
    <xf numFmtId="200" fontId="28" fillId="0" borderId="13" xfId="0" applyNumberFormat="1" applyFont="1" applyFill="1" applyBorder="1" applyAlignment="1">
      <alignment vertical="center"/>
    </xf>
    <xf numFmtId="193" fontId="28" fillId="0" borderId="13" xfId="0" applyNumberFormat="1" applyFont="1" applyFill="1" applyBorder="1" applyAlignment="1">
      <alignment vertical="center"/>
    </xf>
    <xf numFmtId="200" fontId="52" fillId="0" borderId="13" xfId="0" applyNumberFormat="1" applyFont="1" applyFill="1" applyBorder="1" applyAlignment="1">
      <alignment horizontal="right" vertical="center"/>
    </xf>
    <xf numFmtId="193" fontId="52" fillId="0" borderId="13" xfId="0" applyNumberFormat="1" applyFont="1" applyFill="1" applyBorder="1" applyAlignment="1">
      <alignment horizontal="right" vertical="center"/>
    </xf>
    <xf numFmtId="200" fontId="52" fillId="0" borderId="13" xfId="42" applyNumberFormat="1" applyFont="1" applyFill="1" applyBorder="1" applyAlignment="1" applyProtection="1">
      <alignment horizontal="right" vertical="center"/>
      <protection/>
    </xf>
    <xf numFmtId="193" fontId="52" fillId="0" borderId="13" xfId="42" applyNumberFormat="1" applyFont="1" applyFill="1" applyBorder="1" applyAlignment="1" applyProtection="1">
      <alignment horizontal="right" vertical="center"/>
      <protection/>
    </xf>
    <xf numFmtId="193" fontId="28" fillId="0" borderId="13" xfId="42" applyNumberFormat="1" applyFont="1" applyFill="1" applyBorder="1" applyAlignment="1" applyProtection="1">
      <alignment vertical="center"/>
      <protection locked="0"/>
    </xf>
    <xf numFmtId="200" fontId="28" fillId="0" borderId="13" xfId="0" applyNumberFormat="1" applyFont="1" applyFill="1" applyBorder="1" applyAlignment="1" applyProtection="1">
      <alignment vertical="center"/>
      <protection locked="0"/>
    </xf>
    <xf numFmtId="193" fontId="28" fillId="0" borderId="13" xfId="0" applyNumberFormat="1" applyFont="1" applyFill="1" applyBorder="1" applyAlignment="1" applyProtection="1">
      <alignment vertical="center"/>
      <protection locked="0"/>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3" fillId="0" borderId="37" xfId="0" applyFont="1" applyFill="1" applyBorder="1" applyAlignment="1" applyProtection="1">
      <alignment horizontal="center" vertical="center"/>
      <protection locked="0"/>
    </xf>
    <xf numFmtId="0" fontId="11" fillId="0" borderId="13" xfId="0" applyFont="1" applyFill="1" applyBorder="1" applyAlignment="1">
      <alignment horizontal="center" vertical="center" wrapText="1"/>
    </xf>
    <xf numFmtId="200" fontId="28" fillId="0" borderId="13" xfId="0" applyNumberFormat="1" applyFont="1" applyFill="1" applyBorder="1" applyAlignment="1">
      <alignment vertical="center" wrapText="1"/>
    </xf>
    <xf numFmtId="193" fontId="28" fillId="0" borderId="13" xfId="0" applyNumberFormat="1" applyFont="1" applyFill="1" applyBorder="1" applyAlignment="1">
      <alignment vertical="center" wrapText="1"/>
    </xf>
    <xf numFmtId="193" fontId="11" fillId="0" borderId="13" xfId="0" applyNumberFormat="1" applyFont="1" applyFill="1" applyBorder="1" applyAlignment="1">
      <alignment vertical="center" wrapText="1"/>
    </xf>
    <xf numFmtId="192" fontId="11" fillId="0" borderId="13" xfId="0" applyNumberFormat="1" applyFont="1" applyFill="1" applyBorder="1" applyAlignment="1">
      <alignment vertical="center" wrapText="1"/>
    </xf>
    <xf numFmtId="200" fontId="11" fillId="0" borderId="13" xfId="0" applyNumberFormat="1" applyFont="1" applyFill="1" applyBorder="1" applyAlignment="1">
      <alignment vertical="center" wrapText="1"/>
    </xf>
    <xf numFmtId="192" fontId="11" fillId="0" borderId="21" xfId="0" applyNumberFormat="1" applyFont="1" applyFill="1" applyBorder="1" applyAlignment="1">
      <alignment vertical="center" wrapText="1"/>
    </xf>
    <xf numFmtId="0" fontId="26" fillId="0" borderId="0" xfId="0" applyFont="1" applyFill="1" applyBorder="1" applyAlignment="1">
      <alignment/>
    </xf>
    <xf numFmtId="0" fontId="13" fillId="0" borderId="37" xfId="0" applyFont="1" applyFill="1" applyBorder="1" applyAlignment="1" applyProtection="1">
      <alignment horizontal="right" vertical="center"/>
      <protection locked="0"/>
    </xf>
    <xf numFmtId="0" fontId="13" fillId="0" borderId="37" xfId="0" applyNumberFormat="1" applyFont="1" applyFill="1" applyBorder="1" applyAlignment="1" applyProtection="1">
      <alignment horizontal="right" vertical="center"/>
      <protection locked="0"/>
    </xf>
    <xf numFmtId="0" fontId="13" fillId="0" borderId="37" xfId="0" applyFont="1" applyFill="1" applyBorder="1" applyAlignment="1" applyProtection="1">
      <alignment vertical="center"/>
      <protection locked="0"/>
    </xf>
    <xf numFmtId="0" fontId="13" fillId="0" borderId="37" xfId="0" applyNumberFormat="1" applyFont="1" applyFill="1" applyBorder="1" applyAlignment="1" applyProtection="1">
      <alignment vertical="center"/>
      <protection locked="0"/>
    </xf>
    <xf numFmtId="0" fontId="11" fillId="0" borderId="24" xfId="0" applyFont="1" applyFill="1" applyBorder="1" applyAlignment="1">
      <alignment horizontal="left" vertical="center"/>
    </xf>
    <xf numFmtId="0" fontId="11" fillId="0" borderId="24" xfId="0" applyFont="1" applyFill="1" applyBorder="1" applyAlignment="1">
      <alignment horizontal="center" vertical="center"/>
    </xf>
    <xf numFmtId="193" fontId="28" fillId="0" borderId="24" xfId="0" applyNumberFormat="1" applyFont="1" applyFill="1" applyBorder="1" applyAlignment="1">
      <alignment vertical="center"/>
    </xf>
    <xf numFmtId="184" fontId="11" fillId="0" borderId="38" xfId="0" applyNumberFormat="1" applyFont="1" applyFill="1" applyBorder="1" applyAlignment="1" applyProtection="1">
      <alignment horizontal="center" vertical="center"/>
      <protection locked="0"/>
    </xf>
    <xf numFmtId="0" fontId="11" fillId="0" borderId="38" xfId="0" applyFont="1" applyFill="1" applyBorder="1" applyAlignment="1">
      <alignment horizontal="left" vertical="center"/>
    </xf>
    <xf numFmtId="0" fontId="11" fillId="0" borderId="38" xfId="0" applyFont="1" applyFill="1" applyBorder="1" applyAlignment="1">
      <alignment horizontal="center" vertical="center"/>
    </xf>
    <xf numFmtId="193" fontId="28" fillId="0" borderId="38" xfId="0" applyNumberFormat="1" applyFont="1" applyFill="1" applyBorder="1" applyAlignment="1">
      <alignment vertical="center"/>
    </xf>
    <xf numFmtId="184" fontId="11" fillId="0" borderId="11" xfId="0" applyNumberFormat="1" applyFont="1" applyFill="1" applyBorder="1" applyAlignment="1" applyProtection="1">
      <alignment horizontal="center" vertical="center"/>
      <protection locked="0"/>
    </xf>
    <xf numFmtId="0" fontId="11" fillId="0" borderId="11" xfId="0" applyFont="1" applyFill="1" applyBorder="1" applyAlignment="1">
      <alignment horizontal="left" vertical="center"/>
    </xf>
    <xf numFmtId="0" fontId="11" fillId="0" borderId="13" xfId="0" applyFont="1" applyFill="1" applyBorder="1" applyAlignment="1">
      <alignment horizontal="left" vertical="top"/>
    </xf>
    <xf numFmtId="184" fontId="11" fillId="0" borderId="13" xfId="0" applyNumberFormat="1" applyFont="1" applyFill="1" applyBorder="1" applyAlignment="1">
      <alignment horizontal="center" vertical="top"/>
    </xf>
    <xf numFmtId="0" fontId="13" fillId="0" borderId="37" xfId="0" applyFont="1" applyFill="1" applyBorder="1" applyAlignment="1" applyProtection="1">
      <alignment horizontal="left" vertical="center"/>
      <protection locked="0"/>
    </xf>
    <xf numFmtId="200" fontId="28" fillId="0" borderId="13" xfId="0" applyNumberFormat="1" applyFont="1" applyFill="1" applyBorder="1" applyAlignment="1" applyProtection="1">
      <alignment horizontal="right" vertical="center"/>
      <protection locked="0"/>
    </xf>
    <xf numFmtId="193" fontId="28" fillId="0" borderId="13" xfId="0" applyNumberFormat="1" applyFont="1" applyFill="1" applyBorder="1" applyAlignment="1" applyProtection="1">
      <alignment horizontal="right" vertical="center"/>
      <protection locked="0"/>
    </xf>
    <xf numFmtId="200" fontId="11" fillId="0" borderId="13" xfId="0" applyNumberFormat="1" applyFont="1" applyFill="1" applyBorder="1" applyAlignment="1" applyProtection="1">
      <alignment horizontal="right" vertical="center"/>
      <protection locked="0"/>
    </xf>
    <xf numFmtId="193" fontId="11" fillId="0" borderId="13" xfId="0" applyNumberFormat="1" applyFont="1" applyFill="1" applyBorder="1" applyAlignment="1" applyProtection="1">
      <alignment horizontal="right" vertical="center"/>
      <protection locked="0"/>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28" fillId="0" borderId="39" xfId="0" applyFont="1" applyBorder="1" applyAlignment="1" applyProtection="1">
      <alignment vertical="center"/>
      <protection locked="0"/>
    </xf>
    <xf numFmtId="0" fontId="19" fillId="0" borderId="30" xfId="0" applyFont="1" applyFill="1" applyBorder="1" applyAlignment="1">
      <alignment horizontal="right" vertical="center"/>
    </xf>
    <xf numFmtId="193" fontId="11" fillId="0" borderId="38" xfId="0" applyNumberFormat="1" applyFont="1" applyFill="1" applyBorder="1" applyAlignment="1">
      <alignmen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200" fontId="11" fillId="0" borderId="38" xfId="0" applyNumberFormat="1" applyFont="1" applyFill="1" applyBorder="1" applyAlignment="1">
      <alignment horizontal="right" vertical="center"/>
    </xf>
    <xf numFmtId="192" fontId="11" fillId="0" borderId="38" xfId="0" applyNumberFormat="1" applyFont="1" applyFill="1" applyBorder="1" applyAlignment="1">
      <alignment horizontal="right" vertical="center"/>
    </xf>
    <xf numFmtId="192" fontId="11" fillId="0" borderId="40" xfId="0" applyNumberFormat="1" applyFont="1" applyFill="1" applyBorder="1" applyAlignment="1">
      <alignment horizontal="right" vertical="center"/>
    </xf>
    <xf numFmtId="192" fontId="11" fillId="0" borderId="12" xfId="0" applyNumberFormat="1" applyFont="1" applyFill="1" applyBorder="1" applyAlignment="1">
      <alignment horizontal="right" vertical="center"/>
    </xf>
    <xf numFmtId="200" fontId="28" fillId="0" borderId="11"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41" xfId="0" applyFont="1" applyFill="1" applyBorder="1" applyAlignment="1">
      <alignment vertical="center"/>
    </xf>
    <xf numFmtId="0" fontId="11" fillId="0" borderId="32" xfId="0" applyFont="1" applyFill="1" applyBorder="1" applyAlignment="1">
      <alignment vertical="center"/>
    </xf>
    <xf numFmtId="0" fontId="28" fillId="0" borderId="0" xfId="0" applyFont="1" applyFill="1" applyAlignment="1">
      <alignment horizontal="center"/>
    </xf>
    <xf numFmtId="193" fontId="11" fillId="0" borderId="24" xfId="0" applyNumberFormat="1" applyFont="1" applyFill="1" applyBorder="1" applyAlignment="1">
      <alignment vertical="center"/>
    </xf>
    <xf numFmtId="0" fontId="53" fillId="0" borderId="0" xfId="0" applyFont="1" applyFill="1" applyBorder="1" applyAlignment="1" applyProtection="1">
      <alignment horizontal="center" vertical="center" wrapText="1"/>
      <protection locked="0"/>
    </xf>
    <xf numFmtId="200" fontId="28" fillId="0" borderId="13" xfId="44" applyNumberFormat="1" applyFont="1" applyFill="1" applyBorder="1" applyAlignment="1" applyProtection="1">
      <alignment vertical="center"/>
      <protection locked="0"/>
    </xf>
    <xf numFmtId="193" fontId="28"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xf>
    <xf numFmtId="192" fontId="11" fillId="0" borderId="13" xfId="44" applyNumberFormat="1" applyFont="1" applyFill="1" applyBorder="1" applyAlignment="1" applyProtection="1">
      <alignment vertical="center"/>
      <protection/>
    </xf>
    <xf numFmtId="200" fontId="11" fillId="0" borderId="13" xfId="44" applyNumberFormat="1" applyFont="1" applyFill="1" applyBorder="1" applyAlignment="1" applyProtection="1">
      <alignment vertical="center"/>
      <protection locked="0"/>
    </xf>
    <xf numFmtId="193" fontId="11" fillId="0" borderId="13" xfId="44" applyNumberFormat="1" applyFont="1" applyFill="1" applyBorder="1" applyAlignment="1" applyProtection="1">
      <alignment vertical="center"/>
      <protection locked="0"/>
    </xf>
    <xf numFmtId="49" fontId="11" fillId="0" borderId="13" xfId="0" applyNumberFormat="1" applyFont="1" applyFill="1" applyBorder="1" applyAlignment="1" applyProtection="1">
      <alignment horizontal="center" vertical="center"/>
      <protection locked="0"/>
    </xf>
    <xf numFmtId="0" fontId="11" fillId="0" borderId="23" xfId="0" applyFont="1" applyFill="1" applyBorder="1" applyAlignment="1">
      <alignment horizontal="left" vertical="center"/>
    </xf>
    <xf numFmtId="200" fontId="28" fillId="0" borderId="24" xfId="0" applyNumberFormat="1" applyFont="1" applyFill="1" applyBorder="1" applyAlignment="1">
      <alignment vertical="center"/>
    </xf>
    <xf numFmtId="192" fontId="11" fillId="0" borderId="24" xfId="0" applyNumberFormat="1" applyFont="1" applyFill="1" applyBorder="1" applyAlignment="1">
      <alignment vertical="center"/>
    </xf>
    <xf numFmtId="200" fontId="11" fillId="0" borderId="24" xfId="0" applyNumberFormat="1" applyFont="1" applyFill="1" applyBorder="1" applyAlignment="1">
      <alignment vertical="center"/>
    </xf>
    <xf numFmtId="192" fontId="11" fillId="0" borderId="25" xfId="0" applyNumberFormat="1" applyFont="1" applyFill="1" applyBorder="1" applyAlignment="1">
      <alignment vertical="center"/>
    </xf>
    <xf numFmtId="192" fontId="11" fillId="0" borderId="21" xfId="44" applyNumberFormat="1" applyFont="1" applyFill="1" applyBorder="1" applyAlignment="1" applyProtection="1">
      <alignment vertical="center"/>
      <protection/>
    </xf>
    <xf numFmtId="200" fontId="28" fillId="0" borderId="38" xfId="0" applyNumberFormat="1" applyFont="1" applyFill="1" applyBorder="1" applyAlignment="1">
      <alignment vertical="center"/>
    </xf>
    <xf numFmtId="192" fontId="11" fillId="0" borderId="38" xfId="0" applyNumberFormat="1" applyFont="1" applyFill="1" applyBorder="1" applyAlignment="1">
      <alignment vertical="center"/>
    </xf>
    <xf numFmtId="200" fontId="11" fillId="0" borderId="38" xfId="0" applyNumberFormat="1" applyFont="1" applyFill="1" applyBorder="1" applyAlignment="1">
      <alignment vertical="center"/>
    </xf>
    <xf numFmtId="192" fontId="11" fillId="0" borderId="40" xfId="0" applyNumberFormat="1" applyFont="1" applyFill="1" applyBorder="1" applyAlignment="1">
      <alignment vertical="center"/>
    </xf>
    <xf numFmtId="0" fontId="11" fillId="0" borderId="41" xfId="0" applyFont="1" applyFill="1" applyBorder="1" applyAlignment="1">
      <alignment horizontal="left" vertical="center"/>
    </xf>
    <xf numFmtId="0" fontId="11" fillId="0" borderId="37" xfId="0" applyFont="1" applyBorder="1" applyAlignment="1" applyProtection="1">
      <alignment horizontal="center" vertical="center"/>
      <protection locked="0"/>
    </xf>
    <xf numFmtId="0" fontId="45" fillId="33" borderId="30" xfId="0" applyFont="1" applyFill="1" applyBorder="1" applyAlignment="1" applyProtection="1">
      <alignment horizontal="center" vertical="center"/>
      <protection/>
    </xf>
    <xf numFmtId="0" fontId="46" fillId="0" borderId="30" xfId="0" applyFont="1" applyBorder="1" applyAlignment="1">
      <alignment/>
    </xf>
    <xf numFmtId="181" fontId="22" fillId="0" borderId="42" xfId="0" applyNumberFormat="1" applyFont="1" applyFill="1" applyBorder="1" applyAlignment="1" applyProtection="1">
      <alignment horizontal="center" vertical="center" wrapText="1"/>
      <protection/>
    </xf>
    <xf numFmtId="0" fontId="0" fillId="0" borderId="43" xfId="0" applyBorder="1" applyAlignment="1">
      <alignment/>
    </xf>
    <xf numFmtId="0" fontId="0" fillId="0" borderId="44" xfId="0" applyBorder="1" applyAlignment="1">
      <alignment/>
    </xf>
    <xf numFmtId="0" fontId="22" fillId="0" borderId="45" xfId="0" applyNumberFormat="1" applyFont="1" applyFill="1" applyBorder="1" applyAlignment="1" applyProtection="1">
      <alignment horizontal="center" vertical="center" wrapText="1"/>
      <protection/>
    </xf>
    <xf numFmtId="0" fontId="0" fillId="0" borderId="46" xfId="0" applyBorder="1" applyAlignment="1">
      <alignment/>
    </xf>
    <xf numFmtId="171" fontId="22" fillId="0" borderId="45" xfId="42" applyFont="1" applyFill="1" applyBorder="1" applyAlignment="1" applyProtection="1">
      <alignment horizontal="center" vertical="center" wrapText="1"/>
      <protection/>
    </xf>
    <xf numFmtId="0" fontId="22" fillId="0" borderId="45" xfId="0"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3" xfId="0" applyNumberFormat="1" applyFont="1" applyFill="1" applyBorder="1" applyAlignment="1" applyProtection="1">
      <alignment horizontal="center" vertical="center" wrapText="1"/>
      <protection/>
    </xf>
    <xf numFmtId="4" fontId="22" fillId="0" borderId="47" xfId="0" applyNumberFormat="1" applyFont="1" applyFill="1" applyBorder="1" applyAlignment="1" applyProtection="1">
      <alignment horizontal="center" vertical="center" wrapText="1"/>
      <protection/>
    </xf>
    <xf numFmtId="184" fontId="22" fillId="0" borderId="45"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48" xfId="0" applyFont="1" applyFill="1" applyBorder="1" applyAlignment="1">
      <alignment horizontal="right" vertical="center"/>
    </xf>
    <xf numFmtId="0" fontId="0" fillId="0" borderId="49"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7" fillId="34" borderId="30" xfId="0"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0" fontId="22" fillId="0" borderId="51"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52" xfId="0" applyNumberFormat="1" applyFont="1" applyFill="1" applyBorder="1" applyAlignment="1">
      <alignment horizontal="center" vertical="center" wrapText="1"/>
    </xf>
    <xf numFmtId="0" fontId="22" fillId="0" borderId="52"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0" fontId="22" fillId="0" borderId="47" xfId="0" applyNumberFormat="1" applyFont="1" applyFill="1" applyBorder="1" applyAlignment="1" applyProtection="1">
      <alignment horizontal="center" vertical="center" wrapText="1"/>
      <protection/>
    </xf>
    <xf numFmtId="192" fontId="22" fillId="0" borderId="53" xfId="0" applyNumberFormat="1" applyFont="1" applyFill="1" applyBorder="1" applyAlignment="1" applyProtection="1">
      <alignment horizontal="center" vertical="center" wrapText="1"/>
      <protection/>
    </xf>
    <xf numFmtId="192" fontId="22" fillId="0" borderId="54"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55"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45" xfId="0" applyNumberFormat="1" applyFont="1" applyFill="1" applyBorder="1" applyAlignment="1" applyProtection="1">
      <alignment horizontal="center" vertical="center" wrapText="1"/>
      <protection/>
    </xf>
    <xf numFmtId="0" fontId="9" fillId="0" borderId="46" xfId="0" applyFont="1" applyBorder="1" applyAlignment="1">
      <alignment horizontal="center" vertical="center" wrapText="1"/>
    </xf>
    <xf numFmtId="2" fontId="35" fillId="0" borderId="55" xfId="0" applyNumberFormat="1" applyFont="1" applyFill="1" applyBorder="1" applyAlignment="1" applyProtection="1">
      <alignment horizontal="center" vertical="center" wrapText="1"/>
      <protection/>
    </xf>
    <xf numFmtId="2" fontId="35" fillId="0" borderId="56" xfId="0" applyNumberFormat="1" applyFont="1" applyFill="1" applyBorder="1" applyAlignment="1" applyProtection="1">
      <alignment horizontal="center" vertical="center" wrapText="1"/>
      <protection/>
    </xf>
    <xf numFmtId="0" fontId="35" fillId="0" borderId="55" xfId="0" applyFont="1" applyFill="1" applyBorder="1" applyAlignment="1" applyProtection="1">
      <alignment horizontal="center" vertical="center" wrapText="1"/>
      <protection/>
    </xf>
    <xf numFmtId="2" fontId="49" fillId="34" borderId="30" xfId="0" applyNumberFormat="1" applyFont="1" applyFill="1" applyBorder="1" applyAlignment="1">
      <alignment horizontal="center" vertical="center" wrapText="1"/>
    </xf>
    <xf numFmtId="2" fontId="41" fillId="34" borderId="30" xfId="0" applyNumberFormat="1" applyFont="1" applyFill="1" applyBorder="1" applyAlignment="1">
      <alignment vertical="center" wrapText="1"/>
    </xf>
    <xf numFmtId="2" fontId="9" fillId="34" borderId="30"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57" xfId="42" applyFont="1" applyFill="1" applyBorder="1" applyAlignment="1" applyProtection="1">
      <alignment horizontal="center" vertical="center" wrapText="1"/>
      <protection/>
    </xf>
    <xf numFmtId="0" fontId="9" fillId="0" borderId="58" xfId="0" applyFont="1" applyBorder="1" applyAlignment="1">
      <alignment horizontal="center" vertical="center"/>
    </xf>
    <xf numFmtId="184" fontId="35" fillId="0" borderId="55"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9"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9"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373100"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439400" y="333375"/>
          <a:ext cx="2857500" cy="733425"/>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 24
</a:t>
          </a:r>
          <a:r>
            <a:rPr lang="en-US" cap="none" sz="2000" b="0" i="0" u="none" baseline="0">
              <a:solidFill>
                <a:srgbClr val="000000"/>
              </a:solidFill>
              <a:latin typeface="Impact"/>
              <a:ea typeface="Impact"/>
              <a:cs typeface="Impact"/>
            </a:rPr>
            <a:t>12-18 JUN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1505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24"/>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T2" sqref="T2"/>
    </sheetView>
  </sheetViews>
  <sheetFormatPr defaultColWidth="9.140625" defaultRowHeight="12.75"/>
  <cols>
    <col min="1" max="1" width="3.57421875" style="26" bestFit="1" customWidth="1"/>
    <col min="2" max="2" width="45.57421875" style="4" bestFit="1" customWidth="1"/>
    <col min="3" max="3" width="9.8515625" style="12" bestFit="1" customWidth="1"/>
    <col min="4" max="4" width="17.8515625" style="15" bestFit="1" customWidth="1"/>
    <col min="5" max="5" width="22.140625" style="15" customWidth="1"/>
    <col min="6" max="6" width="6.140625" style="6" bestFit="1" customWidth="1"/>
    <col min="7" max="7" width="8.57421875" style="6" bestFit="1" customWidth="1"/>
    <col min="8" max="8" width="10.28125" style="6" customWidth="1"/>
    <col min="9" max="9" width="14.7109375" style="70" bestFit="1" customWidth="1"/>
    <col min="10" max="10" width="9.57421875" style="116" bestFit="1" customWidth="1"/>
    <col min="11" max="11" width="10.140625" style="116" customWidth="1"/>
    <col min="12" max="12" width="7.28125" style="22" customWidth="1"/>
    <col min="13" max="13" width="16.140625" style="74" customWidth="1"/>
    <col min="14" max="14" width="11.57421875" style="79" customWidth="1"/>
    <col min="15" max="15" width="7.28125" style="22" customWidth="1"/>
    <col min="16" max="16" width="2.140625" style="319" customWidth="1"/>
    <col min="17" max="16384" width="9.140625" style="4" customWidth="1"/>
  </cols>
  <sheetData>
    <row r="1" spans="1:16" s="2" customFormat="1" ht="90.75" customHeight="1">
      <c r="A1" s="25"/>
      <c r="B1" s="1"/>
      <c r="C1" s="10"/>
      <c r="D1" s="13"/>
      <c r="E1" s="13"/>
      <c r="F1" s="5"/>
      <c r="G1" s="5"/>
      <c r="H1" s="5"/>
      <c r="I1" s="67"/>
      <c r="J1" s="112"/>
      <c r="K1" s="112"/>
      <c r="L1" s="20"/>
      <c r="M1" s="72"/>
      <c r="N1" s="77"/>
      <c r="O1" s="20"/>
      <c r="P1" s="319"/>
    </row>
    <row r="2" spans="1:16" s="9" customFormat="1" ht="27.75" thickBot="1">
      <c r="A2" s="388" t="s">
        <v>125</v>
      </c>
      <c r="B2" s="389"/>
      <c r="C2" s="389"/>
      <c r="D2" s="389"/>
      <c r="E2" s="389"/>
      <c r="F2" s="389"/>
      <c r="G2" s="389"/>
      <c r="H2" s="389"/>
      <c r="I2" s="389"/>
      <c r="J2" s="389"/>
      <c r="K2" s="389"/>
      <c r="L2" s="389"/>
      <c r="M2" s="389"/>
      <c r="N2" s="389"/>
      <c r="O2" s="389"/>
      <c r="P2" s="319"/>
    </row>
    <row r="3" spans="1:16" s="91" customFormat="1" ht="16.5">
      <c r="A3" s="28"/>
      <c r="B3" s="395" t="s">
        <v>3</v>
      </c>
      <c r="C3" s="400" t="s">
        <v>113</v>
      </c>
      <c r="D3" s="396" t="s">
        <v>129</v>
      </c>
      <c r="E3" s="396" t="s">
        <v>128</v>
      </c>
      <c r="F3" s="393" t="s">
        <v>114</v>
      </c>
      <c r="G3" s="393" t="s">
        <v>121</v>
      </c>
      <c r="H3" s="393" t="s">
        <v>123</v>
      </c>
      <c r="I3" s="397" t="s">
        <v>115</v>
      </c>
      <c r="J3" s="398"/>
      <c r="K3" s="398"/>
      <c r="L3" s="399"/>
      <c r="M3" s="390" t="s">
        <v>116</v>
      </c>
      <c r="N3" s="391"/>
      <c r="O3" s="392"/>
      <c r="P3" s="320"/>
    </row>
    <row r="4" spans="1:16" s="91" customFormat="1" ht="48" customHeight="1" thickBot="1">
      <c r="A4" s="84"/>
      <c r="B4" s="394"/>
      <c r="C4" s="394"/>
      <c r="D4" s="394"/>
      <c r="E4" s="394"/>
      <c r="F4" s="394"/>
      <c r="G4" s="394"/>
      <c r="H4" s="394"/>
      <c r="I4" s="118" t="s">
        <v>117</v>
      </c>
      <c r="J4" s="92" t="s">
        <v>118</v>
      </c>
      <c r="K4" s="92" t="s">
        <v>101</v>
      </c>
      <c r="L4" s="51" t="s">
        <v>119</v>
      </c>
      <c r="M4" s="118" t="s">
        <v>117</v>
      </c>
      <c r="N4" s="92" t="s">
        <v>118</v>
      </c>
      <c r="O4" s="52" t="s">
        <v>120</v>
      </c>
      <c r="P4" s="320"/>
    </row>
    <row r="5" spans="1:16" s="3" customFormat="1" ht="15">
      <c r="A5" s="63">
        <v>1</v>
      </c>
      <c r="B5" s="376" t="s">
        <v>401</v>
      </c>
      <c r="C5" s="163">
        <v>39969</v>
      </c>
      <c r="D5" s="334" t="s">
        <v>130</v>
      </c>
      <c r="E5" s="334" t="s">
        <v>63</v>
      </c>
      <c r="F5" s="335">
        <v>152</v>
      </c>
      <c r="G5" s="335">
        <v>210</v>
      </c>
      <c r="H5" s="335">
        <v>2</v>
      </c>
      <c r="I5" s="379">
        <f>5475+546222</f>
        <v>551697</v>
      </c>
      <c r="J5" s="367">
        <f>1000+63282</f>
        <v>64282</v>
      </c>
      <c r="K5" s="367">
        <f>J5/G5</f>
        <v>306.1047619047619</v>
      </c>
      <c r="L5" s="378">
        <f aca="true" t="shared" si="0" ref="L5:L36">I5/J5</f>
        <v>8.582449208176472</v>
      </c>
      <c r="M5" s="379">
        <f>1241132+551697</f>
        <v>1792829</v>
      </c>
      <c r="N5" s="367">
        <f>139003+64282</f>
        <v>203285</v>
      </c>
      <c r="O5" s="380">
        <f>+M5/N5</f>
        <v>8.819288191455346</v>
      </c>
      <c r="P5" s="321"/>
    </row>
    <row r="6" spans="1:16" s="3" customFormat="1" ht="15">
      <c r="A6" s="63">
        <v>2</v>
      </c>
      <c r="B6" s="49" t="s">
        <v>365</v>
      </c>
      <c r="C6" s="39">
        <v>39948</v>
      </c>
      <c r="D6" s="44" t="s">
        <v>130</v>
      </c>
      <c r="E6" s="44" t="s">
        <v>63</v>
      </c>
      <c r="F6" s="41">
        <v>187</v>
      </c>
      <c r="G6" s="41">
        <v>177</v>
      </c>
      <c r="H6" s="41">
        <v>5</v>
      </c>
      <c r="I6" s="154">
        <f>917+406454</f>
        <v>407371</v>
      </c>
      <c r="J6" s="155">
        <f>107+53439</f>
        <v>53546</v>
      </c>
      <c r="K6" s="155">
        <f>J6/G6</f>
        <v>302.51977401129943</v>
      </c>
      <c r="L6" s="156">
        <f t="shared" si="0"/>
        <v>7.60786986889777</v>
      </c>
      <c r="M6" s="154">
        <f>2480079+1178811+790016+613909+407371</f>
        <v>5470186</v>
      </c>
      <c r="N6" s="155">
        <f>274361+131824+92845+76370+53546</f>
        <v>628946</v>
      </c>
      <c r="O6" s="103">
        <f>+M6/N6</f>
        <v>8.697385785107148</v>
      </c>
      <c r="P6" s="321"/>
    </row>
    <row r="7" spans="1:16" s="3" customFormat="1" ht="15.75" thickBot="1">
      <c r="A7" s="353">
        <v>3</v>
      </c>
      <c r="B7" s="386" t="s">
        <v>416</v>
      </c>
      <c r="C7" s="337">
        <v>39976</v>
      </c>
      <c r="D7" s="338" t="s">
        <v>130</v>
      </c>
      <c r="E7" s="338" t="s">
        <v>35</v>
      </c>
      <c r="F7" s="339">
        <v>95</v>
      </c>
      <c r="G7" s="339">
        <v>96</v>
      </c>
      <c r="H7" s="339">
        <v>1</v>
      </c>
      <c r="I7" s="384">
        <v>325457</v>
      </c>
      <c r="J7" s="355">
        <v>39321</v>
      </c>
      <c r="K7" s="355">
        <f>J7/G7</f>
        <v>409.59375</v>
      </c>
      <c r="L7" s="383">
        <f t="shared" si="0"/>
        <v>8.27692581572188</v>
      </c>
      <c r="M7" s="384">
        <v>325457</v>
      </c>
      <c r="N7" s="355">
        <v>39321</v>
      </c>
      <c r="O7" s="385">
        <f>+M7/N7</f>
        <v>8.27692581572188</v>
      </c>
      <c r="P7" s="321"/>
    </row>
    <row r="8" spans="1:16" s="3" customFormat="1" ht="15">
      <c r="A8" s="64">
        <v>4</v>
      </c>
      <c r="B8" s="238" t="s">
        <v>7</v>
      </c>
      <c r="C8" s="341">
        <v>39829</v>
      </c>
      <c r="D8" s="342" t="s">
        <v>134</v>
      </c>
      <c r="E8" s="342" t="s">
        <v>341</v>
      </c>
      <c r="F8" s="239">
        <v>80</v>
      </c>
      <c r="G8" s="239">
        <v>80</v>
      </c>
      <c r="H8" s="239">
        <v>1</v>
      </c>
      <c r="I8" s="258">
        <v>191208.5</v>
      </c>
      <c r="J8" s="246">
        <v>23153</v>
      </c>
      <c r="K8" s="246">
        <f>(J8/G8)</f>
        <v>289.4125</v>
      </c>
      <c r="L8" s="259">
        <f t="shared" si="0"/>
        <v>8.258476223383578</v>
      </c>
      <c r="M8" s="258">
        <f>783409.5+672566+392418+168504+54411+64946+58601+64120+20152+13919+28038+18395+13488+12795+8277+3206+3326.5+2899+422+2494+2511+191208.5</f>
        <v>2580106.5</v>
      </c>
      <c r="N8" s="246">
        <f>86363+71043+43171+22546+8141+10573+9585+10952+3417+2596+4707+3339+2364+2380+1458+540+671+701+80+511+492+23153</f>
        <v>308783</v>
      </c>
      <c r="O8" s="260">
        <f>M8/N8</f>
        <v>8.355727161145529</v>
      </c>
      <c r="P8" s="321"/>
    </row>
    <row r="9" spans="1:16" s="7" customFormat="1" ht="15">
      <c r="A9" s="63">
        <v>5</v>
      </c>
      <c r="B9" s="49" t="s">
        <v>381</v>
      </c>
      <c r="C9" s="39">
        <v>39955</v>
      </c>
      <c r="D9" s="44" t="s">
        <v>134</v>
      </c>
      <c r="E9" s="44" t="s">
        <v>133</v>
      </c>
      <c r="F9" s="41">
        <v>88</v>
      </c>
      <c r="G9" s="41">
        <v>80</v>
      </c>
      <c r="H9" s="41">
        <v>4</v>
      </c>
      <c r="I9" s="154">
        <v>129137.25</v>
      </c>
      <c r="J9" s="155">
        <v>17550</v>
      </c>
      <c r="K9" s="155">
        <f>(J9/G9)</f>
        <v>219.375</v>
      </c>
      <c r="L9" s="156">
        <f t="shared" si="0"/>
        <v>7.358247863247863</v>
      </c>
      <c r="M9" s="154">
        <f>253985.25+197941+176827+129137.25</f>
        <v>757890.5</v>
      </c>
      <c r="N9" s="155">
        <f>26929+21325+23241+17550</f>
        <v>89045</v>
      </c>
      <c r="O9" s="103">
        <f>M9/N9</f>
        <v>8.511320119040935</v>
      </c>
      <c r="P9" s="321"/>
    </row>
    <row r="10" spans="1:16" s="7" customFormat="1" ht="15">
      <c r="A10" s="63">
        <v>6</v>
      </c>
      <c r="B10" s="49" t="s">
        <v>427</v>
      </c>
      <c r="C10" s="39">
        <v>39983</v>
      </c>
      <c r="D10" s="44" t="s">
        <v>131</v>
      </c>
      <c r="E10" s="44" t="s">
        <v>127</v>
      </c>
      <c r="F10" s="41">
        <v>21</v>
      </c>
      <c r="G10" s="41">
        <v>21</v>
      </c>
      <c r="H10" s="41">
        <v>1</v>
      </c>
      <c r="I10" s="154">
        <v>109134</v>
      </c>
      <c r="J10" s="155">
        <v>9645</v>
      </c>
      <c r="K10" s="155">
        <f>J10/G10</f>
        <v>459.2857142857143</v>
      </c>
      <c r="L10" s="156">
        <f t="shared" si="0"/>
        <v>11.315085536547434</v>
      </c>
      <c r="M10" s="154">
        <v>109134</v>
      </c>
      <c r="N10" s="155">
        <v>9645</v>
      </c>
      <c r="O10" s="103">
        <f>+M10/N10</f>
        <v>11.315085536547434</v>
      </c>
      <c r="P10" s="321"/>
    </row>
    <row r="11" spans="1:16" s="7" customFormat="1" ht="15">
      <c r="A11" s="63">
        <v>7</v>
      </c>
      <c r="B11" s="49" t="s">
        <v>385</v>
      </c>
      <c r="C11" s="39">
        <v>39962</v>
      </c>
      <c r="D11" s="44" t="s">
        <v>131</v>
      </c>
      <c r="E11" s="44" t="s">
        <v>127</v>
      </c>
      <c r="F11" s="41">
        <v>60</v>
      </c>
      <c r="G11" s="41">
        <v>60</v>
      </c>
      <c r="H11" s="41">
        <v>3</v>
      </c>
      <c r="I11" s="154">
        <v>92481</v>
      </c>
      <c r="J11" s="155">
        <v>11092</v>
      </c>
      <c r="K11" s="155">
        <f>J11/G11</f>
        <v>184.86666666666667</v>
      </c>
      <c r="L11" s="156">
        <f t="shared" si="0"/>
        <v>8.337630724846736</v>
      </c>
      <c r="M11" s="154">
        <v>485145</v>
      </c>
      <c r="N11" s="155">
        <v>55266</v>
      </c>
      <c r="O11" s="103">
        <f>+M11/N11</f>
        <v>8.77836282705461</v>
      </c>
      <c r="P11" s="321"/>
    </row>
    <row r="12" spans="1:16" s="7" customFormat="1" ht="15">
      <c r="A12" s="63">
        <v>8</v>
      </c>
      <c r="B12" s="49" t="s">
        <v>387</v>
      </c>
      <c r="C12" s="39">
        <v>39962</v>
      </c>
      <c r="D12" s="44" t="s">
        <v>4</v>
      </c>
      <c r="E12" s="44" t="s">
        <v>388</v>
      </c>
      <c r="F12" s="41">
        <v>72</v>
      </c>
      <c r="G12" s="41">
        <v>69</v>
      </c>
      <c r="H12" s="41">
        <v>3</v>
      </c>
      <c r="I12" s="154">
        <v>50767</v>
      </c>
      <c r="J12" s="155">
        <v>7157</v>
      </c>
      <c r="K12" s="155">
        <f>J12/G12</f>
        <v>103.72463768115942</v>
      </c>
      <c r="L12" s="156">
        <f t="shared" si="0"/>
        <v>7.093335196311304</v>
      </c>
      <c r="M12" s="154">
        <v>230818</v>
      </c>
      <c r="N12" s="155">
        <v>30390</v>
      </c>
      <c r="O12" s="103">
        <f>+M12/N12</f>
        <v>7.595195788088187</v>
      </c>
      <c r="P12" s="321"/>
    </row>
    <row r="13" spans="1:16" s="7" customFormat="1" ht="15">
      <c r="A13" s="63">
        <v>9</v>
      </c>
      <c r="B13" s="49" t="s">
        <v>421</v>
      </c>
      <c r="C13" s="39">
        <v>39976</v>
      </c>
      <c r="D13" s="44" t="s">
        <v>4</v>
      </c>
      <c r="E13" s="44" t="s">
        <v>422</v>
      </c>
      <c r="F13" s="41">
        <v>4</v>
      </c>
      <c r="G13" s="41">
        <v>4</v>
      </c>
      <c r="H13" s="41">
        <v>1</v>
      </c>
      <c r="I13" s="154">
        <v>49911</v>
      </c>
      <c r="J13" s="155">
        <v>3954</v>
      </c>
      <c r="K13" s="155">
        <f>J13/G13</f>
        <v>988.5</v>
      </c>
      <c r="L13" s="156">
        <f t="shared" si="0"/>
        <v>12.622913505311077</v>
      </c>
      <c r="M13" s="154">
        <v>49911</v>
      </c>
      <c r="N13" s="155">
        <v>3954</v>
      </c>
      <c r="O13" s="103">
        <f>+M13/N13</f>
        <v>12.622913505311077</v>
      </c>
      <c r="P13" s="321"/>
    </row>
    <row r="14" spans="1:16" s="7" customFormat="1" ht="15">
      <c r="A14" s="63">
        <v>10</v>
      </c>
      <c r="B14" s="49" t="s">
        <v>417</v>
      </c>
      <c r="C14" s="39">
        <v>39976</v>
      </c>
      <c r="D14" s="44" t="s">
        <v>136</v>
      </c>
      <c r="E14" s="44" t="s">
        <v>390</v>
      </c>
      <c r="F14" s="41">
        <v>20</v>
      </c>
      <c r="G14" s="41">
        <v>20</v>
      </c>
      <c r="H14" s="41">
        <v>1</v>
      </c>
      <c r="I14" s="154">
        <v>42617.25</v>
      </c>
      <c r="J14" s="155">
        <v>3838</v>
      </c>
      <c r="K14" s="155">
        <f>J14/G14</f>
        <v>191.9</v>
      </c>
      <c r="L14" s="156">
        <f t="shared" si="0"/>
        <v>11.104025534132361</v>
      </c>
      <c r="M14" s="154">
        <v>42617.25</v>
      </c>
      <c r="N14" s="155">
        <v>3838</v>
      </c>
      <c r="O14" s="103">
        <f>+M14/N14</f>
        <v>11.104025534132361</v>
      </c>
      <c r="P14" s="321"/>
    </row>
    <row r="15" spans="1:16" s="7" customFormat="1" ht="15">
      <c r="A15" s="63">
        <v>11</v>
      </c>
      <c r="B15" s="49" t="s">
        <v>382</v>
      </c>
      <c r="C15" s="39">
        <v>39955</v>
      </c>
      <c r="D15" s="44" t="s">
        <v>134</v>
      </c>
      <c r="E15" s="44" t="s">
        <v>35</v>
      </c>
      <c r="F15" s="41">
        <v>49</v>
      </c>
      <c r="G15" s="41">
        <v>44</v>
      </c>
      <c r="H15" s="41">
        <v>4</v>
      </c>
      <c r="I15" s="154">
        <v>38530</v>
      </c>
      <c r="J15" s="155">
        <v>6566</v>
      </c>
      <c r="K15" s="155">
        <f>(J15/G15)</f>
        <v>149.22727272727272</v>
      </c>
      <c r="L15" s="156">
        <f t="shared" si="0"/>
        <v>5.868108437404812</v>
      </c>
      <c r="M15" s="154">
        <f>156835.75+123241.75+64169.25+38530</f>
        <v>382776.75</v>
      </c>
      <c r="N15" s="155">
        <f>15124+12366+7559+6566</f>
        <v>41615</v>
      </c>
      <c r="O15" s="103">
        <f>M15/N15</f>
        <v>9.198047578997958</v>
      </c>
      <c r="P15" s="321"/>
    </row>
    <row r="16" spans="1:16" s="7" customFormat="1" ht="15">
      <c r="A16" s="63">
        <v>12</v>
      </c>
      <c r="B16" s="49" t="s">
        <v>368</v>
      </c>
      <c r="C16" s="39">
        <v>39948</v>
      </c>
      <c r="D16" s="44" t="s">
        <v>131</v>
      </c>
      <c r="E16" s="44" t="s">
        <v>43</v>
      </c>
      <c r="F16" s="41">
        <v>46</v>
      </c>
      <c r="G16" s="41">
        <v>24</v>
      </c>
      <c r="H16" s="41">
        <v>5</v>
      </c>
      <c r="I16" s="154">
        <v>33503</v>
      </c>
      <c r="J16" s="155">
        <v>3605</v>
      </c>
      <c r="K16" s="155">
        <f>J16/G16</f>
        <v>150.20833333333334</v>
      </c>
      <c r="L16" s="156">
        <f t="shared" si="0"/>
        <v>9.293481276005547</v>
      </c>
      <c r="M16" s="154">
        <v>470349</v>
      </c>
      <c r="N16" s="155">
        <v>40843</v>
      </c>
      <c r="O16" s="103">
        <f>+M16/N16</f>
        <v>11.516024777807703</v>
      </c>
      <c r="P16" s="321"/>
    </row>
    <row r="17" spans="1:16" s="7" customFormat="1" ht="15">
      <c r="A17" s="63">
        <v>13</v>
      </c>
      <c r="B17" s="49" t="s">
        <v>402</v>
      </c>
      <c r="C17" s="39">
        <v>39969</v>
      </c>
      <c r="D17" s="44" t="s">
        <v>134</v>
      </c>
      <c r="E17" s="44" t="s">
        <v>403</v>
      </c>
      <c r="F17" s="41">
        <v>20</v>
      </c>
      <c r="G17" s="41">
        <v>20</v>
      </c>
      <c r="H17" s="41">
        <v>2</v>
      </c>
      <c r="I17" s="154">
        <v>29583.75</v>
      </c>
      <c r="J17" s="155">
        <v>3045</v>
      </c>
      <c r="K17" s="155">
        <f>(J17/G17)</f>
        <v>152.25</v>
      </c>
      <c r="L17" s="156">
        <f t="shared" si="0"/>
        <v>9.71551724137931</v>
      </c>
      <c r="M17" s="154">
        <f>63821.75+29583.75</f>
        <v>93405.5</v>
      </c>
      <c r="N17" s="155">
        <f>6069+3045</f>
        <v>9114</v>
      </c>
      <c r="O17" s="103">
        <f>M17/N17</f>
        <v>10.248573622997586</v>
      </c>
      <c r="P17" s="321"/>
    </row>
    <row r="18" spans="1:16" s="7" customFormat="1" ht="15">
      <c r="A18" s="63">
        <v>14</v>
      </c>
      <c r="B18" s="49" t="s">
        <v>386</v>
      </c>
      <c r="C18" s="39">
        <v>39962</v>
      </c>
      <c r="D18" s="44" t="s">
        <v>134</v>
      </c>
      <c r="E18" s="44" t="s">
        <v>35</v>
      </c>
      <c r="F18" s="41">
        <v>62</v>
      </c>
      <c r="G18" s="41">
        <v>49</v>
      </c>
      <c r="H18" s="41">
        <v>3</v>
      </c>
      <c r="I18" s="154">
        <v>26863.25</v>
      </c>
      <c r="J18" s="155">
        <v>4099</v>
      </c>
      <c r="K18" s="155">
        <f>(J18/G18)</f>
        <v>83.65306122448979</v>
      </c>
      <c r="L18" s="156">
        <f t="shared" si="0"/>
        <v>6.553610636740668</v>
      </c>
      <c r="M18" s="154">
        <f>119427+69056.25+26863.25</f>
        <v>215346.5</v>
      </c>
      <c r="N18" s="155">
        <f>12586+8062+4099</f>
        <v>24747</v>
      </c>
      <c r="O18" s="103">
        <f>M18/N18</f>
        <v>8.701923465470562</v>
      </c>
      <c r="P18" s="321"/>
    </row>
    <row r="19" spans="1:16" s="7" customFormat="1" ht="15">
      <c r="A19" s="63">
        <v>15</v>
      </c>
      <c r="B19" s="49" t="s">
        <v>366</v>
      </c>
      <c r="C19" s="39">
        <v>39948</v>
      </c>
      <c r="D19" s="44" t="s">
        <v>136</v>
      </c>
      <c r="E19" s="44" t="s">
        <v>367</v>
      </c>
      <c r="F19" s="41">
        <v>151</v>
      </c>
      <c r="G19" s="41">
        <v>57</v>
      </c>
      <c r="H19" s="41">
        <v>5</v>
      </c>
      <c r="I19" s="154">
        <v>25529.25</v>
      </c>
      <c r="J19" s="155">
        <v>4204</v>
      </c>
      <c r="K19" s="155">
        <f>J19/G19</f>
        <v>73.75438596491227</v>
      </c>
      <c r="L19" s="156">
        <f t="shared" si="0"/>
        <v>6.072609419600381</v>
      </c>
      <c r="M19" s="154">
        <f>715771.5+25529.25</f>
        <v>741300.75</v>
      </c>
      <c r="N19" s="155">
        <f>109582+4204</f>
        <v>113786</v>
      </c>
      <c r="O19" s="103">
        <f>+M19/N19</f>
        <v>6.514867822051922</v>
      </c>
      <c r="P19" s="321">
        <v>1</v>
      </c>
    </row>
    <row r="20" spans="1:16" s="7" customFormat="1" ht="15">
      <c r="A20" s="63">
        <v>16</v>
      </c>
      <c r="B20" s="49" t="s">
        <v>369</v>
      </c>
      <c r="C20" s="39">
        <v>39948</v>
      </c>
      <c r="D20" s="44" t="s">
        <v>131</v>
      </c>
      <c r="E20" s="44" t="s">
        <v>111</v>
      </c>
      <c r="F20" s="41">
        <v>33</v>
      </c>
      <c r="G20" s="41">
        <v>30</v>
      </c>
      <c r="H20" s="41">
        <v>5</v>
      </c>
      <c r="I20" s="154">
        <v>21138</v>
      </c>
      <c r="J20" s="155">
        <v>3157</v>
      </c>
      <c r="K20" s="155">
        <f>J20/G20</f>
        <v>105.23333333333333</v>
      </c>
      <c r="L20" s="156">
        <f t="shared" si="0"/>
        <v>6.695597085840988</v>
      </c>
      <c r="M20" s="154">
        <v>285575</v>
      </c>
      <c r="N20" s="155">
        <v>30161</v>
      </c>
      <c r="O20" s="103">
        <f>+M20/N20</f>
        <v>9.468353171313948</v>
      </c>
      <c r="P20" s="321"/>
    </row>
    <row r="21" spans="1:16" s="7" customFormat="1" ht="15">
      <c r="A21" s="63">
        <v>17</v>
      </c>
      <c r="B21" s="49" t="s">
        <v>329</v>
      </c>
      <c r="C21" s="39">
        <v>39934</v>
      </c>
      <c r="D21" s="44" t="s">
        <v>134</v>
      </c>
      <c r="E21" s="44" t="s">
        <v>133</v>
      </c>
      <c r="F21" s="41">
        <v>110</v>
      </c>
      <c r="G21" s="41">
        <v>33</v>
      </c>
      <c r="H21" s="41">
        <v>7</v>
      </c>
      <c r="I21" s="154">
        <v>20758</v>
      </c>
      <c r="J21" s="155">
        <v>4667</v>
      </c>
      <c r="K21" s="155">
        <f>(J21/G21)</f>
        <v>141.42424242424244</v>
      </c>
      <c r="L21" s="156">
        <f t="shared" si="0"/>
        <v>4.447825155346047</v>
      </c>
      <c r="M21" s="154">
        <f>827831.75+302940.25+148808.75+55079+41974+18468.5+20758</f>
        <v>1415860.25</v>
      </c>
      <c r="N21" s="155">
        <f>84699+31917+18690+9450+7367+3640+4667</f>
        <v>160430</v>
      </c>
      <c r="O21" s="103">
        <f>M21/N21</f>
        <v>8.825408277753537</v>
      </c>
      <c r="P21" s="321"/>
    </row>
    <row r="22" spans="1:16" s="7" customFormat="1" ht="15">
      <c r="A22" s="63">
        <v>18</v>
      </c>
      <c r="B22" s="49" t="s">
        <v>404</v>
      </c>
      <c r="C22" s="39">
        <v>39969</v>
      </c>
      <c r="D22" s="44" t="s">
        <v>134</v>
      </c>
      <c r="E22" s="44" t="s">
        <v>106</v>
      </c>
      <c r="F22" s="41">
        <v>15</v>
      </c>
      <c r="G22" s="41">
        <v>15</v>
      </c>
      <c r="H22" s="41">
        <v>2</v>
      </c>
      <c r="I22" s="154">
        <v>18405.5</v>
      </c>
      <c r="J22" s="155">
        <v>1825</v>
      </c>
      <c r="K22" s="155">
        <f>(J22/G22)</f>
        <v>121.66666666666667</v>
      </c>
      <c r="L22" s="156">
        <f t="shared" si="0"/>
        <v>10.085205479452055</v>
      </c>
      <c r="M22" s="154">
        <f>27361.5+18405.5</f>
        <v>45767</v>
      </c>
      <c r="N22" s="155">
        <f>2528+1825</f>
        <v>4353</v>
      </c>
      <c r="O22" s="103">
        <f>M22/N22</f>
        <v>10.51389846083161</v>
      </c>
      <c r="P22" s="321"/>
    </row>
    <row r="23" spans="1:16" s="7" customFormat="1" ht="15">
      <c r="A23" s="63">
        <v>19</v>
      </c>
      <c r="B23" s="49" t="s">
        <v>351</v>
      </c>
      <c r="C23" s="39">
        <v>39941</v>
      </c>
      <c r="D23" s="44" t="s">
        <v>130</v>
      </c>
      <c r="E23" s="44" t="s">
        <v>35</v>
      </c>
      <c r="F23" s="41">
        <v>79</v>
      </c>
      <c r="G23" s="41">
        <v>28</v>
      </c>
      <c r="H23" s="41">
        <v>6</v>
      </c>
      <c r="I23" s="154">
        <v>17645</v>
      </c>
      <c r="J23" s="155">
        <v>3029</v>
      </c>
      <c r="K23" s="155">
        <f>J23/G23</f>
        <v>108.17857142857143</v>
      </c>
      <c r="L23" s="156">
        <f t="shared" si="0"/>
        <v>5.8253549026081215</v>
      </c>
      <c r="M23" s="154">
        <f>310645+177730+71676+35082-223+19980+17645</f>
        <v>632535</v>
      </c>
      <c r="N23" s="155">
        <f>33855+19511+9754+5564-42+3450+3029</f>
        <v>75121</v>
      </c>
      <c r="O23" s="103">
        <f>+M23/N23</f>
        <v>8.420215385844172</v>
      </c>
      <c r="P23" s="321"/>
    </row>
    <row r="24" spans="1:16" s="7" customFormat="1" ht="15">
      <c r="A24" s="63">
        <v>20</v>
      </c>
      <c r="B24" s="49" t="s">
        <v>196</v>
      </c>
      <c r="C24" s="39">
        <v>39857</v>
      </c>
      <c r="D24" s="44" t="s">
        <v>132</v>
      </c>
      <c r="E24" s="44" t="s">
        <v>397</v>
      </c>
      <c r="F24" s="41">
        <v>372</v>
      </c>
      <c r="G24" s="41">
        <v>21</v>
      </c>
      <c r="H24" s="41">
        <v>15</v>
      </c>
      <c r="I24" s="154">
        <v>16239</v>
      </c>
      <c r="J24" s="155">
        <v>3753</v>
      </c>
      <c r="K24" s="155">
        <f>J24/G24</f>
        <v>178.71428571428572</v>
      </c>
      <c r="L24" s="156">
        <f t="shared" si="0"/>
        <v>4.3269384492406076</v>
      </c>
      <c r="M24" s="154">
        <f>17329163.5+9384321+4035301-111+1596787.5-52+594784+289448.5+142806.5+57257.5+10859.5+1656+13165+452+3902+124+16239</f>
        <v>33476104</v>
      </c>
      <c r="N24" s="155">
        <f>2236432+1203711+519916+206906+76573+36964+29367+10451+1641+205+2816+174+976+16+3753</f>
        <v>4329901</v>
      </c>
      <c r="O24" s="103">
        <f>+M24/N24</f>
        <v>7.7313786158159274</v>
      </c>
      <c r="P24" s="321">
        <v>1</v>
      </c>
    </row>
    <row r="25" spans="1:16" s="7" customFormat="1" ht="15">
      <c r="A25" s="63">
        <v>21</v>
      </c>
      <c r="B25" s="49" t="s">
        <v>294</v>
      </c>
      <c r="C25" s="39">
        <v>39913</v>
      </c>
      <c r="D25" s="44" t="s">
        <v>134</v>
      </c>
      <c r="E25" s="44" t="s">
        <v>232</v>
      </c>
      <c r="F25" s="41">
        <v>32</v>
      </c>
      <c r="G25" s="41">
        <v>14</v>
      </c>
      <c r="H25" s="41">
        <v>10</v>
      </c>
      <c r="I25" s="154">
        <v>13855</v>
      </c>
      <c r="J25" s="155">
        <v>2160</v>
      </c>
      <c r="K25" s="155">
        <f>(J25/G25)</f>
        <v>154.28571428571428</v>
      </c>
      <c r="L25" s="156">
        <f t="shared" si="0"/>
        <v>6.414351851851852</v>
      </c>
      <c r="M25" s="154">
        <f>216816.75+148269.25+47895.5+34792+20121+4590+2793+2962+1708.5+13855</f>
        <v>493803</v>
      </c>
      <c r="N25" s="155">
        <f>19731+13368+5787+4814+2854+977+340+473+271+2160</f>
        <v>50775</v>
      </c>
      <c r="O25" s="103">
        <f>M25/N25</f>
        <v>9.725317577548006</v>
      </c>
      <c r="P25" s="321"/>
    </row>
    <row r="26" spans="1:16" s="7" customFormat="1" ht="15">
      <c r="A26" s="63">
        <v>22</v>
      </c>
      <c r="B26" s="49" t="s">
        <v>308</v>
      </c>
      <c r="C26" s="39">
        <v>39927</v>
      </c>
      <c r="D26" s="44" t="s">
        <v>130</v>
      </c>
      <c r="E26" s="44" t="s">
        <v>35</v>
      </c>
      <c r="F26" s="41">
        <v>65</v>
      </c>
      <c r="G26" s="41">
        <v>12</v>
      </c>
      <c r="H26" s="41">
        <v>8</v>
      </c>
      <c r="I26" s="154">
        <v>11568</v>
      </c>
      <c r="J26" s="155">
        <v>2025</v>
      </c>
      <c r="K26" s="155">
        <f>J26/G26</f>
        <v>168.75</v>
      </c>
      <c r="L26" s="156">
        <f t="shared" si="0"/>
        <v>5.712592592592593</v>
      </c>
      <c r="M26" s="154">
        <f>3712+629893+477797+215605+48116+34458+25404+7618+11568</f>
        <v>1454171</v>
      </c>
      <c r="N26" s="155">
        <f>232+63691+45920+21343+7216+6030+4255+1409+2025</f>
        <v>152121</v>
      </c>
      <c r="O26" s="103">
        <f>+M26/N26</f>
        <v>9.559304763970786</v>
      </c>
      <c r="P26" s="321"/>
    </row>
    <row r="27" spans="1:16" s="7" customFormat="1" ht="15">
      <c r="A27" s="63">
        <v>23</v>
      </c>
      <c r="B27" s="49" t="s">
        <v>389</v>
      </c>
      <c r="C27" s="39">
        <v>39962</v>
      </c>
      <c r="D27" s="44" t="s">
        <v>136</v>
      </c>
      <c r="E27" s="44" t="s">
        <v>390</v>
      </c>
      <c r="F27" s="41">
        <v>10</v>
      </c>
      <c r="G27" s="41">
        <v>10</v>
      </c>
      <c r="H27" s="41">
        <v>3</v>
      </c>
      <c r="I27" s="154">
        <v>11559.5</v>
      </c>
      <c r="J27" s="155">
        <v>1551</v>
      </c>
      <c r="K27" s="155">
        <f>J27/G27</f>
        <v>155.1</v>
      </c>
      <c r="L27" s="156">
        <f t="shared" si="0"/>
        <v>7.452933591231464</v>
      </c>
      <c r="M27" s="154">
        <f>78605.25+11559.5</f>
        <v>90164.75</v>
      </c>
      <c r="N27" s="155">
        <f>6323+1551</f>
        <v>7874</v>
      </c>
      <c r="O27" s="103">
        <f>+M27/N27</f>
        <v>11.450946151892303</v>
      </c>
      <c r="P27" s="321"/>
    </row>
    <row r="28" spans="1:16" s="7" customFormat="1" ht="15">
      <c r="A28" s="63">
        <v>24</v>
      </c>
      <c r="B28" s="49" t="s">
        <v>431</v>
      </c>
      <c r="C28" s="39">
        <v>39926</v>
      </c>
      <c r="D28" s="44" t="s">
        <v>134</v>
      </c>
      <c r="E28" s="44" t="s">
        <v>319</v>
      </c>
      <c r="F28" s="41">
        <v>40</v>
      </c>
      <c r="G28" s="41">
        <v>23</v>
      </c>
      <c r="H28" s="41">
        <v>8</v>
      </c>
      <c r="I28" s="154">
        <v>10307</v>
      </c>
      <c r="J28" s="155">
        <v>1783</v>
      </c>
      <c r="K28" s="155">
        <f>(J28/G28)</f>
        <v>77.52173913043478</v>
      </c>
      <c r="L28" s="156">
        <f t="shared" si="0"/>
        <v>5.7807066741446995</v>
      </c>
      <c r="M28" s="154">
        <f>35864.5+53058.5+35303.5+15734.5+12778.5+9687.5+8045+13953.5+10307</f>
        <v>194732.5</v>
      </c>
      <c r="N28" s="155">
        <f>3971+5771+3969+2398+2257+2131+1634+2509+1783</f>
        <v>26423</v>
      </c>
      <c r="O28" s="103">
        <f>M28/N28</f>
        <v>7.369810392461114</v>
      </c>
      <c r="P28" s="321"/>
    </row>
    <row r="29" spans="1:16" s="7" customFormat="1" ht="15">
      <c r="A29" s="63">
        <v>25</v>
      </c>
      <c r="B29" s="49" t="s">
        <v>376</v>
      </c>
      <c r="C29" s="39">
        <v>39955</v>
      </c>
      <c r="D29" s="44" t="s">
        <v>276</v>
      </c>
      <c r="E29" s="44" t="s">
        <v>377</v>
      </c>
      <c r="F29" s="41" t="s">
        <v>429</v>
      </c>
      <c r="G29" s="41" t="s">
        <v>429</v>
      </c>
      <c r="H29" s="41" t="s">
        <v>430</v>
      </c>
      <c r="I29" s="154">
        <v>9630</v>
      </c>
      <c r="J29" s="155">
        <v>1660</v>
      </c>
      <c r="K29" s="155">
        <f>J29/G29</f>
        <v>36.08695652173913</v>
      </c>
      <c r="L29" s="156">
        <f t="shared" si="0"/>
        <v>5.801204819277109</v>
      </c>
      <c r="M29" s="154">
        <v>117929</v>
      </c>
      <c r="N29" s="155">
        <v>16812</v>
      </c>
      <c r="O29" s="103">
        <f>+M29/N29</f>
        <v>7.014572924101832</v>
      </c>
      <c r="P29" s="321"/>
    </row>
    <row r="30" spans="1:16" s="7" customFormat="1" ht="15">
      <c r="A30" s="63">
        <v>26</v>
      </c>
      <c r="B30" s="49" t="s">
        <v>350</v>
      </c>
      <c r="C30" s="39">
        <v>39941</v>
      </c>
      <c r="D30" s="44" t="s">
        <v>131</v>
      </c>
      <c r="E30" s="44" t="s">
        <v>127</v>
      </c>
      <c r="F30" s="41">
        <v>80</v>
      </c>
      <c r="G30" s="41">
        <v>22</v>
      </c>
      <c r="H30" s="41">
        <v>6</v>
      </c>
      <c r="I30" s="154">
        <v>8516</v>
      </c>
      <c r="J30" s="155">
        <v>1493</v>
      </c>
      <c r="K30" s="155">
        <f>J30/G30</f>
        <v>67.86363636363636</v>
      </c>
      <c r="L30" s="156">
        <f t="shared" si="0"/>
        <v>5.703951774949766</v>
      </c>
      <c r="M30" s="154">
        <v>797871</v>
      </c>
      <c r="N30" s="155">
        <v>82753</v>
      </c>
      <c r="O30" s="103">
        <f>+M30/N30</f>
        <v>9.641596075066765</v>
      </c>
      <c r="P30" s="321"/>
    </row>
    <row r="31" spans="1:16" s="7" customFormat="1" ht="15">
      <c r="A31" s="63">
        <v>27</v>
      </c>
      <c r="B31" s="49" t="s">
        <v>335</v>
      </c>
      <c r="C31" s="39">
        <v>39934</v>
      </c>
      <c r="D31" s="44" t="s">
        <v>134</v>
      </c>
      <c r="E31" s="44" t="s">
        <v>336</v>
      </c>
      <c r="F31" s="41">
        <v>10</v>
      </c>
      <c r="G31" s="41">
        <v>10</v>
      </c>
      <c r="H31" s="41">
        <v>7</v>
      </c>
      <c r="I31" s="154">
        <v>8456.5</v>
      </c>
      <c r="J31" s="155">
        <v>993</v>
      </c>
      <c r="K31" s="155">
        <f>(J31/G31)</f>
        <v>99.3</v>
      </c>
      <c r="L31" s="156">
        <f t="shared" si="0"/>
        <v>8.516112789526687</v>
      </c>
      <c r="M31" s="154">
        <f>33364+9411.25+6223+5254.25+7040.75+9205+8456.5</f>
        <v>78954.75</v>
      </c>
      <c r="N31" s="155">
        <f>3034+1189+1068+919+1228+1672+993</f>
        <v>10103</v>
      </c>
      <c r="O31" s="103">
        <f>M31/N31</f>
        <v>7.814980698802336</v>
      </c>
      <c r="P31" s="321"/>
    </row>
    <row r="32" spans="1:16" s="7" customFormat="1" ht="15">
      <c r="A32" s="63">
        <v>28</v>
      </c>
      <c r="B32" s="49" t="s">
        <v>354</v>
      </c>
      <c r="C32" s="39">
        <v>39941</v>
      </c>
      <c r="D32" s="44" t="s">
        <v>132</v>
      </c>
      <c r="E32" s="44" t="s">
        <v>107</v>
      </c>
      <c r="F32" s="41">
        <v>48</v>
      </c>
      <c r="G32" s="41">
        <v>16</v>
      </c>
      <c r="H32" s="41">
        <v>6</v>
      </c>
      <c r="I32" s="154">
        <v>8291.5</v>
      </c>
      <c r="J32" s="155">
        <v>1430</v>
      </c>
      <c r="K32" s="155">
        <f>J32/G32</f>
        <v>89.375</v>
      </c>
      <c r="L32" s="156">
        <f t="shared" si="0"/>
        <v>5.798251748251748</v>
      </c>
      <c r="M32" s="154">
        <f>68037+32977.75+19751.5+19095.5+11245.5+8291+0.5</f>
        <v>159398.75</v>
      </c>
      <c r="N32" s="155">
        <f>7390+3921+2868+3420+2036+1430</f>
        <v>21065</v>
      </c>
      <c r="O32" s="103">
        <f>+M32/N32</f>
        <v>7.566995015428436</v>
      </c>
      <c r="P32" s="321"/>
    </row>
    <row r="33" spans="1:16" s="7" customFormat="1" ht="15">
      <c r="A33" s="63">
        <v>29</v>
      </c>
      <c r="B33" s="49" t="s">
        <v>415</v>
      </c>
      <c r="C33" s="39">
        <v>39920</v>
      </c>
      <c r="D33" s="44" t="s">
        <v>134</v>
      </c>
      <c r="E33" s="44" t="s">
        <v>318</v>
      </c>
      <c r="F33" s="41">
        <v>43</v>
      </c>
      <c r="G33" s="41">
        <v>19</v>
      </c>
      <c r="H33" s="41">
        <v>9</v>
      </c>
      <c r="I33" s="154">
        <v>7091.5</v>
      </c>
      <c r="J33" s="155">
        <v>1463</v>
      </c>
      <c r="K33" s="155">
        <f>(J33/G33)</f>
        <v>77</v>
      </c>
      <c r="L33" s="156">
        <f t="shared" si="0"/>
        <v>4.847231715652768</v>
      </c>
      <c r="M33" s="154">
        <f>71921.5+55489+28896+23842.5+13474.5+19552.5+14027+10409+7091.5</f>
        <v>244703.5</v>
      </c>
      <c r="N33" s="155">
        <f>9131+7791+4520+4728+2735+3857+3026+2110+1463</f>
        <v>39361</v>
      </c>
      <c r="O33" s="103">
        <f>M33/N33</f>
        <v>6.2169025177205866</v>
      </c>
      <c r="P33" s="321">
        <v>1</v>
      </c>
    </row>
    <row r="34" spans="1:16" s="7" customFormat="1" ht="15">
      <c r="A34" s="63">
        <v>30</v>
      </c>
      <c r="B34" s="49" t="s">
        <v>293</v>
      </c>
      <c r="C34" s="39">
        <v>39913</v>
      </c>
      <c r="D34" s="44" t="s">
        <v>130</v>
      </c>
      <c r="E34" s="44" t="s">
        <v>35</v>
      </c>
      <c r="F34" s="41">
        <v>102</v>
      </c>
      <c r="G34" s="41">
        <v>8</v>
      </c>
      <c r="H34" s="41">
        <v>10</v>
      </c>
      <c r="I34" s="154">
        <v>7086</v>
      </c>
      <c r="J34" s="155">
        <v>1351</v>
      </c>
      <c r="K34" s="155">
        <f>J34/G34</f>
        <v>168.875</v>
      </c>
      <c r="L34" s="156">
        <f t="shared" si="0"/>
        <v>5.2450037009622505</v>
      </c>
      <c r="M34" s="154">
        <f>976286-159+826227+510491+284645+108852+35666+16742+9892+9010+7086</f>
        <v>2784738</v>
      </c>
      <c r="N34" s="155">
        <f>110906+91714+60274+32282+15979+7006+2743+1667+1686+1351</f>
        <v>325608</v>
      </c>
      <c r="O34" s="103">
        <f>+M34/N34</f>
        <v>8.552425001842707</v>
      </c>
      <c r="P34" s="321"/>
    </row>
    <row r="35" spans="1:16" s="7" customFormat="1" ht="15">
      <c r="A35" s="63">
        <v>31</v>
      </c>
      <c r="B35" s="49" t="s">
        <v>274</v>
      </c>
      <c r="C35" s="39">
        <v>39906</v>
      </c>
      <c r="D35" s="44" t="s">
        <v>134</v>
      </c>
      <c r="E35" s="44" t="s">
        <v>133</v>
      </c>
      <c r="F35" s="41">
        <v>73</v>
      </c>
      <c r="G35" s="41">
        <v>6</v>
      </c>
      <c r="H35" s="41">
        <v>11</v>
      </c>
      <c r="I35" s="154">
        <v>6279.5</v>
      </c>
      <c r="J35" s="155">
        <v>827</v>
      </c>
      <c r="K35" s="155">
        <f>(J35/G35)</f>
        <v>137.83333333333334</v>
      </c>
      <c r="L35" s="156">
        <f t="shared" si="0"/>
        <v>7.59310761789601</v>
      </c>
      <c r="M35" s="154">
        <f>257998+146390.25+55495.5+19689+10921.5+8901+904+592.5+1480+1790+6279.5</f>
        <v>510441.25</v>
      </c>
      <c r="N35" s="155">
        <f>25239+14756+6633+3240+1982+1982+145+108+201+287+827</f>
        <v>55400</v>
      </c>
      <c r="O35" s="103">
        <f>M35/N35</f>
        <v>9.213740974729243</v>
      </c>
      <c r="P35" s="321"/>
    </row>
    <row r="36" spans="1:16" s="7" customFormat="1" ht="15">
      <c r="A36" s="63">
        <v>32</v>
      </c>
      <c r="B36" s="49" t="s">
        <v>355</v>
      </c>
      <c r="C36" s="39">
        <v>39941</v>
      </c>
      <c r="D36" s="44" t="s">
        <v>136</v>
      </c>
      <c r="E36" s="44" t="s">
        <v>78</v>
      </c>
      <c r="F36" s="41">
        <v>10</v>
      </c>
      <c r="G36" s="41">
        <v>10</v>
      </c>
      <c r="H36" s="41">
        <v>6</v>
      </c>
      <c r="I36" s="154">
        <v>5661</v>
      </c>
      <c r="J36" s="155">
        <v>754</v>
      </c>
      <c r="K36" s="155">
        <f>J36/G36</f>
        <v>75.4</v>
      </c>
      <c r="L36" s="156">
        <f t="shared" si="0"/>
        <v>7.507957559681698</v>
      </c>
      <c r="M36" s="154">
        <f>105888.25+5661</f>
        <v>111549.25</v>
      </c>
      <c r="N36" s="155">
        <f>9952+754</f>
        <v>10706</v>
      </c>
      <c r="O36" s="103">
        <f>+M36/N36</f>
        <v>10.419320941528115</v>
      </c>
      <c r="P36" s="321"/>
    </row>
    <row r="37" spans="1:16" s="7" customFormat="1" ht="15">
      <c r="A37" s="63">
        <v>33</v>
      </c>
      <c r="B37" s="49" t="s">
        <v>357</v>
      </c>
      <c r="C37" s="39">
        <v>39941</v>
      </c>
      <c r="D37" s="44" t="s">
        <v>134</v>
      </c>
      <c r="E37" s="44" t="s">
        <v>358</v>
      </c>
      <c r="F37" s="41">
        <v>26</v>
      </c>
      <c r="G37" s="41">
        <v>12</v>
      </c>
      <c r="H37" s="41">
        <v>5</v>
      </c>
      <c r="I37" s="154">
        <v>4925</v>
      </c>
      <c r="J37" s="155">
        <v>1215</v>
      </c>
      <c r="K37" s="155">
        <f>(J37/G37)</f>
        <v>101.25</v>
      </c>
      <c r="L37" s="156">
        <f aca="true" t="shared" si="1" ref="L37:L68">I37/J37</f>
        <v>4.053497942386831</v>
      </c>
      <c r="M37" s="154">
        <f>36482.75+16583.5+5922.75+3249+4769+4925</f>
        <v>71932</v>
      </c>
      <c r="N37" s="155">
        <f>4495+1934+744+517+1003+1215</f>
        <v>9908</v>
      </c>
      <c r="O37" s="103">
        <f>M37/N37</f>
        <v>7.259991925716593</v>
      </c>
      <c r="P37" s="321">
        <v>1</v>
      </c>
    </row>
    <row r="38" spans="1:16" s="7" customFormat="1" ht="15">
      <c r="A38" s="63">
        <v>34</v>
      </c>
      <c r="B38" s="49" t="s">
        <v>277</v>
      </c>
      <c r="C38" s="39">
        <v>39906</v>
      </c>
      <c r="D38" s="44" t="s">
        <v>130</v>
      </c>
      <c r="E38" s="44" t="s">
        <v>126</v>
      </c>
      <c r="F38" s="41">
        <v>25</v>
      </c>
      <c r="G38" s="41">
        <v>10</v>
      </c>
      <c r="H38" s="41">
        <v>11</v>
      </c>
      <c r="I38" s="154">
        <v>4735</v>
      </c>
      <c r="J38" s="155">
        <v>946</v>
      </c>
      <c r="K38" s="155">
        <f>J38/G38</f>
        <v>94.6</v>
      </c>
      <c r="L38" s="156">
        <f t="shared" si="1"/>
        <v>5.005285412262157</v>
      </c>
      <c r="M38" s="154">
        <f>77546+42693+26511+22036+11920+7619+1353+762+17910+8299+4735</f>
        <v>221384</v>
      </c>
      <c r="N38" s="155">
        <f>8404+4982+3631+3612+1988+1253+269+128+3652+1647+946</f>
        <v>30512</v>
      </c>
      <c r="O38" s="103">
        <f>+M38/N38</f>
        <v>7.255637126376508</v>
      </c>
      <c r="P38" s="321"/>
    </row>
    <row r="39" spans="1:16" s="7" customFormat="1" ht="15">
      <c r="A39" s="63">
        <v>35</v>
      </c>
      <c r="B39" s="49" t="s">
        <v>356</v>
      </c>
      <c r="C39" s="39">
        <v>39913</v>
      </c>
      <c r="D39" s="44" t="s">
        <v>131</v>
      </c>
      <c r="E39" s="44" t="s">
        <v>127</v>
      </c>
      <c r="F39" s="41">
        <v>95</v>
      </c>
      <c r="G39" s="41">
        <v>9</v>
      </c>
      <c r="H39" s="41">
        <v>10</v>
      </c>
      <c r="I39" s="154">
        <v>4700</v>
      </c>
      <c r="J39" s="155">
        <v>622</v>
      </c>
      <c r="K39" s="155">
        <f>J39/G39</f>
        <v>69.11111111111111</v>
      </c>
      <c r="L39" s="156">
        <f t="shared" si="1"/>
        <v>7.556270096463023</v>
      </c>
      <c r="M39" s="154">
        <v>1602769</v>
      </c>
      <c r="N39" s="155">
        <v>148444</v>
      </c>
      <c r="O39" s="103">
        <f>+M39/N39</f>
        <v>10.797128883619411</v>
      </c>
      <c r="P39" s="321"/>
    </row>
    <row r="40" spans="1:16" s="7" customFormat="1" ht="15">
      <c r="A40" s="63">
        <v>36</v>
      </c>
      <c r="B40" s="49" t="s">
        <v>264</v>
      </c>
      <c r="C40" s="39">
        <v>39899</v>
      </c>
      <c r="D40" s="44" t="s">
        <v>134</v>
      </c>
      <c r="E40" s="44" t="s">
        <v>265</v>
      </c>
      <c r="F40" s="41">
        <v>20</v>
      </c>
      <c r="G40" s="41">
        <v>5</v>
      </c>
      <c r="H40" s="41">
        <v>12</v>
      </c>
      <c r="I40" s="154">
        <v>4582</v>
      </c>
      <c r="J40" s="155">
        <v>904</v>
      </c>
      <c r="K40" s="155">
        <f>(J40/G40)</f>
        <v>180.8</v>
      </c>
      <c r="L40" s="156">
        <f t="shared" si="1"/>
        <v>5.06858407079646</v>
      </c>
      <c r="M40" s="154">
        <f>80325+22862.5+13205.5+6103+2111+12431+2530+1890+2753+2052+6502+4582</f>
        <v>157347</v>
      </c>
      <c r="N40" s="155">
        <f>7739+2336+2082+903+428+1668+456+491+508+401+912+904</f>
        <v>18828</v>
      </c>
      <c r="O40" s="103">
        <f>M40/N40</f>
        <v>8.357074569789676</v>
      </c>
      <c r="P40" s="321"/>
    </row>
    <row r="41" spans="1:16" s="7" customFormat="1" ht="15">
      <c r="A41" s="63">
        <v>37</v>
      </c>
      <c r="B41" s="49" t="s">
        <v>432</v>
      </c>
      <c r="C41" s="39">
        <v>39976</v>
      </c>
      <c r="D41" s="44" t="s">
        <v>134</v>
      </c>
      <c r="E41" s="44" t="s">
        <v>433</v>
      </c>
      <c r="F41" s="41">
        <v>2</v>
      </c>
      <c r="G41" s="41">
        <v>2</v>
      </c>
      <c r="H41" s="41">
        <v>1</v>
      </c>
      <c r="I41" s="154">
        <v>4047</v>
      </c>
      <c r="J41" s="155">
        <v>502</v>
      </c>
      <c r="K41" s="155">
        <f>(J41/G41)</f>
        <v>251</v>
      </c>
      <c r="L41" s="156">
        <f t="shared" si="1"/>
        <v>8.06175298804781</v>
      </c>
      <c r="M41" s="154">
        <f>4047</f>
        <v>4047</v>
      </c>
      <c r="N41" s="155">
        <f>502</f>
        <v>502</v>
      </c>
      <c r="O41" s="103">
        <f>M41/N41</f>
        <v>8.06175298804781</v>
      </c>
      <c r="P41" s="321"/>
    </row>
    <row r="42" spans="1:16" s="7" customFormat="1" ht="15">
      <c r="A42" s="63">
        <v>38</v>
      </c>
      <c r="B42" s="49" t="s">
        <v>337</v>
      </c>
      <c r="C42" s="39">
        <v>39934</v>
      </c>
      <c r="D42" s="44" t="s">
        <v>132</v>
      </c>
      <c r="E42" s="44" t="s">
        <v>338</v>
      </c>
      <c r="F42" s="41">
        <v>31</v>
      </c>
      <c r="G42" s="41">
        <v>2</v>
      </c>
      <c r="H42" s="41">
        <v>7</v>
      </c>
      <c r="I42" s="154">
        <v>3879</v>
      </c>
      <c r="J42" s="155">
        <v>880</v>
      </c>
      <c r="K42" s="155">
        <f>J42/G42</f>
        <v>440</v>
      </c>
      <c r="L42" s="156">
        <f t="shared" si="1"/>
        <v>4.407954545454546</v>
      </c>
      <c r="M42" s="154">
        <f>29306.5+14144+7300+0.5+4133+3797+0.5+1972+0.5+3879</f>
        <v>64533</v>
      </c>
      <c r="N42" s="155">
        <f>4336+2409+1301+741+778+521+880</f>
        <v>10966</v>
      </c>
      <c r="O42" s="103">
        <f>+M42/N42</f>
        <v>5.884825825278132</v>
      </c>
      <c r="P42" s="321">
        <v>1</v>
      </c>
    </row>
    <row r="43" spans="1:16" s="7" customFormat="1" ht="15">
      <c r="A43" s="63">
        <v>39</v>
      </c>
      <c r="B43" s="49" t="s">
        <v>419</v>
      </c>
      <c r="C43" s="39">
        <v>39976</v>
      </c>
      <c r="D43" s="44" t="s">
        <v>4</v>
      </c>
      <c r="E43" s="44" t="s">
        <v>420</v>
      </c>
      <c r="F43" s="41">
        <v>32</v>
      </c>
      <c r="G43" s="41">
        <v>32</v>
      </c>
      <c r="H43" s="41">
        <v>1</v>
      </c>
      <c r="I43" s="154">
        <v>3771</v>
      </c>
      <c r="J43" s="155">
        <v>35288</v>
      </c>
      <c r="K43" s="155">
        <f>J43/G43</f>
        <v>1102.75</v>
      </c>
      <c r="L43" s="156">
        <f t="shared" si="1"/>
        <v>0.10686352301065519</v>
      </c>
      <c r="M43" s="154">
        <v>35288</v>
      </c>
      <c r="N43" s="155">
        <v>3771</v>
      </c>
      <c r="O43" s="103">
        <f>+M43/N43</f>
        <v>9.35773004508088</v>
      </c>
      <c r="P43" s="321"/>
    </row>
    <row r="44" spans="1:16" s="7" customFormat="1" ht="15">
      <c r="A44" s="63">
        <v>40</v>
      </c>
      <c r="B44" s="49" t="s">
        <v>280</v>
      </c>
      <c r="C44" s="39">
        <v>39906</v>
      </c>
      <c r="D44" s="44" t="s">
        <v>134</v>
      </c>
      <c r="E44" s="44" t="s">
        <v>281</v>
      </c>
      <c r="F44" s="41">
        <v>20</v>
      </c>
      <c r="G44" s="41">
        <v>6</v>
      </c>
      <c r="H44" s="41">
        <v>11</v>
      </c>
      <c r="I44" s="154">
        <v>3266</v>
      </c>
      <c r="J44" s="155">
        <v>553</v>
      </c>
      <c r="K44" s="155">
        <f>(J44/G44)</f>
        <v>92.16666666666667</v>
      </c>
      <c r="L44" s="156">
        <f t="shared" si="1"/>
        <v>5.905967450271247</v>
      </c>
      <c r="M44" s="154">
        <f>42804+21823.5+16872+15644+14339+9086.5+5699.5+3037.5+5806+4257+3266</f>
        <v>142635</v>
      </c>
      <c r="N44" s="155">
        <f>4512+2464+2783+2745+2518+1539+1111+600+1038+659+553</f>
        <v>20522</v>
      </c>
      <c r="O44" s="103">
        <f>M44/N44</f>
        <v>6.950345970178345</v>
      </c>
      <c r="P44" s="321"/>
    </row>
    <row r="45" spans="1:16" s="7" customFormat="1" ht="15">
      <c r="A45" s="63">
        <v>41</v>
      </c>
      <c r="B45" s="318" t="s">
        <v>391</v>
      </c>
      <c r="C45" s="344">
        <v>39962</v>
      </c>
      <c r="D45" s="343" t="s">
        <v>418</v>
      </c>
      <c r="E45" s="285" t="s">
        <v>392</v>
      </c>
      <c r="F45" s="41">
        <v>4</v>
      </c>
      <c r="G45" s="41">
        <v>4</v>
      </c>
      <c r="H45" s="41">
        <v>3</v>
      </c>
      <c r="I45" s="154">
        <v>3006</v>
      </c>
      <c r="J45" s="155">
        <v>352</v>
      </c>
      <c r="K45" s="155">
        <f>J45/G45</f>
        <v>88</v>
      </c>
      <c r="L45" s="156">
        <f t="shared" si="1"/>
        <v>8.539772727272727</v>
      </c>
      <c r="M45" s="154">
        <v>17496</v>
      </c>
      <c r="N45" s="155">
        <v>1757</v>
      </c>
      <c r="O45" s="103">
        <f>+M45/N45</f>
        <v>9.957882754695504</v>
      </c>
      <c r="P45" s="321"/>
    </row>
    <row r="46" spans="1:16" s="7" customFormat="1" ht="15">
      <c r="A46" s="63">
        <v>42</v>
      </c>
      <c r="B46" s="49" t="s">
        <v>317</v>
      </c>
      <c r="C46" s="39">
        <v>39927</v>
      </c>
      <c r="D46" s="44" t="s">
        <v>131</v>
      </c>
      <c r="E46" s="44" t="s">
        <v>111</v>
      </c>
      <c r="F46" s="41">
        <v>48</v>
      </c>
      <c r="G46" s="41">
        <v>3</v>
      </c>
      <c r="H46" s="41">
        <v>8</v>
      </c>
      <c r="I46" s="154">
        <v>2846</v>
      </c>
      <c r="J46" s="155">
        <v>687</v>
      </c>
      <c r="K46" s="155">
        <f>J46/G46</f>
        <v>229</v>
      </c>
      <c r="L46" s="156">
        <f t="shared" si="1"/>
        <v>4.142649199417758</v>
      </c>
      <c r="M46" s="154">
        <v>231259</v>
      </c>
      <c r="N46" s="155">
        <v>25834</v>
      </c>
      <c r="O46" s="103">
        <f>+M46/N46</f>
        <v>8.951730277928311</v>
      </c>
      <c r="P46" s="321"/>
    </row>
    <row r="47" spans="1:16" s="7" customFormat="1" ht="15">
      <c r="A47" s="63">
        <v>43</v>
      </c>
      <c r="B47" s="49" t="s">
        <v>58</v>
      </c>
      <c r="C47" s="39">
        <v>39745</v>
      </c>
      <c r="D47" s="44" t="s">
        <v>4</v>
      </c>
      <c r="E47" s="44" t="s">
        <v>59</v>
      </c>
      <c r="F47" s="41">
        <v>72</v>
      </c>
      <c r="G47" s="41">
        <v>10</v>
      </c>
      <c r="H47" s="41">
        <v>34</v>
      </c>
      <c r="I47" s="154">
        <v>2669</v>
      </c>
      <c r="J47" s="155">
        <v>425</v>
      </c>
      <c r="K47" s="155">
        <f>J47/G47</f>
        <v>42.5</v>
      </c>
      <c r="L47" s="156">
        <f t="shared" si="1"/>
        <v>6.28</v>
      </c>
      <c r="M47" s="154">
        <v>1649210</v>
      </c>
      <c r="N47" s="155">
        <v>186829</v>
      </c>
      <c r="O47" s="103">
        <f>+M47/N47</f>
        <v>8.827376906154827</v>
      </c>
      <c r="P47" s="321">
        <v>1</v>
      </c>
    </row>
    <row r="48" spans="1:16" s="7" customFormat="1" ht="15">
      <c r="A48" s="63">
        <v>44</v>
      </c>
      <c r="B48" s="49" t="s">
        <v>314</v>
      </c>
      <c r="C48" s="39">
        <v>39927</v>
      </c>
      <c r="D48" s="44" t="s">
        <v>131</v>
      </c>
      <c r="E48" s="44" t="s">
        <v>127</v>
      </c>
      <c r="F48" s="41">
        <v>80</v>
      </c>
      <c r="G48" s="41">
        <v>5</v>
      </c>
      <c r="H48" s="41">
        <v>8</v>
      </c>
      <c r="I48" s="154">
        <v>2408</v>
      </c>
      <c r="J48" s="155">
        <v>349</v>
      </c>
      <c r="K48" s="155">
        <f>J48/G48</f>
        <v>69.8</v>
      </c>
      <c r="L48" s="156">
        <f t="shared" si="1"/>
        <v>6.899713467048711</v>
      </c>
      <c r="M48" s="154">
        <v>660860</v>
      </c>
      <c r="N48" s="155">
        <v>82141</v>
      </c>
      <c r="O48" s="103">
        <f>+M48/N48</f>
        <v>8.045434070683337</v>
      </c>
      <c r="P48" s="321"/>
    </row>
    <row r="49" spans="1:16" s="7" customFormat="1" ht="15">
      <c r="A49" s="63">
        <v>45</v>
      </c>
      <c r="B49" s="49" t="s">
        <v>147</v>
      </c>
      <c r="C49" s="39">
        <v>39801</v>
      </c>
      <c r="D49" s="44" t="s">
        <v>134</v>
      </c>
      <c r="E49" s="44" t="s">
        <v>148</v>
      </c>
      <c r="F49" s="41">
        <v>42</v>
      </c>
      <c r="G49" s="41">
        <v>3</v>
      </c>
      <c r="H49" s="41">
        <v>24</v>
      </c>
      <c r="I49" s="154">
        <v>2348</v>
      </c>
      <c r="J49" s="155">
        <v>497</v>
      </c>
      <c r="K49" s="155">
        <f>(J49/G49)</f>
        <v>165.66666666666666</v>
      </c>
      <c r="L49" s="156">
        <f t="shared" si="1"/>
        <v>4.724346076458753</v>
      </c>
      <c r="M49" s="154">
        <f>295344+204961.5+145464.5+116108.5+111972.5+49984+26327+32042+18579+20005+19180+15980+2686.5+3166.5+366+13433+4493+735.5+607.5+2528+83+198+248+2348</f>
        <v>1086841</v>
      </c>
      <c r="N49" s="155">
        <f>36142+24747+19417+15404+14719+7567+3314+5289+3173+3275+3534+2826+540+724+52+2536+882+130+150+615+21+66+51+497</f>
        <v>145671</v>
      </c>
      <c r="O49" s="103">
        <f>M49/N49</f>
        <v>7.460929079912955</v>
      </c>
      <c r="P49" s="321">
        <v>1</v>
      </c>
    </row>
    <row r="50" spans="1:16" s="7" customFormat="1" ht="15">
      <c r="A50" s="63">
        <v>46</v>
      </c>
      <c r="B50" s="49" t="s">
        <v>307</v>
      </c>
      <c r="C50" s="39">
        <v>39920</v>
      </c>
      <c r="D50" s="44" t="s">
        <v>130</v>
      </c>
      <c r="E50" s="44" t="s">
        <v>63</v>
      </c>
      <c r="F50" s="41">
        <v>67</v>
      </c>
      <c r="G50" s="41">
        <v>3</v>
      </c>
      <c r="H50" s="41">
        <v>9</v>
      </c>
      <c r="I50" s="154">
        <v>2163</v>
      </c>
      <c r="J50" s="155">
        <v>562</v>
      </c>
      <c r="K50" s="155">
        <f>J50/G50</f>
        <v>187.33333333333334</v>
      </c>
      <c r="L50" s="156">
        <f t="shared" si="1"/>
        <v>3.8487544483985765</v>
      </c>
      <c r="M50" s="154">
        <f>272382+140716+46020+6861+7492+908+1351+3372+2163</f>
        <v>481265</v>
      </c>
      <c r="N50" s="155">
        <f>27038+14777+4953+934+1888+146+222+419+562</f>
        <v>50939</v>
      </c>
      <c r="O50" s="103">
        <f>+M50/N50</f>
        <v>9.447869019808005</v>
      </c>
      <c r="P50" s="321"/>
    </row>
    <row r="51" spans="1:16" s="7" customFormat="1" ht="15">
      <c r="A51" s="63">
        <v>47</v>
      </c>
      <c r="B51" s="49" t="s">
        <v>228</v>
      </c>
      <c r="C51" s="39">
        <v>39878</v>
      </c>
      <c r="D51" s="44" t="s">
        <v>134</v>
      </c>
      <c r="E51" s="44" t="s">
        <v>229</v>
      </c>
      <c r="F51" s="41">
        <v>39</v>
      </c>
      <c r="G51" s="41">
        <v>5</v>
      </c>
      <c r="H51" s="41">
        <v>15</v>
      </c>
      <c r="I51" s="154">
        <v>1997</v>
      </c>
      <c r="J51" s="155">
        <v>472</v>
      </c>
      <c r="K51" s="155">
        <f>(J51/G51)</f>
        <v>94.4</v>
      </c>
      <c r="L51" s="156">
        <f t="shared" si="1"/>
        <v>4.2309322033898304</v>
      </c>
      <c r="M51" s="154">
        <f>143992.5+82756.5+42509+41229+27290.5+16668+27602+17675+4710+8504.5+2403+4164+2272+3469+1997</f>
        <v>427242</v>
      </c>
      <c r="N51" s="155">
        <f>15320+9228+5096+5970+4485+3115+5134+3946+1139+2307+509+879+411+637+472</f>
        <v>58648</v>
      </c>
      <c r="O51" s="103">
        <f>M51/N51</f>
        <v>7.2848519983631155</v>
      </c>
      <c r="P51" s="321"/>
    </row>
    <row r="52" spans="1:16" s="7" customFormat="1" ht="15">
      <c r="A52" s="63">
        <v>48</v>
      </c>
      <c r="B52" s="49" t="s">
        <v>253</v>
      </c>
      <c r="C52" s="39">
        <v>39892</v>
      </c>
      <c r="D52" s="44" t="s">
        <v>134</v>
      </c>
      <c r="E52" s="44" t="s">
        <v>299</v>
      </c>
      <c r="F52" s="41">
        <v>18</v>
      </c>
      <c r="G52" s="41">
        <v>5</v>
      </c>
      <c r="H52" s="41">
        <v>13</v>
      </c>
      <c r="I52" s="154">
        <v>1895.5</v>
      </c>
      <c r="J52" s="155">
        <v>316</v>
      </c>
      <c r="K52" s="155">
        <f>(J52/G52)</f>
        <v>63.2</v>
      </c>
      <c r="L52" s="156">
        <f t="shared" si="1"/>
        <v>5.9984177215189876</v>
      </c>
      <c r="M52" s="154">
        <f>64124.5+26275.5+7311.5+8465.5+2566+5722+4034.5+396+299+1539.5+3187.5+921+1895.5</f>
        <v>126738</v>
      </c>
      <c r="N52" s="155">
        <f>5704+2336+995+1347+675+1131+1039+72+56+218+681+173+316</f>
        <v>14743</v>
      </c>
      <c r="O52" s="103">
        <f>M52/N52</f>
        <v>8.596486468154378</v>
      </c>
      <c r="P52" s="321"/>
    </row>
    <row r="53" spans="1:16" s="7" customFormat="1" ht="15">
      <c r="A53" s="63">
        <v>49</v>
      </c>
      <c r="B53" s="49" t="s">
        <v>321</v>
      </c>
      <c r="C53" s="39">
        <v>39927</v>
      </c>
      <c r="D53" s="44" t="s">
        <v>136</v>
      </c>
      <c r="E53" s="44" t="s">
        <v>414</v>
      </c>
      <c r="F53" s="41">
        <v>10</v>
      </c>
      <c r="G53" s="41">
        <v>4</v>
      </c>
      <c r="H53" s="41">
        <v>8</v>
      </c>
      <c r="I53" s="154">
        <v>1781.5</v>
      </c>
      <c r="J53" s="155">
        <v>279</v>
      </c>
      <c r="K53" s="155">
        <f>J53/G53</f>
        <v>69.75</v>
      </c>
      <c r="L53" s="156">
        <f t="shared" si="1"/>
        <v>6.385304659498208</v>
      </c>
      <c r="M53" s="154">
        <f>18073.5+1781.5</f>
        <v>19855</v>
      </c>
      <c r="N53" s="155">
        <f>2634+279</f>
        <v>2913</v>
      </c>
      <c r="O53" s="103">
        <f>+M53/N53</f>
        <v>6.8159972536903535</v>
      </c>
      <c r="P53" s="321">
        <v>1</v>
      </c>
    </row>
    <row r="54" spans="1:16" s="7" customFormat="1" ht="15">
      <c r="A54" s="63">
        <v>50</v>
      </c>
      <c r="B54" s="49" t="s">
        <v>172</v>
      </c>
      <c r="C54" s="39">
        <v>39843</v>
      </c>
      <c r="D54" s="44" t="s">
        <v>134</v>
      </c>
      <c r="E54" s="44" t="s">
        <v>133</v>
      </c>
      <c r="F54" s="41">
        <v>80</v>
      </c>
      <c r="G54" s="41">
        <v>1</v>
      </c>
      <c r="H54" s="41">
        <v>15</v>
      </c>
      <c r="I54" s="154">
        <v>1780</v>
      </c>
      <c r="J54" s="155">
        <v>445</v>
      </c>
      <c r="K54" s="155">
        <f>(J54/G54)</f>
        <v>445</v>
      </c>
      <c r="L54" s="156">
        <f t="shared" si="1"/>
        <v>4</v>
      </c>
      <c r="M54" s="154">
        <f>667928.5+422494.5+139288+71324.5+23049.5+32432+3540.5+7287+4043+3439+1920+354+1623+2298+1780</f>
        <v>1382801.5</v>
      </c>
      <c r="N54" s="155">
        <f>67031+44640+16046+10311+3717+6651+677+1565+893+611+318+68+399+572+445</f>
        <v>153944</v>
      </c>
      <c r="O54" s="103">
        <f>M54/N54</f>
        <v>8.982496881983058</v>
      </c>
      <c r="P54" s="321"/>
    </row>
    <row r="55" spans="1:16" s="7" customFormat="1" ht="15">
      <c r="A55" s="63">
        <v>51</v>
      </c>
      <c r="B55" s="49" t="s">
        <v>240</v>
      </c>
      <c r="C55" s="39">
        <v>39871</v>
      </c>
      <c r="D55" s="44" t="s">
        <v>241</v>
      </c>
      <c r="E55" s="44" t="s">
        <v>112</v>
      </c>
      <c r="F55" s="41">
        <v>57</v>
      </c>
      <c r="G55" s="41">
        <v>1</v>
      </c>
      <c r="H55" s="41">
        <v>15</v>
      </c>
      <c r="I55" s="154">
        <v>1779</v>
      </c>
      <c r="J55" s="155">
        <v>356</v>
      </c>
      <c r="K55" s="155">
        <f>J55/G55</f>
        <v>356</v>
      </c>
      <c r="L55" s="156">
        <f t="shared" si="1"/>
        <v>4.997191011235955</v>
      </c>
      <c r="M55" s="154">
        <v>3092529</v>
      </c>
      <c r="N55" s="155">
        <v>337141</v>
      </c>
      <c r="O55" s="103">
        <f>M55/N55</f>
        <v>9.172806036643422</v>
      </c>
      <c r="P55" s="321"/>
    </row>
    <row r="56" spans="1:16" s="7" customFormat="1" ht="15">
      <c r="A56" s="63">
        <v>52</v>
      </c>
      <c r="B56" s="49" t="s">
        <v>316</v>
      </c>
      <c r="C56" s="39">
        <v>39927</v>
      </c>
      <c r="D56" s="44" t="s">
        <v>136</v>
      </c>
      <c r="E56" s="44" t="s">
        <v>81</v>
      </c>
      <c r="F56" s="41">
        <v>62</v>
      </c>
      <c r="G56" s="41">
        <v>4</v>
      </c>
      <c r="H56" s="41">
        <v>8</v>
      </c>
      <c r="I56" s="154">
        <v>1756</v>
      </c>
      <c r="J56" s="155">
        <v>351</v>
      </c>
      <c r="K56" s="155">
        <f>J56/G56</f>
        <v>87.75</v>
      </c>
      <c r="L56" s="156">
        <f t="shared" si="1"/>
        <v>5.002849002849003</v>
      </c>
      <c r="M56" s="154">
        <f>310312.75+1756</f>
        <v>312068.75</v>
      </c>
      <c r="N56" s="155">
        <f>42296+351</f>
        <v>42647</v>
      </c>
      <c r="O56" s="103">
        <f>+M56/N56</f>
        <v>7.317484231012733</v>
      </c>
      <c r="P56" s="321">
        <v>1</v>
      </c>
    </row>
    <row r="57" spans="1:16" s="7" customFormat="1" ht="15">
      <c r="A57" s="63">
        <v>53</v>
      </c>
      <c r="B57" s="49" t="s">
        <v>10</v>
      </c>
      <c r="C57" s="39">
        <v>39829</v>
      </c>
      <c r="D57" s="44" t="s">
        <v>134</v>
      </c>
      <c r="E57" s="44" t="s">
        <v>11</v>
      </c>
      <c r="F57" s="41">
        <v>65</v>
      </c>
      <c r="G57" s="41">
        <v>2</v>
      </c>
      <c r="H57" s="41">
        <v>22</v>
      </c>
      <c r="I57" s="154">
        <v>1729.5</v>
      </c>
      <c r="J57" s="155">
        <v>414</v>
      </c>
      <c r="K57" s="155">
        <f>(J57/G57)</f>
        <v>207</v>
      </c>
      <c r="L57" s="156">
        <f t="shared" si="1"/>
        <v>4.177536231884058</v>
      </c>
      <c r="M57" s="154">
        <f>237023+244842+160469+47021+21536+18820+18020.5+26440+10695+9162.5+9870+6322+1787+2032+757+348+420.5+158+4053+339.5+3161.5+1729.5</f>
        <v>825007</v>
      </c>
      <c r="N57" s="155">
        <f>25678+28966+21290+6590+4890+3520+3479+4786+1907+1716+2388+1533+368+541+126+70+67+48+991+81+743+414</f>
        <v>110192</v>
      </c>
      <c r="O57" s="103">
        <f>M57/N57</f>
        <v>7.4869954261652385</v>
      </c>
      <c r="P57" s="321"/>
    </row>
    <row r="58" spans="1:16" s="7" customFormat="1" ht="15">
      <c r="A58" s="63">
        <v>54</v>
      </c>
      <c r="B58" s="49" t="s">
        <v>340</v>
      </c>
      <c r="C58" s="39">
        <v>39934</v>
      </c>
      <c r="D58" s="44" t="s">
        <v>134</v>
      </c>
      <c r="E58" s="44" t="s">
        <v>336</v>
      </c>
      <c r="F58" s="41">
        <v>5</v>
      </c>
      <c r="G58" s="41">
        <v>5</v>
      </c>
      <c r="H58" s="41">
        <v>7</v>
      </c>
      <c r="I58" s="154">
        <v>1698</v>
      </c>
      <c r="J58" s="155">
        <v>188</v>
      </c>
      <c r="K58" s="155">
        <f>(J58/G58)</f>
        <v>37.6</v>
      </c>
      <c r="L58" s="156">
        <f t="shared" si="1"/>
        <v>9.03191489361702</v>
      </c>
      <c r="M58" s="154">
        <f>8152.5+2367.5+456+120+350+96+1698</f>
        <v>13240</v>
      </c>
      <c r="N58" s="155">
        <f>669+232+51+14+62+16+188</f>
        <v>1232</v>
      </c>
      <c r="O58" s="103">
        <f>M58/N58</f>
        <v>10.746753246753247</v>
      </c>
      <c r="P58" s="321"/>
    </row>
    <row r="59" spans="1:16" s="7" customFormat="1" ht="15">
      <c r="A59" s="63">
        <v>55</v>
      </c>
      <c r="B59" s="49" t="s">
        <v>297</v>
      </c>
      <c r="C59" s="39">
        <v>39913</v>
      </c>
      <c r="D59" s="44" t="s">
        <v>134</v>
      </c>
      <c r="E59" s="44" t="s">
        <v>298</v>
      </c>
      <c r="F59" s="41">
        <v>8</v>
      </c>
      <c r="G59" s="41">
        <v>3</v>
      </c>
      <c r="H59" s="41">
        <v>10</v>
      </c>
      <c r="I59" s="154">
        <v>1412</v>
      </c>
      <c r="J59" s="155">
        <v>254</v>
      </c>
      <c r="K59" s="155">
        <f>(J59/G59)</f>
        <v>84.66666666666667</v>
      </c>
      <c r="L59" s="156">
        <f t="shared" si="1"/>
        <v>5.559055118110236</v>
      </c>
      <c r="M59" s="154">
        <f>21351.5+14278.5+6751+4525+2536+673+390+177+1270+1412</f>
        <v>53364</v>
      </c>
      <c r="N59" s="155">
        <f>2210+1534+811+919+457+117+61+33+223+254</f>
        <v>6619</v>
      </c>
      <c r="O59" s="103">
        <f>M59/N59</f>
        <v>8.062245052122677</v>
      </c>
      <c r="P59" s="321">
        <v>1</v>
      </c>
    </row>
    <row r="60" spans="1:16" s="7" customFormat="1" ht="15">
      <c r="A60" s="63">
        <v>56</v>
      </c>
      <c r="B60" s="49" t="s">
        <v>315</v>
      </c>
      <c r="C60" s="39">
        <v>39920</v>
      </c>
      <c r="D60" s="44" t="s">
        <v>134</v>
      </c>
      <c r="E60" s="44" t="s">
        <v>35</v>
      </c>
      <c r="F60" s="41">
        <v>133</v>
      </c>
      <c r="G60" s="41">
        <v>4</v>
      </c>
      <c r="H60" s="41">
        <v>9</v>
      </c>
      <c r="I60" s="154">
        <v>1356</v>
      </c>
      <c r="J60" s="155">
        <v>301</v>
      </c>
      <c r="K60" s="155">
        <f>(J60/G60)</f>
        <v>75.25</v>
      </c>
      <c r="L60" s="156">
        <f t="shared" si="1"/>
        <v>4.504983388704319</v>
      </c>
      <c r="M60" s="154">
        <f>814797.5+158602+44526+7105.5+1443+731+330+3273+1356</f>
        <v>1032164</v>
      </c>
      <c r="N60" s="155">
        <f>100614+19257+6285+1176+234+205+67+783+301</f>
        <v>128922</v>
      </c>
      <c r="O60" s="103">
        <f>M60/N60</f>
        <v>8.006112222894464</v>
      </c>
      <c r="P60" s="321"/>
    </row>
    <row r="61" spans="1:16" s="7" customFormat="1" ht="15">
      <c r="A61" s="63">
        <v>57</v>
      </c>
      <c r="B61" s="49" t="s">
        <v>407</v>
      </c>
      <c r="C61" s="39">
        <v>39969</v>
      </c>
      <c r="D61" s="44" t="s">
        <v>136</v>
      </c>
      <c r="E61" s="44" t="s">
        <v>408</v>
      </c>
      <c r="F61" s="41">
        <v>2</v>
      </c>
      <c r="G61" s="41">
        <v>2</v>
      </c>
      <c r="H61" s="41">
        <v>2</v>
      </c>
      <c r="I61" s="154">
        <v>1215</v>
      </c>
      <c r="J61" s="155">
        <v>139</v>
      </c>
      <c r="K61" s="155">
        <f>J61/G61</f>
        <v>69.5</v>
      </c>
      <c r="L61" s="156">
        <f t="shared" si="1"/>
        <v>8.741007194244604</v>
      </c>
      <c r="M61" s="154">
        <f>4459.25+1215</f>
        <v>5674.25</v>
      </c>
      <c r="N61" s="155">
        <f>463+139</f>
        <v>602</v>
      </c>
      <c r="O61" s="103">
        <f>+M61/N61</f>
        <v>9.425664451827242</v>
      </c>
      <c r="P61" s="321"/>
    </row>
    <row r="62" spans="1:16" s="7" customFormat="1" ht="15">
      <c r="A62" s="63">
        <v>58</v>
      </c>
      <c r="B62" s="49" t="s">
        <v>360</v>
      </c>
      <c r="C62" s="39">
        <v>39941</v>
      </c>
      <c r="D62" s="44" t="s">
        <v>136</v>
      </c>
      <c r="E62" s="44" t="s">
        <v>414</v>
      </c>
      <c r="F62" s="41">
        <v>10</v>
      </c>
      <c r="G62" s="41">
        <v>6</v>
      </c>
      <c r="H62" s="41">
        <v>6</v>
      </c>
      <c r="I62" s="154">
        <v>1214</v>
      </c>
      <c r="J62" s="155">
        <v>258</v>
      </c>
      <c r="K62" s="155">
        <f>J62/G62</f>
        <v>43</v>
      </c>
      <c r="L62" s="156">
        <f t="shared" si="1"/>
        <v>4.705426356589148</v>
      </c>
      <c r="M62" s="154">
        <f>12739.5+1214</f>
        <v>13953.5</v>
      </c>
      <c r="N62" s="155">
        <f>1879+258</f>
        <v>2137</v>
      </c>
      <c r="O62" s="103">
        <f>+M62/N62</f>
        <v>6.529480580252691</v>
      </c>
      <c r="P62" s="321">
        <v>1</v>
      </c>
    </row>
    <row r="63" spans="1:16" s="7" customFormat="1" ht="15">
      <c r="A63" s="63">
        <v>59</v>
      </c>
      <c r="B63" s="49" t="s">
        <v>434</v>
      </c>
      <c r="C63" s="39">
        <v>39577</v>
      </c>
      <c r="D63" s="44" t="s">
        <v>282</v>
      </c>
      <c r="E63" s="44" t="s">
        <v>435</v>
      </c>
      <c r="F63" s="41">
        <v>10</v>
      </c>
      <c r="G63" s="41">
        <v>1</v>
      </c>
      <c r="H63" s="41">
        <v>18</v>
      </c>
      <c r="I63" s="154">
        <v>949</v>
      </c>
      <c r="J63" s="155">
        <v>190</v>
      </c>
      <c r="K63" s="155">
        <f>J63/G63</f>
        <v>190</v>
      </c>
      <c r="L63" s="156">
        <f t="shared" si="1"/>
        <v>4.994736842105263</v>
      </c>
      <c r="M63" s="154">
        <v>101983</v>
      </c>
      <c r="N63" s="155">
        <v>11163</v>
      </c>
      <c r="O63" s="103">
        <f>M63/N63</f>
        <v>9.135805786974828</v>
      </c>
      <c r="P63" s="321"/>
    </row>
    <row r="64" spans="1:16" s="7" customFormat="1" ht="15">
      <c r="A64" s="63">
        <v>60</v>
      </c>
      <c r="B64" s="49" t="s">
        <v>26</v>
      </c>
      <c r="C64" s="39">
        <v>39808</v>
      </c>
      <c r="D64" s="44" t="s">
        <v>134</v>
      </c>
      <c r="E64" s="44" t="s">
        <v>133</v>
      </c>
      <c r="F64" s="41">
        <v>75</v>
      </c>
      <c r="G64" s="41">
        <v>1</v>
      </c>
      <c r="H64" s="41">
        <v>18</v>
      </c>
      <c r="I64" s="154">
        <v>873</v>
      </c>
      <c r="J64" s="155">
        <v>181</v>
      </c>
      <c r="K64" s="155">
        <f>(J64/G64)</f>
        <v>181</v>
      </c>
      <c r="L64" s="156">
        <f t="shared" si="1"/>
        <v>4.823204419889502</v>
      </c>
      <c r="M64" s="154">
        <f>681566+578530+317284.5+141025.5+34373.5+6375+4225+7402.5+1014+4479+2688+2267+1765+1219+204+316+300+873</f>
        <v>1785907</v>
      </c>
      <c r="N64" s="155">
        <f>64102+57106+32401+16644+4655+1030+644+1623+143+828+480+469+323+195+43+62+60+181</f>
        <v>180989</v>
      </c>
      <c r="O64" s="103">
        <f>M64/N64</f>
        <v>9.867489184425573</v>
      </c>
      <c r="P64" s="321"/>
    </row>
    <row r="65" spans="1:16" s="7" customFormat="1" ht="15">
      <c r="A65" s="63">
        <v>61</v>
      </c>
      <c r="B65" s="49" t="s">
        <v>330</v>
      </c>
      <c r="C65" s="39">
        <v>39934</v>
      </c>
      <c r="D65" s="44" t="s">
        <v>132</v>
      </c>
      <c r="E65" s="44" t="s">
        <v>331</v>
      </c>
      <c r="F65" s="41">
        <v>125</v>
      </c>
      <c r="G65" s="41">
        <v>2</v>
      </c>
      <c r="H65" s="41">
        <v>7</v>
      </c>
      <c r="I65" s="154">
        <v>823</v>
      </c>
      <c r="J65" s="155">
        <v>130</v>
      </c>
      <c r="K65" s="155">
        <f>J65/G65</f>
        <v>65</v>
      </c>
      <c r="L65" s="156">
        <f t="shared" si="1"/>
        <v>6.3307692307692305</v>
      </c>
      <c r="M65" s="154">
        <f>114460.75+42138+22420+8194+3259+329+823</f>
        <v>191623.75</v>
      </c>
      <c r="N65" s="155">
        <f>15343+6534+4108+1491+680+62+130</f>
        <v>28348</v>
      </c>
      <c r="O65" s="103">
        <f>+M65/N65</f>
        <v>6.759692041766615</v>
      </c>
      <c r="P65" s="321">
        <v>1</v>
      </c>
    </row>
    <row r="66" spans="1:16" s="7" customFormat="1" ht="15">
      <c r="A66" s="63">
        <v>62</v>
      </c>
      <c r="B66" s="49" t="s">
        <v>436</v>
      </c>
      <c r="C66" s="39">
        <v>39535</v>
      </c>
      <c r="D66" s="44" t="s">
        <v>199</v>
      </c>
      <c r="E66" s="44" t="s">
        <v>437</v>
      </c>
      <c r="F66" s="41">
        <v>10</v>
      </c>
      <c r="G66" s="41">
        <v>1</v>
      </c>
      <c r="H66" s="41">
        <v>23</v>
      </c>
      <c r="I66" s="154">
        <v>800</v>
      </c>
      <c r="J66" s="155">
        <v>91</v>
      </c>
      <c r="K66" s="155">
        <f>J66/G66</f>
        <v>91</v>
      </c>
      <c r="L66" s="156">
        <f t="shared" si="1"/>
        <v>8.791208791208792</v>
      </c>
      <c r="M66" s="154">
        <v>201727</v>
      </c>
      <c r="N66" s="155">
        <v>23938</v>
      </c>
      <c r="O66" s="103">
        <f>M66/N66</f>
        <v>8.427061575737321</v>
      </c>
      <c r="P66" s="321"/>
    </row>
    <row r="67" spans="1:16" s="7" customFormat="1" ht="15">
      <c r="A67" s="63">
        <v>63</v>
      </c>
      <c r="B67" s="49" t="s">
        <v>393</v>
      </c>
      <c r="C67" s="39">
        <v>39962</v>
      </c>
      <c r="D67" s="44" t="s">
        <v>134</v>
      </c>
      <c r="E67" s="44" t="s">
        <v>1</v>
      </c>
      <c r="F67" s="41">
        <v>1</v>
      </c>
      <c r="G67" s="41">
        <v>1</v>
      </c>
      <c r="H67" s="41">
        <v>3</v>
      </c>
      <c r="I67" s="154">
        <v>750</v>
      </c>
      <c r="J67" s="155">
        <v>150</v>
      </c>
      <c r="K67" s="155">
        <f>(J67/G67)</f>
        <v>150</v>
      </c>
      <c r="L67" s="156">
        <f t="shared" si="1"/>
        <v>5</v>
      </c>
      <c r="M67" s="154">
        <f>2055+1340+750</f>
        <v>4145</v>
      </c>
      <c r="N67" s="155">
        <f>411+268+150</f>
        <v>829</v>
      </c>
      <c r="O67" s="103">
        <f>M67/N67</f>
        <v>5</v>
      </c>
      <c r="P67" s="321"/>
    </row>
    <row r="68" spans="1:16" s="7" customFormat="1" ht="15">
      <c r="A68" s="63">
        <v>64</v>
      </c>
      <c r="B68" s="49" t="s">
        <v>12</v>
      </c>
      <c r="C68" s="39">
        <v>39829</v>
      </c>
      <c r="D68" s="44" t="s">
        <v>132</v>
      </c>
      <c r="E68" s="44" t="s">
        <v>13</v>
      </c>
      <c r="F68" s="41">
        <v>27</v>
      </c>
      <c r="G68" s="41">
        <v>1</v>
      </c>
      <c r="H68" s="41">
        <v>17</v>
      </c>
      <c r="I68" s="154">
        <v>710</v>
      </c>
      <c r="J68" s="155">
        <v>60</v>
      </c>
      <c r="K68" s="155">
        <f>J68/G68</f>
        <v>60</v>
      </c>
      <c r="L68" s="156">
        <f t="shared" si="1"/>
        <v>11.833333333333334</v>
      </c>
      <c r="M68" s="154">
        <f>186683.5+104505+11311.5+18993.5+3012+3864+5338+2063+2153+1101+421+767+1768+752+294+3875+710</f>
        <v>347611.5</v>
      </c>
      <c r="N68" s="155">
        <f>17611+9310+1374+2998+454+608+892+412+329+169+101+183+222+92+49+815+60</f>
        <v>35679</v>
      </c>
      <c r="O68" s="103">
        <f>+M68/N68</f>
        <v>9.742747834860843</v>
      </c>
      <c r="P68" s="321"/>
    </row>
    <row r="69" spans="1:16" s="7" customFormat="1" ht="15">
      <c r="A69" s="63">
        <v>65</v>
      </c>
      <c r="B69" s="49" t="s">
        <v>309</v>
      </c>
      <c r="C69" s="39">
        <v>39920</v>
      </c>
      <c r="D69" s="44" t="s">
        <v>131</v>
      </c>
      <c r="E69" s="44" t="s">
        <v>43</v>
      </c>
      <c r="F69" s="41">
        <v>65</v>
      </c>
      <c r="G69" s="41">
        <v>1</v>
      </c>
      <c r="H69" s="41">
        <v>9</v>
      </c>
      <c r="I69" s="154">
        <v>614</v>
      </c>
      <c r="J69" s="155">
        <v>101</v>
      </c>
      <c r="K69" s="155">
        <f>J69/G69</f>
        <v>101</v>
      </c>
      <c r="L69" s="156">
        <f aca="true" t="shared" si="2" ref="L69:L87">I69/J69</f>
        <v>6.079207920792079</v>
      </c>
      <c r="M69" s="154">
        <v>698178</v>
      </c>
      <c r="N69" s="155">
        <v>69773</v>
      </c>
      <c r="O69" s="103">
        <f>+M69/N69</f>
        <v>10.006420821807863</v>
      </c>
      <c r="P69" s="321"/>
    </row>
    <row r="70" spans="1:16" s="7" customFormat="1" ht="15">
      <c r="A70" s="63">
        <v>66</v>
      </c>
      <c r="B70" s="49" t="s">
        <v>428</v>
      </c>
      <c r="C70" s="39">
        <v>39906</v>
      </c>
      <c r="D70" s="44" t="s">
        <v>131</v>
      </c>
      <c r="E70" s="44" t="s">
        <v>43</v>
      </c>
      <c r="F70" s="41">
        <v>96</v>
      </c>
      <c r="G70" s="41">
        <v>2</v>
      </c>
      <c r="H70" s="41">
        <v>11</v>
      </c>
      <c r="I70" s="154">
        <v>450</v>
      </c>
      <c r="J70" s="155">
        <v>85</v>
      </c>
      <c r="K70" s="155">
        <f>J70/G70</f>
        <v>42.5</v>
      </c>
      <c r="L70" s="156">
        <f t="shared" si="2"/>
        <v>5.294117647058823</v>
      </c>
      <c r="M70" s="154">
        <v>3169225</v>
      </c>
      <c r="N70" s="155">
        <v>379134</v>
      </c>
      <c r="O70" s="103">
        <f>+M70/N70</f>
        <v>8.35911577437001</v>
      </c>
      <c r="P70" s="321"/>
    </row>
    <row r="71" spans="1:16" s="7" customFormat="1" ht="15">
      <c r="A71" s="63">
        <v>67</v>
      </c>
      <c r="B71" s="49" t="s">
        <v>216</v>
      </c>
      <c r="C71" s="39">
        <v>39808</v>
      </c>
      <c r="D71" s="44" t="s">
        <v>131</v>
      </c>
      <c r="E71" s="44" t="s">
        <v>111</v>
      </c>
      <c r="F71" s="41">
        <v>112</v>
      </c>
      <c r="G71" s="41">
        <v>1</v>
      </c>
      <c r="H71" s="41">
        <v>25</v>
      </c>
      <c r="I71" s="154">
        <v>441</v>
      </c>
      <c r="J71" s="155">
        <v>350</v>
      </c>
      <c r="K71" s="155">
        <f>J71/G71</f>
        <v>350</v>
      </c>
      <c r="L71" s="156">
        <f t="shared" si="2"/>
        <v>1.26</v>
      </c>
      <c r="M71" s="154">
        <v>2065081</v>
      </c>
      <c r="N71" s="155">
        <v>217142</v>
      </c>
      <c r="O71" s="103">
        <f>+M71/N71</f>
        <v>9.510278987943373</v>
      </c>
      <c r="P71" s="321"/>
    </row>
    <row r="72" spans="1:16" s="7" customFormat="1" ht="15">
      <c r="A72" s="63">
        <v>68</v>
      </c>
      <c r="B72" s="49" t="s">
        <v>212</v>
      </c>
      <c r="C72" s="39">
        <v>39864</v>
      </c>
      <c r="D72" s="44" t="s">
        <v>134</v>
      </c>
      <c r="E72" s="44" t="s">
        <v>375</v>
      </c>
      <c r="F72" s="41">
        <v>4</v>
      </c>
      <c r="G72" s="41">
        <v>1</v>
      </c>
      <c r="H72" s="41">
        <v>12</v>
      </c>
      <c r="I72" s="154">
        <v>420</v>
      </c>
      <c r="J72" s="155">
        <v>70</v>
      </c>
      <c r="K72" s="155">
        <f>(J72/G72)</f>
        <v>70</v>
      </c>
      <c r="L72" s="156">
        <f t="shared" si="2"/>
        <v>6</v>
      </c>
      <c r="M72" s="154">
        <f>6804+2328+2310+826+241+1288+1545+817+40+615+1688+420</f>
        <v>18922</v>
      </c>
      <c r="N72" s="155">
        <f>775+357+469+134+39+295+305+158+8+67+387+70</f>
        <v>3064</v>
      </c>
      <c r="O72" s="103">
        <f>M72/N72</f>
        <v>6.1755874673629245</v>
      </c>
      <c r="P72" s="321">
        <v>1</v>
      </c>
    </row>
    <row r="73" spans="1:16" s="7" customFormat="1" ht="15">
      <c r="A73" s="63">
        <v>69</v>
      </c>
      <c r="B73" s="49" t="s">
        <v>197</v>
      </c>
      <c r="C73" s="39">
        <v>39857</v>
      </c>
      <c r="D73" s="44" t="s">
        <v>134</v>
      </c>
      <c r="E73" s="44" t="s">
        <v>133</v>
      </c>
      <c r="F73" s="41">
        <v>41</v>
      </c>
      <c r="G73" s="41">
        <v>2</v>
      </c>
      <c r="H73" s="41">
        <v>16</v>
      </c>
      <c r="I73" s="154">
        <v>382</v>
      </c>
      <c r="J73" s="155">
        <v>57</v>
      </c>
      <c r="K73" s="155">
        <f>(J73/G73)</f>
        <v>28.5</v>
      </c>
      <c r="L73" s="156">
        <f t="shared" si="2"/>
        <v>6.701754385964913</v>
      </c>
      <c r="M73" s="154">
        <f>237955+174160.5+33697.5+17295.5+3111+908+14803+5802.5+3727+1295+1110+1441+1172+3872+566+382</f>
        <v>501298</v>
      </c>
      <c r="N73" s="155">
        <f>21828+16711+3926+2842+612+184+2267+940+496+230+202+304+208+948+71+57</f>
        <v>51826</v>
      </c>
      <c r="O73" s="103">
        <f>M73/N73</f>
        <v>9.672712538108286</v>
      </c>
      <c r="P73" s="321"/>
    </row>
    <row r="74" spans="1:16" s="7" customFormat="1" ht="15">
      <c r="A74" s="63">
        <v>70</v>
      </c>
      <c r="B74" s="49" t="s">
        <v>305</v>
      </c>
      <c r="C74" s="39">
        <v>39920</v>
      </c>
      <c r="D74" s="44" t="s">
        <v>4</v>
      </c>
      <c r="E74" s="44" t="s">
        <v>306</v>
      </c>
      <c r="F74" s="41">
        <v>132</v>
      </c>
      <c r="G74" s="41">
        <v>2</v>
      </c>
      <c r="H74" s="41">
        <v>9</v>
      </c>
      <c r="I74" s="154">
        <v>366</v>
      </c>
      <c r="J74" s="155">
        <v>71</v>
      </c>
      <c r="K74" s="155">
        <f>J74/G74</f>
        <v>35.5</v>
      </c>
      <c r="L74" s="156">
        <f t="shared" si="2"/>
        <v>5.154929577464789</v>
      </c>
      <c r="M74" s="154">
        <v>889250</v>
      </c>
      <c r="N74" s="155">
        <v>112242</v>
      </c>
      <c r="O74" s="103">
        <f>+M74/N74</f>
        <v>7.922613638388482</v>
      </c>
      <c r="P74" s="321">
        <v>1</v>
      </c>
    </row>
    <row r="75" spans="1:16" s="7" customFormat="1" ht="15">
      <c r="A75" s="63">
        <v>71</v>
      </c>
      <c r="B75" s="49" t="s">
        <v>296</v>
      </c>
      <c r="C75" s="39">
        <v>39913</v>
      </c>
      <c r="D75" s="44" t="s">
        <v>134</v>
      </c>
      <c r="E75" s="44" t="s">
        <v>156</v>
      </c>
      <c r="F75" s="41">
        <v>25</v>
      </c>
      <c r="G75" s="41">
        <v>1</v>
      </c>
      <c r="H75" s="41">
        <v>9</v>
      </c>
      <c r="I75" s="154">
        <v>358</v>
      </c>
      <c r="J75" s="155">
        <v>48</v>
      </c>
      <c r="K75" s="155">
        <f>(J75/G75)</f>
        <v>48</v>
      </c>
      <c r="L75" s="156">
        <f t="shared" si="2"/>
        <v>7.458333333333333</v>
      </c>
      <c r="M75" s="154">
        <f>27272+5053+1261+893+3382.5+1033+1215+944+358</f>
        <v>41411.5</v>
      </c>
      <c r="N75" s="155">
        <f>2445+551+258+199+504+141+212+188+48</f>
        <v>4546</v>
      </c>
      <c r="O75" s="103">
        <f>M75/N75</f>
        <v>9.10943686757589</v>
      </c>
      <c r="P75" s="321"/>
    </row>
    <row r="76" spans="1:16" s="7" customFormat="1" ht="15">
      <c r="A76" s="63">
        <v>72</v>
      </c>
      <c r="B76" s="49" t="s">
        <v>425</v>
      </c>
      <c r="C76" s="39">
        <v>37162</v>
      </c>
      <c r="D76" s="44" t="s">
        <v>92</v>
      </c>
      <c r="E76" s="44" t="s">
        <v>426</v>
      </c>
      <c r="F76" s="41">
        <v>9</v>
      </c>
      <c r="G76" s="41">
        <v>1</v>
      </c>
      <c r="H76" s="41">
        <v>64</v>
      </c>
      <c r="I76" s="154">
        <v>315</v>
      </c>
      <c r="J76" s="155">
        <v>63</v>
      </c>
      <c r="K76" s="155">
        <f>J76/G76</f>
        <v>63</v>
      </c>
      <c r="L76" s="156">
        <f t="shared" si="2"/>
        <v>5</v>
      </c>
      <c r="M76" s="154">
        <v>172554.15</v>
      </c>
      <c r="N76" s="155">
        <v>51899</v>
      </c>
      <c r="O76" s="103">
        <f>+M76/N76</f>
        <v>3.3248068363552283</v>
      </c>
      <c r="P76" s="321"/>
    </row>
    <row r="77" spans="1:16" s="7" customFormat="1" ht="15">
      <c r="A77" s="63">
        <v>73</v>
      </c>
      <c r="B77" s="49" t="s">
        <v>191</v>
      </c>
      <c r="C77" s="39">
        <v>39850</v>
      </c>
      <c r="D77" s="44" t="s">
        <v>134</v>
      </c>
      <c r="E77" s="44" t="s">
        <v>192</v>
      </c>
      <c r="F77" s="41">
        <v>4</v>
      </c>
      <c r="G77" s="41">
        <v>1</v>
      </c>
      <c r="H77" s="41">
        <v>10</v>
      </c>
      <c r="I77" s="154">
        <v>306</v>
      </c>
      <c r="J77" s="155">
        <v>51</v>
      </c>
      <c r="K77" s="155">
        <f>(J77/G77)</f>
        <v>51</v>
      </c>
      <c r="L77" s="156">
        <f t="shared" si="2"/>
        <v>6</v>
      </c>
      <c r="M77" s="154">
        <f>3471+1177+1932+1499+102+393+190+338+243+306</f>
        <v>9651</v>
      </c>
      <c r="N77" s="155">
        <f>322+131+339+226+14+53+38+38+28+51</f>
        <v>1240</v>
      </c>
      <c r="O77" s="103">
        <f>M77/N77</f>
        <v>7.783064516129032</v>
      </c>
      <c r="P77" s="321"/>
    </row>
    <row r="78" spans="1:16" s="7" customFormat="1" ht="15">
      <c r="A78" s="63">
        <v>74</v>
      </c>
      <c r="B78" s="49" t="s">
        <v>34</v>
      </c>
      <c r="C78" s="39">
        <v>39815</v>
      </c>
      <c r="D78" s="44" t="s">
        <v>130</v>
      </c>
      <c r="E78" s="44" t="s">
        <v>35</v>
      </c>
      <c r="F78" s="41">
        <v>62</v>
      </c>
      <c r="G78" s="41">
        <v>1</v>
      </c>
      <c r="H78" s="41">
        <v>15</v>
      </c>
      <c r="I78" s="154">
        <v>213</v>
      </c>
      <c r="J78" s="155">
        <v>37</v>
      </c>
      <c r="K78" s="155">
        <f>J78/G78</f>
        <v>37</v>
      </c>
      <c r="L78" s="156">
        <f t="shared" si="2"/>
        <v>5.756756756756757</v>
      </c>
      <c r="M78" s="154">
        <f>364878+189780+24392+5352+42+1552+1221+1432+5133+1444+196+795+345+2977+568+213</f>
        <v>600320</v>
      </c>
      <c r="N78" s="155">
        <f>36690+19609+2909+1194-16+282+185+285+1591+285+28+129+56+579+94+37</f>
        <v>63937</v>
      </c>
      <c r="O78" s="103">
        <f>+M78/N78</f>
        <v>9.389242535621001</v>
      </c>
      <c r="P78" s="321"/>
    </row>
    <row r="79" spans="1:16" s="7" customFormat="1" ht="15">
      <c r="A79" s="63">
        <v>75</v>
      </c>
      <c r="B79" s="49" t="s">
        <v>257</v>
      </c>
      <c r="C79" s="39">
        <v>39885</v>
      </c>
      <c r="D79" s="44" t="s">
        <v>258</v>
      </c>
      <c r="E79" s="44" t="s">
        <v>1</v>
      </c>
      <c r="F79" s="41">
        <v>1</v>
      </c>
      <c r="G79" s="41">
        <v>1</v>
      </c>
      <c r="H79" s="41">
        <v>8</v>
      </c>
      <c r="I79" s="154">
        <v>192</v>
      </c>
      <c r="J79" s="155">
        <v>32</v>
      </c>
      <c r="K79" s="155">
        <f>(J79/G79)</f>
        <v>32</v>
      </c>
      <c r="L79" s="156">
        <f t="shared" si="2"/>
        <v>6</v>
      </c>
      <c r="M79" s="154">
        <f>4788+2916+224+67+1174+2376+93+192</f>
        <v>11830</v>
      </c>
      <c r="N79" s="155">
        <f>549+337+27+11+121+594+31+32</f>
        <v>1702</v>
      </c>
      <c r="O79" s="103">
        <f>M79/N79</f>
        <v>6.950646298472385</v>
      </c>
      <c r="P79" s="321"/>
    </row>
    <row r="80" spans="1:16" s="7" customFormat="1" ht="15">
      <c r="A80" s="63">
        <v>76</v>
      </c>
      <c r="B80" s="49" t="s">
        <v>295</v>
      </c>
      <c r="C80" s="39">
        <v>39913</v>
      </c>
      <c r="D80" s="44" t="s">
        <v>132</v>
      </c>
      <c r="E80" s="44" t="s">
        <v>107</v>
      </c>
      <c r="F80" s="41">
        <v>58</v>
      </c>
      <c r="G80" s="41">
        <v>2</v>
      </c>
      <c r="H80" s="41">
        <v>10</v>
      </c>
      <c r="I80" s="154">
        <v>182</v>
      </c>
      <c r="J80" s="155">
        <v>39</v>
      </c>
      <c r="K80" s="155">
        <f>J80/G80</f>
        <v>19.5</v>
      </c>
      <c r="L80" s="156">
        <f t="shared" si="2"/>
        <v>4.666666666666667</v>
      </c>
      <c r="M80" s="154">
        <f>98586+53030.5+26630.5+22794.25+6969+1410+2571+0.5+202+493+182</f>
        <v>212868.75</v>
      </c>
      <c r="N80" s="155">
        <f>10552+5817+4286+3997+1311+179+561+43+115+39</f>
        <v>26900</v>
      </c>
      <c r="O80" s="103">
        <f>+M80/N80</f>
        <v>7.9133364312267656</v>
      </c>
      <c r="P80" s="321"/>
    </row>
    <row r="81" spans="1:16" s="7" customFormat="1" ht="15">
      <c r="A81" s="63">
        <v>77</v>
      </c>
      <c r="B81" s="49" t="s">
        <v>424</v>
      </c>
      <c r="C81" s="39">
        <v>38275</v>
      </c>
      <c r="D81" s="44" t="s">
        <v>92</v>
      </c>
      <c r="E81" s="44" t="s">
        <v>107</v>
      </c>
      <c r="F81" s="41">
        <v>13</v>
      </c>
      <c r="G81" s="41">
        <v>1</v>
      </c>
      <c r="H81" s="41">
        <v>28</v>
      </c>
      <c r="I81" s="154">
        <v>105</v>
      </c>
      <c r="J81" s="155">
        <v>21</v>
      </c>
      <c r="K81" s="155">
        <f>J81/G81</f>
        <v>21</v>
      </c>
      <c r="L81" s="156">
        <f t="shared" si="2"/>
        <v>5</v>
      </c>
      <c r="M81" s="154">
        <v>89119.5</v>
      </c>
      <c r="N81" s="155">
        <v>14243</v>
      </c>
      <c r="O81" s="103">
        <f>+M81/N81</f>
        <v>6.25707365021414</v>
      </c>
      <c r="P81" s="321"/>
    </row>
    <row r="82" spans="1:16" s="7" customFormat="1" ht="15">
      <c r="A82" s="63">
        <v>78</v>
      </c>
      <c r="B82" s="49" t="s">
        <v>224</v>
      </c>
      <c r="C82" s="39">
        <v>39871</v>
      </c>
      <c r="D82" s="44" t="s">
        <v>134</v>
      </c>
      <c r="E82" s="44" t="s">
        <v>1</v>
      </c>
      <c r="F82" s="41">
        <v>1</v>
      </c>
      <c r="G82" s="41">
        <v>1</v>
      </c>
      <c r="H82" s="41">
        <v>13</v>
      </c>
      <c r="I82" s="154">
        <v>96</v>
      </c>
      <c r="J82" s="155">
        <v>16</v>
      </c>
      <c r="K82" s="155">
        <f>(J82/G82)</f>
        <v>16</v>
      </c>
      <c r="L82" s="156">
        <f t="shared" si="2"/>
        <v>6</v>
      </c>
      <c r="M82" s="154">
        <f>1088+1510+1304+856+387+214+424+106+162+130+476+60.5+118+96</f>
        <v>6931.5</v>
      </c>
      <c r="N82" s="155">
        <f>267+175+155+102+46+26+51+12+18+16+57+8+22+16</f>
        <v>971</v>
      </c>
      <c r="O82" s="103">
        <f>M82/N82</f>
        <v>7.1385169927909375</v>
      </c>
      <c r="P82" s="321"/>
    </row>
    <row r="83" spans="1:16" s="7" customFormat="1" ht="15">
      <c r="A83" s="63">
        <v>79</v>
      </c>
      <c r="B83" s="49" t="s">
        <v>243</v>
      </c>
      <c r="C83" s="39">
        <v>39885</v>
      </c>
      <c r="D83" s="44" t="s">
        <v>131</v>
      </c>
      <c r="E83" s="44" t="s">
        <v>127</v>
      </c>
      <c r="F83" s="41">
        <v>51</v>
      </c>
      <c r="G83" s="41">
        <v>1</v>
      </c>
      <c r="H83" s="41">
        <v>14</v>
      </c>
      <c r="I83" s="154">
        <v>70</v>
      </c>
      <c r="J83" s="155">
        <v>7</v>
      </c>
      <c r="K83" s="155">
        <f>J83/G83</f>
        <v>7</v>
      </c>
      <c r="L83" s="156">
        <f t="shared" si="2"/>
        <v>10</v>
      </c>
      <c r="M83" s="154">
        <v>549010</v>
      </c>
      <c r="N83" s="155">
        <v>64092</v>
      </c>
      <c r="O83" s="103">
        <f>+M83/N83</f>
        <v>8.565967671472258</v>
      </c>
      <c r="P83" s="321"/>
    </row>
    <row r="84" spans="1:16" s="7" customFormat="1" ht="15">
      <c r="A84" s="63">
        <v>80</v>
      </c>
      <c r="B84" s="49" t="s">
        <v>359</v>
      </c>
      <c r="C84" s="39">
        <v>39941</v>
      </c>
      <c r="D84" s="44" t="s">
        <v>134</v>
      </c>
      <c r="E84" s="44" t="s">
        <v>90</v>
      </c>
      <c r="F84" s="41">
        <v>25</v>
      </c>
      <c r="G84" s="41">
        <v>1</v>
      </c>
      <c r="H84" s="41">
        <v>6</v>
      </c>
      <c r="I84" s="154">
        <v>32</v>
      </c>
      <c r="J84" s="155">
        <v>5</v>
      </c>
      <c r="K84" s="155">
        <f>(J84/G84)</f>
        <v>5</v>
      </c>
      <c r="L84" s="156">
        <f t="shared" si="2"/>
        <v>6.4</v>
      </c>
      <c r="M84" s="154">
        <f>11131.5+481.5+197+88+48+32</f>
        <v>11978</v>
      </c>
      <c r="N84" s="155">
        <f>1039+58+23+12+8+5</f>
        <v>1145</v>
      </c>
      <c r="O84" s="103">
        <f>M84/N84</f>
        <v>10.46113537117904</v>
      </c>
      <c r="P84" s="321"/>
    </row>
    <row r="85" spans="1:16" s="7" customFormat="1" ht="15">
      <c r="A85" s="63">
        <v>81</v>
      </c>
      <c r="B85" s="49" t="s">
        <v>174</v>
      </c>
      <c r="C85" s="39">
        <v>39843</v>
      </c>
      <c r="D85" s="44" t="s">
        <v>136</v>
      </c>
      <c r="E85" s="44" t="s">
        <v>175</v>
      </c>
      <c r="F85" s="41">
        <v>92</v>
      </c>
      <c r="G85" s="41">
        <v>1</v>
      </c>
      <c r="H85" s="41">
        <v>14</v>
      </c>
      <c r="I85" s="154">
        <v>28</v>
      </c>
      <c r="J85" s="155">
        <v>5</v>
      </c>
      <c r="K85" s="155">
        <f>J85/G85</f>
        <v>5</v>
      </c>
      <c r="L85" s="156">
        <f t="shared" si="2"/>
        <v>5.6</v>
      </c>
      <c r="M85" s="154">
        <f>642349.5+28</f>
        <v>642377.5</v>
      </c>
      <c r="N85" s="155">
        <f>76519+5</f>
        <v>76524</v>
      </c>
      <c r="O85" s="103">
        <f>+M85/N85</f>
        <v>8.39445794783336</v>
      </c>
      <c r="P85" s="321">
        <v>1</v>
      </c>
    </row>
    <row r="86" spans="1:16" s="7" customFormat="1" ht="15">
      <c r="A86" s="63">
        <v>82</v>
      </c>
      <c r="B86" s="49" t="s">
        <v>423</v>
      </c>
      <c r="C86" s="39">
        <v>38450</v>
      </c>
      <c r="D86" s="44" t="s">
        <v>92</v>
      </c>
      <c r="E86" s="44" t="s">
        <v>107</v>
      </c>
      <c r="F86" s="41">
        <v>18</v>
      </c>
      <c r="G86" s="41">
        <v>1</v>
      </c>
      <c r="H86" s="41">
        <v>25</v>
      </c>
      <c r="I86" s="154">
        <v>20</v>
      </c>
      <c r="J86" s="155">
        <v>4</v>
      </c>
      <c r="K86" s="155">
        <f>J86/G86</f>
        <v>4</v>
      </c>
      <c r="L86" s="156">
        <f t="shared" si="2"/>
        <v>5</v>
      </c>
      <c r="M86" s="154">
        <v>94138.5</v>
      </c>
      <c r="N86" s="155">
        <v>14857</v>
      </c>
      <c r="O86" s="103">
        <f>+M86/N86</f>
        <v>6.336306118328061</v>
      </c>
      <c r="P86" s="321"/>
    </row>
    <row r="87" spans="1:16" s="7" customFormat="1" ht="15.75" thickBot="1">
      <c r="A87" s="63">
        <v>83</v>
      </c>
      <c r="B87" s="386" t="s">
        <v>44</v>
      </c>
      <c r="C87" s="337">
        <v>39780</v>
      </c>
      <c r="D87" s="338" t="s">
        <v>131</v>
      </c>
      <c r="E87" s="338" t="s">
        <v>127</v>
      </c>
      <c r="F87" s="339">
        <v>121</v>
      </c>
      <c r="G87" s="339">
        <v>1</v>
      </c>
      <c r="H87" s="339">
        <v>29</v>
      </c>
      <c r="I87" s="384">
        <v>16</v>
      </c>
      <c r="J87" s="355">
        <v>4</v>
      </c>
      <c r="K87" s="355">
        <f>J87/G87</f>
        <v>4</v>
      </c>
      <c r="L87" s="383">
        <f t="shared" si="2"/>
        <v>4</v>
      </c>
      <c r="M87" s="384">
        <v>3471144</v>
      </c>
      <c r="N87" s="355">
        <v>409950</v>
      </c>
      <c r="O87" s="385">
        <f>+M87/N87</f>
        <v>8.467237467983901</v>
      </c>
      <c r="P87" s="321"/>
    </row>
    <row r="88" spans="1:16" s="38" customFormat="1" ht="15">
      <c r="A88" s="404" t="s">
        <v>137</v>
      </c>
      <c r="B88" s="405"/>
      <c r="C88" s="34"/>
      <c r="D88" s="109"/>
      <c r="E88" s="109"/>
      <c r="F88" s="35"/>
      <c r="G88" s="36"/>
      <c r="H88" s="35"/>
      <c r="I88" s="68">
        <f>SUM(I5:I87)</f>
        <v>2384746.75</v>
      </c>
      <c r="J88" s="113">
        <f>SUM(J5:J87)</f>
        <v>338401</v>
      </c>
      <c r="K88" s="113"/>
      <c r="L88" s="61"/>
      <c r="M88" s="73"/>
      <c r="N88" s="78"/>
      <c r="O88" s="37"/>
      <c r="P88" s="319"/>
    </row>
    <row r="89" spans="1:16" s="7" customFormat="1" ht="13.5">
      <c r="A89" s="26"/>
      <c r="C89" s="11"/>
      <c r="D89" s="14"/>
      <c r="E89" s="14"/>
      <c r="F89" s="8"/>
      <c r="G89" s="8"/>
      <c r="H89" s="8"/>
      <c r="I89" s="69"/>
      <c r="J89" s="114"/>
      <c r="K89" s="114"/>
      <c r="L89" s="21"/>
      <c r="M89" s="75"/>
      <c r="N89" s="80"/>
      <c r="O89" s="21"/>
      <c r="P89" s="319"/>
    </row>
    <row r="90" spans="1:16" s="7" customFormat="1" ht="13.5">
      <c r="A90" s="26"/>
      <c r="B90"/>
      <c r="C90" s="83"/>
      <c r="D90" s="110"/>
      <c r="E90" s="110"/>
      <c r="F90" s="62"/>
      <c r="G90" s="16"/>
      <c r="H90" s="8"/>
      <c r="I90" s="69"/>
      <c r="J90" s="114"/>
      <c r="K90" s="406" t="s">
        <v>135</v>
      </c>
      <c r="L90" s="402"/>
      <c r="M90" s="402"/>
      <c r="N90" s="402"/>
      <c r="O90" s="402"/>
      <c r="P90" s="319"/>
    </row>
    <row r="91" spans="1:16" s="7" customFormat="1" ht="13.5">
      <c r="A91" s="26"/>
      <c r="B91"/>
      <c r="C91" s="83"/>
      <c r="D91" s="110"/>
      <c r="E91" s="110"/>
      <c r="F91" s="62"/>
      <c r="G91" s="8"/>
      <c r="H91" s="17"/>
      <c r="I91" s="69"/>
      <c r="J91" s="114"/>
      <c r="K91" s="402"/>
      <c r="L91" s="402"/>
      <c r="M91" s="402"/>
      <c r="N91" s="402"/>
      <c r="O91" s="402"/>
      <c r="P91" s="319"/>
    </row>
    <row r="92" spans="1:16" s="7" customFormat="1" ht="13.5">
      <c r="A92" s="26"/>
      <c r="B92"/>
      <c r="C92" s="83"/>
      <c r="D92" s="110"/>
      <c r="E92" s="110"/>
      <c r="F92" s="62"/>
      <c r="G92" s="8"/>
      <c r="H92" s="17"/>
      <c r="I92" s="69"/>
      <c r="J92" s="114"/>
      <c r="K92" s="402"/>
      <c r="L92" s="402"/>
      <c r="M92" s="402"/>
      <c r="N92" s="402"/>
      <c r="O92" s="402"/>
      <c r="P92" s="319"/>
    </row>
    <row r="93" spans="1:16" s="7" customFormat="1" ht="13.5">
      <c r="A93" s="26"/>
      <c r="B93"/>
      <c r="C93" s="83"/>
      <c r="D93" s="110"/>
      <c r="E93" s="110"/>
      <c r="F93" s="62"/>
      <c r="G93" s="8"/>
      <c r="H93" s="17"/>
      <c r="I93" s="69"/>
      <c r="J93" s="114"/>
      <c r="K93" s="407"/>
      <c r="L93" s="407"/>
      <c r="M93" s="407"/>
      <c r="N93" s="407"/>
      <c r="O93" s="407"/>
      <c r="P93" s="319"/>
    </row>
    <row r="94" spans="1:16" s="7" customFormat="1" ht="13.5">
      <c r="A94" s="26"/>
      <c r="B94"/>
      <c r="C94" s="83"/>
      <c r="D94" s="110"/>
      <c r="E94" s="110"/>
      <c r="F94" s="62"/>
      <c r="G94" s="8"/>
      <c r="H94" s="401" t="s">
        <v>100</v>
      </c>
      <c r="I94" s="402"/>
      <c r="J94" s="402"/>
      <c r="K94" s="402"/>
      <c r="L94" s="402"/>
      <c r="M94" s="402"/>
      <c r="N94" s="402"/>
      <c r="O94" s="402"/>
      <c r="P94" s="319"/>
    </row>
    <row r="95" spans="1:16" s="19" customFormat="1" ht="15">
      <c r="A95" s="26"/>
      <c r="B95"/>
      <c r="C95" s="83"/>
      <c r="D95" s="110"/>
      <c r="E95" s="110"/>
      <c r="F95" s="62"/>
      <c r="G95" s="23"/>
      <c r="H95" s="402"/>
      <c r="I95" s="402"/>
      <c r="J95" s="402"/>
      <c r="K95" s="402"/>
      <c r="L95" s="402"/>
      <c r="M95" s="402"/>
      <c r="N95" s="402"/>
      <c r="O95" s="402"/>
      <c r="P95" s="319"/>
    </row>
    <row r="96" spans="1:16" s="19" customFormat="1" ht="15">
      <c r="A96" s="26"/>
      <c r="B96"/>
      <c r="C96" s="83"/>
      <c r="D96" s="110"/>
      <c r="E96" s="110"/>
      <c r="F96" s="62"/>
      <c r="G96" s="18"/>
      <c r="H96" s="402"/>
      <c r="I96" s="402"/>
      <c r="J96" s="402"/>
      <c r="K96" s="402"/>
      <c r="L96" s="402"/>
      <c r="M96" s="402"/>
      <c r="N96" s="402"/>
      <c r="O96" s="402"/>
      <c r="P96" s="319"/>
    </row>
    <row r="97" spans="1:16" s="19" customFormat="1" ht="15">
      <c r="A97" s="26"/>
      <c r="B97"/>
      <c r="C97" s="83"/>
      <c r="D97" s="110"/>
      <c r="E97" s="110"/>
      <c r="F97" s="62"/>
      <c r="G97" s="18"/>
      <c r="H97" s="402"/>
      <c r="I97" s="402"/>
      <c r="J97" s="402"/>
      <c r="K97" s="402"/>
      <c r="L97" s="402"/>
      <c r="M97" s="402"/>
      <c r="N97" s="402"/>
      <c r="O97" s="402"/>
      <c r="P97" s="319"/>
    </row>
    <row r="98" spans="1:16" s="19" customFormat="1" ht="15">
      <c r="A98" s="26"/>
      <c r="B98"/>
      <c r="C98" s="83"/>
      <c r="D98" s="110"/>
      <c r="E98" s="110"/>
      <c r="F98" s="62"/>
      <c r="G98" s="18"/>
      <c r="H98" s="402"/>
      <c r="I98" s="402"/>
      <c r="J98" s="402"/>
      <c r="K98" s="402"/>
      <c r="L98" s="402"/>
      <c r="M98" s="402"/>
      <c r="N98" s="402"/>
      <c r="O98" s="402"/>
      <c r="P98" s="319"/>
    </row>
    <row r="99" spans="1:16" s="19" customFormat="1" ht="15">
      <c r="A99" s="26"/>
      <c r="B99"/>
      <c r="C99" s="83"/>
      <c r="D99" s="110"/>
      <c r="E99" s="110"/>
      <c r="F99" s="62"/>
      <c r="G99" s="18"/>
      <c r="H99" s="402"/>
      <c r="I99" s="402"/>
      <c r="J99" s="402"/>
      <c r="K99" s="402"/>
      <c r="L99" s="402"/>
      <c r="M99" s="402"/>
      <c r="N99" s="402"/>
      <c r="O99" s="402"/>
      <c r="P99" s="319"/>
    </row>
    <row r="100" spans="1:16" s="19" customFormat="1" ht="15">
      <c r="A100" s="26"/>
      <c r="B100"/>
      <c r="C100" s="83"/>
      <c r="D100" s="110"/>
      <c r="E100" s="110"/>
      <c r="F100" s="62"/>
      <c r="G100" s="18"/>
      <c r="H100" s="403" t="s">
        <v>0</v>
      </c>
      <c r="I100" s="402"/>
      <c r="J100" s="402"/>
      <c r="K100" s="402"/>
      <c r="L100" s="402"/>
      <c r="M100" s="402"/>
      <c r="N100" s="402"/>
      <c r="O100" s="402"/>
      <c r="P100" s="319"/>
    </row>
    <row r="101" spans="1:16" s="19" customFormat="1" ht="15">
      <c r="A101" s="26"/>
      <c r="B101"/>
      <c r="C101" s="83"/>
      <c r="D101" s="110"/>
      <c r="E101" s="110"/>
      <c r="F101" s="62"/>
      <c r="G101" s="18"/>
      <c r="H101" s="402"/>
      <c r="I101" s="402"/>
      <c r="J101" s="402"/>
      <c r="K101" s="402"/>
      <c r="L101" s="402"/>
      <c r="M101" s="402"/>
      <c r="N101" s="402"/>
      <c r="O101" s="402"/>
      <c r="P101" s="319"/>
    </row>
    <row r="102" spans="1:16" s="19" customFormat="1" ht="15">
      <c r="A102" s="26"/>
      <c r="B102"/>
      <c r="C102" s="83"/>
      <c r="D102" s="110"/>
      <c r="E102" s="110"/>
      <c r="F102" s="62"/>
      <c r="G102" s="18"/>
      <c r="H102" s="402"/>
      <c r="I102" s="402"/>
      <c r="J102" s="402"/>
      <c r="K102" s="402"/>
      <c r="L102" s="402"/>
      <c r="M102" s="402"/>
      <c r="N102" s="402"/>
      <c r="O102" s="402"/>
      <c r="P102" s="319"/>
    </row>
    <row r="103" spans="1:16" s="19" customFormat="1" ht="15">
      <c r="A103" s="26"/>
      <c r="B103"/>
      <c r="C103" s="83"/>
      <c r="D103" s="110"/>
      <c r="E103" s="110"/>
      <c r="F103" s="62"/>
      <c r="G103" s="18"/>
      <c r="H103" s="402"/>
      <c r="I103" s="402"/>
      <c r="J103" s="402"/>
      <c r="K103" s="402"/>
      <c r="L103" s="402"/>
      <c r="M103" s="402"/>
      <c r="N103" s="402"/>
      <c r="O103" s="402"/>
      <c r="P103" s="319"/>
    </row>
    <row r="104" spans="1:16" s="19" customFormat="1" ht="15">
      <c r="A104" s="26"/>
      <c r="B104"/>
      <c r="C104" s="83"/>
      <c r="D104" s="110"/>
      <c r="E104" s="110"/>
      <c r="F104" s="62"/>
      <c r="G104" s="18"/>
      <c r="H104" s="402"/>
      <c r="I104" s="402"/>
      <c r="J104" s="402"/>
      <c r="K104" s="402"/>
      <c r="L104" s="402"/>
      <c r="M104" s="402"/>
      <c r="N104" s="402"/>
      <c r="O104" s="402"/>
      <c r="P104" s="319"/>
    </row>
    <row r="105" spans="1:16" s="19" customFormat="1" ht="15">
      <c r="A105" s="26"/>
      <c r="B105" s="27"/>
      <c r="C105" s="46"/>
      <c r="D105" s="111"/>
      <c r="E105" s="111"/>
      <c r="F105" s="59"/>
      <c r="G105" s="18"/>
      <c r="H105" s="402"/>
      <c r="I105" s="402"/>
      <c r="J105" s="402"/>
      <c r="K105" s="402"/>
      <c r="L105" s="402"/>
      <c r="M105" s="402"/>
      <c r="N105" s="402"/>
      <c r="O105" s="402"/>
      <c r="P105" s="319"/>
    </row>
    <row r="106" spans="1:16" s="19" customFormat="1" ht="15">
      <c r="A106" s="26"/>
      <c r="B106" s="27"/>
      <c r="C106" s="46"/>
      <c r="D106" s="111"/>
      <c r="E106" s="111"/>
      <c r="F106" s="59"/>
      <c r="G106" s="18"/>
      <c r="H106" s="402"/>
      <c r="I106" s="402"/>
      <c r="J106" s="402"/>
      <c r="K106" s="402"/>
      <c r="L106" s="402"/>
      <c r="M106" s="402"/>
      <c r="N106" s="402"/>
      <c r="O106" s="402"/>
      <c r="P106" s="319"/>
    </row>
    <row r="107" spans="1:16" s="19" customFormat="1" ht="15">
      <c r="A107" s="26"/>
      <c r="B107" s="27"/>
      <c r="C107" s="46"/>
      <c r="D107" s="111"/>
      <c r="E107" s="111"/>
      <c r="F107" s="59"/>
      <c r="G107" s="18"/>
      <c r="H107" s="59"/>
      <c r="I107" s="71"/>
      <c r="J107" s="115"/>
      <c r="K107" s="115"/>
      <c r="L107" s="60"/>
      <c r="M107" s="117"/>
      <c r="N107" s="81"/>
      <c r="O107" s="60"/>
      <c r="P107" s="319"/>
    </row>
    <row r="108" spans="1:16" s="19" customFormat="1" ht="15">
      <c r="A108" s="26"/>
      <c r="B108" s="27"/>
      <c r="C108" s="46"/>
      <c r="D108" s="111"/>
      <c r="E108" s="111"/>
      <c r="F108" s="59"/>
      <c r="G108" s="18"/>
      <c r="H108" s="59"/>
      <c r="I108" s="71"/>
      <c r="J108" s="115"/>
      <c r="K108" s="115"/>
      <c r="L108" s="60"/>
      <c r="M108" s="117"/>
      <c r="N108" s="81"/>
      <c r="O108" s="60"/>
      <c r="P108" s="319"/>
    </row>
    <row r="109" spans="2:6" ht="18">
      <c r="B109" s="27"/>
      <c r="C109" s="46"/>
      <c r="D109" s="111"/>
      <c r="E109" s="111"/>
      <c r="F109" s="59"/>
    </row>
    <row r="110" spans="2:6" ht="18">
      <c r="B110" s="27"/>
      <c r="C110" s="46"/>
      <c r="D110" s="111"/>
      <c r="E110" s="111"/>
      <c r="F110" s="59"/>
    </row>
    <row r="111" spans="2:15" ht="18">
      <c r="B111" s="27"/>
      <c r="C111" s="46"/>
      <c r="D111" s="111"/>
      <c r="E111" s="111"/>
      <c r="F111" s="59"/>
      <c r="G111" s="59"/>
      <c r="H111" s="59"/>
      <c r="I111" s="71"/>
      <c r="J111" s="115"/>
      <c r="K111" s="115"/>
      <c r="L111" s="60"/>
      <c r="M111" s="76"/>
      <c r="N111" s="82"/>
      <c r="O111" s="60"/>
    </row>
    <row r="112" spans="2:15" ht="18">
      <c r="B112" s="27"/>
      <c r="C112" s="46"/>
      <c r="D112" s="111"/>
      <c r="E112" s="111"/>
      <c r="F112" s="59"/>
      <c r="G112" s="59"/>
      <c r="H112" s="59"/>
      <c r="I112" s="71"/>
      <c r="J112" s="115"/>
      <c r="K112" s="115"/>
      <c r="L112" s="60"/>
      <c r="M112" s="76"/>
      <c r="N112" s="82"/>
      <c r="O112" s="60"/>
    </row>
    <row r="113" spans="2:15" ht="18">
      <c r="B113" s="27"/>
      <c r="C113" s="46"/>
      <c r="D113" s="111"/>
      <c r="E113" s="111"/>
      <c r="F113" s="59"/>
      <c r="G113" s="59"/>
      <c r="H113" s="59"/>
      <c r="I113" s="71"/>
      <c r="J113" s="115"/>
      <c r="K113" s="115"/>
      <c r="L113" s="60"/>
      <c r="M113" s="76"/>
      <c r="N113" s="82"/>
      <c r="O113" s="60"/>
    </row>
    <row r="114" spans="2:15" ht="18">
      <c r="B114" s="27"/>
      <c r="C114" s="46"/>
      <c r="D114" s="111"/>
      <c r="E114" s="111"/>
      <c r="F114" s="59"/>
      <c r="G114" s="59"/>
      <c r="H114" s="59"/>
      <c r="I114" s="71"/>
      <c r="J114" s="115"/>
      <c r="K114" s="115"/>
      <c r="L114" s="60"/>
      <c r="M114" s="76"/>
      <c r="N114" s="82"/>
      <c r="O114" s="60"/>
    </row>
    <row r="115" spans="2:15" ht="18">
      <c r="B115" s="27"/>
      <c r="C115" s="46"/>
      <c r="D115" s="111"/>
      <c r="E115" s="111"/>
      <c r="F115" s="59"/>
      <c r="G115" s="59"/>
      <c r="H115" s="59"/>
      <c r="I115" s="71"/>
      <c r="J115" s="115"/>
      <c r="K115" s="115"/>
      <c r="L115" s="60"/>
      <c r="M115" s="76"/>
      <c r="N115" s="82"/>
      <c r="O115" s="60"/>
    </row>
    <row r="116" spans="2:15" ht="18">
      <c r="B116" s="27"/>
      <c r="C116" s="46"/>
      <c r="D116" s="111"/>
      <c r="E116" s="111"/>
      <c r="F116" s="59"/>
      <c r="G116" s="59"/>
      <c r="H116" s="59"/>
      <c r="I116" s="71"/>
      <c r="J116" s="115"/>
      <c r="K116" s="115"/>
      <c r="L116" s="60"/>
      <c r="M116" s="76"/>
      <c r="N116" s="82"/>
      <c r="O116" s="60"/>
    </row>
    <row r="117" spans="2:15" ht="18">
      <c r="B117" s="27"/>
      <c r="C117" s="46"/>
      <c r="D117" s="111"/>
      <c r="E117" s="111"/>
      <c r="F117" s="59"/>
      <c r="G117" s="59"/>
      <c r="H117" s="59"/>
      <c r="I117" s="71"/>
      <c r="J117" s="115"/>
      <c r="K117" s="115"/>
      <c r="L117" s="60"/>
      <c r="M117" s="76"/>
      <c r="N117" s="82"/>
      <c r="O117" s="60"/>
    </row>
    <row r="118" spans="2:15" ht="18">
      <c r="B118" s="27"/>
      <c r="C118" s="46"/>
      <c r="D118" s="111"/>
      <c r="E118" s="111"/>
      <c r="F118" s="59"/>
      <c r="G118" s="59"/>
      <c r="H118" s="59"/>
      <c r="I118" s="71"/>
      <c r="J118" s="115"/>
      <c r="K118" s="115"/>
      <c r="L118" s="60"/>
      <c r="M118" s="76"/>
      <c r="N118" s="82"/>
      <c r="O118" s="60"/>
    </row>
    <row r="119" spans="7:15" ht="18">
      <c r="G119" s="59"/>
      <c r="H119" s="59"/>
      <c r="I119" s="71"/>
      <c r="J119" s="115"/>
      <c r="K119" s="115"/>
      <c r="L119" s="60"/>
      <c r="M119" s="76"/>
      <c r="N119" s="82"/>
      <c r="O119" s="60"/>
    </row>
    <row r="120" spans="7:15" ht="18">
      <c r="G120" s="59"/>
      <c r="H120" s="59"/>
      <c r="I120" s="71"/>
      <c r="J120" s="115"/>
      <c r="K120" s="115"/>
      <c r="L120" s="60"/>
      <c r="M120" s="76"/>
      <c r="N120" s="82"/>
      <c r="O120" s="60"/>
    </row>
    <row r="121" spans="7:15" ht="18">
      <c r="G121" s="59"/>
      <c r="H121" s="59"/>
      <c r="I121" s="71"/>
      <c r="J121" s="115"/>
      <c r="K121" s="115"/>
      <c r="L121" s="60"/>
      <c r="M121" s="76"/>
      <c r="N121" s="82"/>
      <c r="O121" s="60"/>
    </row>
    <row r="122" spans="7:15" ht="18">
      <c r="G122" s="59"/>
      <c r="H122" s="59"/>
      <c r="I122" s="71"/>
      <c r="J122" s="115"/>
      <c r="K122" s="115"/>
      <c r="L122" s="60"/>
      <c r="M122" s="76"/>
      <c r="N122" s="82"/>
      <c r="O122" s="60"/>
    </row>
    <row r="123" spans="7:15" ht="18">
      <c r="G123" s="59"/>
      <c r="H123" s="59"/>
      <c r="I123" s="71"/>
      <c r="J123" s="115"/>
      <c r="K123" s="115"/>
      <c r="L123" s="60"/>
      <c r="M123" s="76"/>
      <c r="N123" s="82"/>
      <c r="O123" s="60"/>
    </row>
    <row r="124" spans="7:15" ht="18">
      <c r="G124" s="59"/>
      <c r="H124" s="59"/>
      <c r="I124" s="71"/>
      <c r="J124" s="115"/>
      <c r="K124" s="115"/>
      <c r="L124" s="60"/>
      <c r="M124" s="76"/>
      <c r="N124" s="82"/>
      <c r="O124" s="60"/>
    </row>
  </sheetData>
  <sheetProtection insertRows="0" deleteRows="0" sort="0"/>
  <mergeCells count="15">
    <mergeCell ref="H94:O99"/>
    <mergeCell ref="H100:O106"/>
    <mergeCell ref="A88:B88"/>
    <mergeCell ref="K90:O92"/>
    <mergeCell ref="K93:O93"/>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K23:M39 Q16 Q15 K93:N99 O44:O47 K88:O92 O93:O99 O48:O87 H44:J99 K44:N87 O23:O43 K16:M22 O16:O22 Q7:Q14 K15:M15 N15:N22 P15:P22 O15" formula="1"/>
    <ignoredError sqref="Q83 Q42:Q56 F29:J40" numberStoredAsText="1"/>
  </ignoredErrors>
  <drawing r:id="rId1"/>
</worksheet>
</file>

<file path=xl/worksheets/sheet2.xml><?xml version="1.0" encoding="utf-8"?>
<worksheet xmlns="http://schemas.openxmlformats.org/spreadsheetml/2006/main" xmlns:r="http://schemas.openxmlformats.org/officeDocument/2006/relationships">
  <dimension ref="A1:N134"/>
  <sheetViews>
    <sheetView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15.421875" style="24" bestFit="1" customWidth="1"/>
    <col min="4" max="4" width="20.140625" style="24" bestFit="1" customWidth="1"/>
    <col min="5" max="5" width="30.7109375" style="24" bestFit="1" customWidth="1"/>
    <col min="6" max="6" width="6.421875" style="24" bestFit="1" customWidth="1"/>
    <col min="7" max="7" width="10.140625" style="24" customWidth="1"/>
    <col min="8" max="8" width="16.421875" style="125" bestFit="1" customWidth="1"/>
    <col min="9" max="9" width="11.8515625" style="126" bestFit="1" customWidth="1"/>
    <col min="10" max="10" width="8.421875" style="31" customWidth="1"/>
    <col min="11" max="11" width="3.140625" style="351"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49" customFormat="1" ht="36.75" customHeight="1" thickBot="1">
      <c r="A1" s="408" t="s">
        <v>413</v>
      </c>
      <c r="B1" s="408"/>
      <c r="C1" s="408"/>
      <c r="D1" s="408"/>
      <c r="E1" s="408"/>
      <c r="F1" s="408"/>
      <c r="G1" s="408"/>
      <c r="H1" s="408"/>
      <c r="I1" s="408"/>
      <c r="J1" s="408"/>
      <c r="K1" s="350"/>
      <c r="L1" s="147"/>
      <c r="M1" s="148"/>
      <c r="N1" s="147"/>
    </row>
    <row r="2" ht="13.5" thickBot="1"/>
    <row r="3" spans="1:14" s="29" customFormat="1" ht="14.25">
      <c r="A3" s="33"/>
      <c r="B3" s="409" t="s">
        <v>3</v>
      </c>
      <c r="C3" s="411" t="s">
        <v>102</v>
      </c>
      <c r="D3" s="411" t="s">
        <v>110</v>
      </c>
      <c r="E3" s="411" t="s">
        <v>109</v>
      </c>
      <c r="F3" s="393" t="s">
        <v>114</v>
      </c>
      <c r="G3" s="393" t="s">
        <v>103</v>
      </c>
      <c r="H3" s="414" t="s">
        <v>116</v>
      </c>
      <c r="I3" s="415"/>
      <c r="J3" s="416" t="s">
        <v>104</v>
      </c>
      <c r="K3" s="352"/>
      <c r="L3" s="55"/>
      <c r="M3" s="57"/>
      <c r="N3" s="55"/>
    </row>
    <row r="4" spans="1:14" s="29" customFormat="1" ht="33" customHeight="1" thickBot="1">
      <c r="A4" s="47"/>
      <c r="B4" s="410"/>
      <c r="C4" s="412"/>
      <c r="D4" s="412"/>
      <c r="E4" s="412"/>
      <c r="F4" s="413"/>
      <c r="G4" s="413"/>
      <c r="H4" s="283" t="s">
        <v>76</v>
      </c>
      <c r="I4" s="284" t="s">
        <v>2</v>
      </c>
      <c r="J4" s="417"/>
      <c r="K4" s="352"/>
      <c r="L4" s="55"/>
      <c r="M4" s="57"/>
      <c r="N4" s="55"/>
    </row>
    <row r="5" spans="1:14" s="29" customFormat="1" ht="15">
      <c r="A5" s="106">
        <v>1</v>
      </c>
      <c r="B5" s="376" t="s">
        <v>196</v>
      </c>
      <c r="C5" s="163">
        <v>39857</v>
      </c>
      <c r="D5" s="334" t="s">
        <v>132</v>
      </c>
      <c r="E5" s="334" t="s">
        <v>397</v>
      </c>
      <c r="F5" s="335">
        <v>372</v>
      </c>
      <c r="G5" s="335">
        <v>15</v>
      </c>
      <c r="H5" s="377">
        <f>17329163.5+9384321+4035301-111+1596787.5-52+594784+289448.5+142806.5+57257.5+10859.5+1656+13165+452+3902+124+16239</f>
        <v>33476104</v>
      </c>
      <c r="I5" s="336">
        <f>2236432+1203711+519916+206906+76573+36964+29367+10451+1641+205+2816+174+976+16+3753</f>
        <v>4329901</v>
      </c>
      <c r="J5" s="380">
        <f>+H5/I5</f>
        <v>7.7313786158159274</v>
      </c>
      <c r="K5" s="321">
        <v>1</v>
      </c>
      <c r="L5" s="107"/>
      <c r="M5" s="108"/>
      <c r="N5" s="107"/>
    </row>
    <row r="6" spans="1:14" s="29" customFormat="1" ht="15">
      <c r="A6" s="106">
        <v>2</v>
      </c>
      <c r="B6" s="363" t="s">
        <v>238</v>
      </c>
      <c r="C6" s="39">
        <v>39884</v>
      </c>
      <c r="D6" s="44" t="s">
        <v>4</v>
      </c>
      <c r="E6" s="44" t="s">
        <v>239</v>
      </c>
      <c r="F6" s="41">
        <v>355</v>
      </c>
      <c r="G6" s="41">
        <v>10</v>
      </c>
      <c r="H6" s="263">
        <v>19032535</v>
      </c>
      <c r="I6" s="308">
        <v>2489593</v>
      </c>
      <c r="J6" s="357">
        <f>+H6/I6</f>
        <v>7.644837931340585</v>
      </c>
      <c r="K6" s="330">
        <v>1</v>
      </c>
      <c r="L6" s="107"/>
      <c r="M6" s="108"/>
      <c r="N6" s="107"/>
    </row>
    <row r="7" spans="1:14" s="29" customFormat="1" ht="15.75" thickBot="1">
      <c r="A7" s="354">
        <v>3</v>
      </c>
      <c r="B7" s="386" t="s">
        <v>365</v>
      </c>
      <c r="C7" s="337">
        <v>39948</v>
      </c>
      <c r="D7" s="338" t="s">
        <v>130</v>
      </c>
      <c r="E7" s="338" t="s">
        <v>63</v>
      </c>
      <c r="F7" s="339">
        <v>187</v>
      </c>
      <c r="G7" s="339">
        <v>5</v>
      </c>
      <c r="H7" s="382">
        <f>2480079+1178811+790016+613909+407371</f>
        <v>5470186</v>
      </c>
      <c r="I7" s="340">
        <f>274361+131824+92845+76370+53546</f>
        <v>628946</v>
      </c>
      <c r="J7" s="385">
        <f>+H7/I7</f>
        <v>8.697385785107148</v>
      </c>
      <c r="K7" s="321"/>
      <c r="L7" s="107"/>
      <c r="M7" s="108"/>
      <c r="N7" s="107"/>
    </row>
    <row r="8" spans="1:14" s="29" customFormat="1" ht="15">
      <c r="A8" s="106">
        <v>4</v>
      </c>
      <c r="B8" s="365" t="s">
        <v>151</v>
      </c>
      <c r="C8" s="341">
        <v>39836</v>
      </c>
      <c r="D8" s="342" t="s">
        <v>132</v>
      </c>
      <c r="E8" s="342" t="s">
        <v>152</v>
      </c>
      <c r="F8" s="239">
        <v>180</v>
      </c>
      <c r="G8" s="239">
        <v>16</v>
      </c>
      <c r="H8" s="362">
        <f>1758644.5+1323710+941534+309534.5+197920+55019+28515+10481.5+9376+0.5+7127+5202+0.5+4667+2669+85+805+2472</f>
        <v>4657762.5</v>
      </c>
      <c r="I8" s="302">
        <f>205635+158652+117576+43365+28181+9066+4843+2243+2345+1225+998+716+401+17+161+412</f>
        <v>575836</v>
      </c>
      <c r="J8" s="361">
        <f>+H8/I8</f>
        <v>8.088696260740905</v>
      </c>
      <c r="K8" s="330">
        <v>1</v>
      </c>
      <c r="L8" s="107"/>
      <c r="M8" s="108"/>
      <c r="N8" s="107"/>
    </row>
    <row r="9" spans="1:14" s="29" customFormat="1" ht="15">
      <c r="A9" s="106">
        <v>5</v>
      </c>
      <c r="B9" s="363" t="s">
        <v>178</v>
      </c>
      <c r="C9" s="39">
        <v>39850</v>
      </c>
      <c r="D9" s="44" t="s">
        <v>130</v>
      </c>
      <c r="E9" s="44" t="s">
        <v>122</v>
      </c>
      <c r="F9" s="41">
        <v>71</v>
      </c>
      <c r="G9" s="41">
        <v>13</v>
      </c>
      <c r="H9" s="263">
        <f>23710+1679966+898914+783390+367131+248174+60198+28574+75603+24383+9342+1752+1887+328</f>
        <v>4203352</v>
      </c>
      <c r="I9" s="308">
        <f>2389+174143+94778+84343+41781+31873+9484+4106+14079+4279+1652+293+528+124</f>
        <v>463852</v>
      </c>
      <c r="J9" s="357">
        <f>+H9/I9</f>
        <v>9.06183868992696</v>
      </c>
      <c r="K9" s="330"/>
      <c r="L9" s="107"/>
      <c r="M9" s="108"/>
      <c r="N9" s="107"/>
    </row>
    <row r="10" spans="1:14" s="29" customFormat="1" ht="15">
      <c r="A10" s="106">
        <v>6</v>
      </c>
      <c r="B10" s="49" t="s">
        <v>5</v>
      </c>
      <c r="C10" s="39">
        <v>39829</v>
      </c>
      <c r="D10" s="44" t="s">
        <v>136</v>
      </c>
      <c r="E10" s="44" t="s">
        <v>153</v>
      </c>
      <c r="F10" s="41">
        <v>169</v>
      </c>
      <c r="G10" s="41">
        <v>13</v>
      </c>
      <c r="H10" s="307">
        <v>3752058.5</v>
      </c>
      <c r="I10" s="308">
        <v>514507</v>
      </c>
      <c r="J10" s="103">
        <f>IF(H10&lt;&gt;0,H10/I10,"")</f>
        <v>7.2925314913111</v>
      </c>
      <c r="K10" s="330">
        <v>1</v>
      </c>
      <c r="L10" s="107"/>
      <c r="M10" s="108"/>
      <c r="N10" s="107"/>
    </row>
    <row r="11" spans="1:14" s="29" customFormat="1" ht="15">
      <c r="A11" s="106">
        <v>7</v>
      </c>
      <c r="B11" s="363" t="s">
        <v>86</v>
      </c>
      <c r="C11" s="39">
        <v>39822</v>
      </c>
      <c r="D11" s="44" t="s">
        <v>136</v>
      </c>
      <c r="E11" s="44" t="s">
        <v>87</v>
      </c>
      <c r="F11" s="41">
        <v>175</v>
      </c>
      <c r="G11" s="41">
        <v>17</v>
      </c>
      <c r="H11" s="263">
        <v>3504788</v>
      </c>
      <c r="I11" s="308">
        <v>477907</v>
      </c>
      <c r="J11" s="357">
        <f>+H11/I11</f>
        <v>7.333619302500277</v>
      </c>
      <c r="K11" s="330">
        <v>1</v>
      </c>
      <c r="L11" s="107"/>
      <c r="M11" s="108"/>
      <c r="N11" s="107"/>
    </row>
    <row r="12" spans="1:14" s="29" customFormat="1" ht="15">
      <c r="A12" s="106">
        <v>8</v>
      </c>
      <c r="B12" s="49" t="s">
        <v>428</v>
      </c>
      <c r="C12" s="39">
        <v>39906</v>
      </c>
      <c r="D12" s="44" t="s">
        <v>131</v>
      </c>
      <c r="E12" s="44" t="s">
        <v>43</v>
      </c>
      <c r="F12" s="41">
        <v>96</v>
      </c>
      <c r="G12" s="41">
        <v>11</v>
      </c>
      <c r="H12" s="307">
        <v>3169225</v>
      </c>
      <c r="I12" s="308">
        <v>379134</v>
      </c>
      <c r="J12" s="103">
        <f>+H12/I12</f>
        <v>8.35911577437001</v>
      </c>
      <c r="K12" s="321"/>
      <c r="L12" s="107"/>
      <c r="M12" s="108"/>
      <c r="N12" s="107"/>
    </row>
    <row r="13" spans="1:14" s="29" customFormat="1" ht="15">
      <c r="A13" s="106">
        <v>9</v>
      </c>
      <c r="B13" s="49" t="s">
        <v>240</v>
      </c>
      <c r="C13" s="39">
        <v>39871</v>
      </c>
      <c r="D13" s="44" t="s">
        <v>241</v>
      </c>
      <c r="E13" s="44" t="s">
        <v>112</v>
      </c>
      <c r="F13" s="41">
        <v>57</v>
      </c>
      <c r="G13" s="41">
        <v>15</v>
      </c>
      <c r="H13" s="307">
        <v>3092529</v>
      </c>
      <c r="I13" s="308">
        <v>337141</v>
      </c>
      <c r="J13" s="103">
        <f>H13/I13</f>
        <v>9.172806036643422</v>
      </c>
      <c r="K13" s="321"/>
      <c r="L13" s="107"/>
      <c r="M13" s="108"/>
      <c r="N13" s="107"/>
    </row>
    <row r="14" spans="1:14" s="29" customFormat="1" ht="15">
      <c r="A14" s="106">
        <v>10</v>
      </c>
      <c r="B14" s="49" t="s">
        <v>6</v>
      </c>
      <c r="C14" s="39">
        <v>39829</v>
      </c>
      <c r="D14" s="44" t="s">
        <v>130</v>
      </c>
      <c r="E14" s="44" t="s">
        <v>122</v>
      </c>
      <c r="F14" s="41">
        <v>91</v>
      </c>
      <c r="G14" s="41">
        <v>11</v>
      </c>
      <c r="H14" s="307">
        <f>1185400+899041+1833+634887+222568+15075+17069-23+10895+8360+1979+2149+1799</f>
        <v>3001032</v>
      </c>
      <c r="I14" s="308">
        <f>128777+93782-9+68090+25354+2533+3131-2+2509+1525+960+396+302</f>
        <v>327348</v>
      </c>
      <c r="J14" s="103">
        <f>+H14/I14</f>
        <v>9.167711426371934</v>
      </c>
      <c r="K14" s="330"/>
      <c r="L14" s="107"/>
      <c r="M14" s="108"/>
      <c r="N14" s="107"/>
    </row>
    <row r="15" spans="1:14" s="29" customFormat="1" ht="15">
      <c r="A15" s="106">
        <v>11</v>
      </c>
      <c r="B15" s="49" t="s">
        <v>293</v>
      </c>
      <c r="C15" s="39">
        <v>39913</v>
      </c>
      <c r="D15" s="44" t="s">
        <v>130</v>
      </c>
      <c r="E15" s="44" t="s">
        <v>35</v>
      </c>
      <c r="F15" s="41">
        <v>102</v>
      </c>
      <c r="G15" s="41">
        <v>10</v>
      </c>
      <c r="H15" s="307">
        <f>976286-159+826227+510491+284645+108852+35666+16742+9892+9010+7086</f>
        <v>2784738</v>
      </c>
      <c r="I15" s="308">
        <f>110906+91714+60274+32282+15979+7006+2743+1667+1686+1351</f>
        <v>325608</v>
      </c>
      <c r="J15" s="103">
        <f>+H15/I15</f>
        <v>8.552425001842707</v>
      </c>
      <c r="K15" s="321"/>
      <c r="L15" s="107"/>
      <c r="M15" s="108"/>
      <c r="N15" s="107"/>
    </row>
    <row r="16" spans="1:14" s="29" customFormat="1" ht="15">
      <c r="A16" s="106">
        <v>12</v>
      </c>
      <c r="B16" s="49" t="s">
        <v>7</v>
      </c>
      <c r="C16" s="39">
        <v>39829</v>
      </c>
      <c r="D16" s="44" t="s">
        <v>134</v>
      </c>
      <c r="E16" s="44" t="s">
        <v>341</v>
      </c>
      <c r="F16" s="41">
        <v>80</v>
      </c>
      <c r="G16" s="41">
        <v>1</v>
      </c>
      <c r="H16" s="307">
        <f>783409.5+672566+392418+168504+54411+64946+58601+64120+20152+13919+28038+18395+13488+12795+8277+3206+3326.5+2899+422+2494+2511+191208.5</f>
        <v>2580106.5</v>
      </c>
      <c r="I16" s="308">
        <f>86363+71043+43171+22546+8141+10573+9585+10952+3417+2596+4707+3339+2364+2380+1458+540+671+701+80+511+492+23153</f>
        <v>308783</v>
      </c>
      <c r="J16" s="103">
        <f>H16/I16</f>
        <v>8.355727161145529</v>
      </c>
      <c r="K16" s="321"/>
      <c r="L16" s="107"/>
      <c r="M16" s="108"/>
      <c r="N16" s="107"/>
    </row>
    <row r="17" spans="1:14" s="29" customFormat="1" ht="15">
      <c r="A17" s="106">
        <v>13</v>
      </c>
      <c r="B17" s="363" t="s">
        <v>154</v>
      </c>
      <c r="C17" s="39">
        <v>39836</v>
      </c>
      <c r="D17" s="44" t="s">
        <v>131</v>
      </c>
      <c r="E17" s="44" t="s">
        <v>43</v>
      </c>
      <c r="F17" s="41">
        <v>108</v>
      </c>
      <c r="G17" s="41">
        <v>16</v>
      </c>
      <c r="H17" s="263">
        <v>2302148</v>
      </c>
      <c r="I17" s="308">
        <v>276741</v>
      </c>
      <c r="J17" s="357">
        <f>+H17/I17</f>
        <v>8.318781821269708</v>
      </c>
      <c r="K17" s="330"/>
      <c r="L17" s="107"/>
      <c r="M17" s="108"/>
      <c r="N17" s="107"/>
    </row>
    <row r="18" spans="1:14" s="29" customFormat="1" ht="15">
      <c r="A18" s="106">
        <v>14</v>
      </c>
      <c r="B18" s="363" t="s">
        <v>8</v>
      </c>
      <c r="C18" s="39">
        <v>39829</v>
      </c>
      <c r="D18" s="44" t="s">
        <v>131</v>
      </c>
      <c r="E18" s="44" t="s">
        <v>324</v>
      </c>
      <c r="F18" s="41">
        <v>177</v>
      </c>
      <c r="G18" s="41">
        <v>15</v>
      </c>
      <c r="H18" s="263">
        <v>1818482</v>
      </c>
      <c r="I18" s="308">
        <v>248596</v>
      </c>
      <c r="J18" s="357">
        <f>+H18/I18</f>
        <v>7.315009091055367</v>
      </c>
      <c r="K18" s="330">
        <v>1</v>
      </c>
      <c r="L18" s="107"/>
      <c r="M18" s="108"/>
      <c r="N18" s="107"/>
    </row>
    <row r="19" spans="1:14" s="29" customFormat="1" ht="15">
      <c r="A19" s="106">
        <v>15</v>
      </c>
      <c r="B19" s="49" t="s">
        <v>401</v>
      </c>
      <c r="C19" s="39">
        <v>39969</v>
      </c>
      <c r="D19" s="44" t="s">
        <v>130</v>
      </c>
      <c r="E19" s="44" t="s">
        <v>63</v>
      </c>
      <c r="F19" s="41">
        <v>152</v>
      </c>
      <c r="G19" s="41">
        <v>2</v>
      </c>
      <c r="H19" s="307">
        <f>1241132+551697</f>
        <v>1792829</v>
      </c>
      <c r="I19" s="308">
        <f>139003+64282</f>
        <v>203285</v>
      </c>
      <c r="J19" s="103">
        <f>+H19/I19</f>
        <v>8.819288191455346</v>
      </c>
      <c r="K19" s="321"/>
      <c r="L19" s="107"/>
      <c r="M19" s="108"/>
      <c r="N19" s="107"/>
    </row>
    <row r="20" spans="1:14" s="29" customFormat="1" ht="15">
      <c r="A20" s="106">
        <v>16</v>
      </c>
      <c r="B20" s="49" t="s">
        <v>356</v>
      </c>
      <c r="C20" s="39">
        <v>39913</v>
      </c>
      <c r="D20" s="44" t="s">
        <v>131</v>
      </c>
      <c r="E20" s="44" t="s">
        <v>127</v>
      </c>
      <c r="F20" s="41">
        <v>95</v>
      </c>
      <c r="G20" s="41">
        <v>10</v>
      </c>
      <c r="H20" s="307">
        <v>1602769</v>
      </c>
      <c r="I20" s="308">
        <v>148444</v>
      </c>
      <c r="J20" s="103">
        <f>+H20/I20</f>
        <v>10.797128883619411</v>
      </c>
      <c r="K20" s="321"/>
      <c r="L20" s="107"/>
      <c r="M20" s="108"/>
      <c r="N20" s="107"/>
    </row>
    <row r="21" spans="1:14" s="29" customFormat="1" ht="15">
      <c r="A21" s="106">
        <v>17</v>
      </c>
      <c r="B21" s="363" t="s">
        <v>219</v>
      </c>
      <c r="C21" s="39">
        <v>39871</v>
      </c>
      <c r="D21" s="44" t="s">
        <v>132</v>
      </c>
      <c r="E21" s="44" t="s">
        <v>342</v>
      </c>
      <c r="F21" s="41">
        <v>192</v>
      </c>
      <c r="G21" s="41">
        <v>10</v>
      </c>
      <c r="H21" s="263">
        <f>568084.5+439199.5+199559+109980+164256.5-20+26773.5+13463+1383+6404+0.5+715</f>
        <v>1529798.5</v>
      </c>
      <c r="I21" s="308">
        <f>79686+62524+31158+18444+26844-3+5195+2619+207+1137+130</f>
        <v>227941</v>
      </c>
      <c r="J21" s="357">
        <f>+H21/I21</f>
        <v>6.711379260422653</v>
      </c>
      <c r="K21" s="330">
        <v>1</v>
      </c>
      <c r="L21" s="107"/>
      <c r="M21" s="108"/>
      <c r="N21" s="107"/>
    </row>
    <row r="22" spans="1:14" s="29" customFormat="1" ht="15">
      <c r="A22" s="106">
        <v>18</v>
      </c>
      <c r="B22" s="49" t="s">
        <v>88</v>
      </c>
      <c r="C22" s="40">
        <v>39822</v>
      </c>
      <c r="D22" s="45" t="s">
        <v>134</v>
      </c>
      <c r="E22" s="44" t="s">
        <v>1</v>
      </c>
      <c r="F22" s="41">
        <v>37</v>
      </c>
      <c r="G22" s="41">
        <v>20</v>
      </c>
      <c r="H22" s="303">
        <f>659650+421734+197166+56066+26078+17427+25433+18144+27821+1811+493.5+7565+4181.5+3162+140+1484+1484+728+280+504</f>
        <v>1471352</v>
      </c>
      <c r="I22" s="304">
        <f>60096+38612+18194+5957+3377+2817+3965+3389+4264+427+74+1077+688+516+28+371+371+204+56+126</f>
        <v>144609</v>
      </c>
      <c r="J22" s="105">
        <f>H22/I22</f>
        <v>10.174691755008332</v>
      </c>
      <c r="K22" s="332"/>
      <c r="L22" s="107"/>
      <c r="M22" s="108"/>
      <c r="N22" s="107"/>
    </row>
    <row r="23" spans="1:14" s="29" customFormat="1" ht="15">
      <c r="A23" s="106">
        <v>19</v>
      </c>
      <c r="B23" s="49" t="s">
        <v>308</v>
      </c>
      <c r="C23" s="39">
        <v>39927</v>
      </c>
      <c r="D23" s="44" t="s">
        <v>130</v>
      </c>
      <c r="E23" s="44" t="s">
        <v>35</v>
      </c>
      <c r="F23" s="41">
        <v>65</v>
      </c>
      <c r="G23" s="41">
        <v>8</v>
      </c>
      <c r="H23" s="307">
        <f>3712+629893+477797+215605+48116+34458+25404+7618+11568</f>
        <v>1454171</v>
      </c>
      <c r="I23" s="308">
        <f>232+63691+45920+21343+7216+6030+4255+1409+2025</f>
        <v>152121</v>
      </c>
      <c r="J23" s="103">
        <f>+H23/I23</f>
        <v>9.559304763970786</v>
      </c>
      <c r="K23" s="321"/>
      <c r="L23" s="107"/>
      <c r="M23" s="108"/>
      <c r="N23" s="107"/>
    </row>
    <row r="24" spans="1:14" s="29" customFormat="1" ht="15">
      <c r="A24" s="106">
        <v>20</v>
      </c>
      <c r="B24" s="363" t="s">
        <v>155</v>
      </c>
      <c r="C24" s="39">
        <v>39836</v>
      </c>
      <c r="D24" s="44" t="s">
        <v>136</v>
      </c>
      <c r="E24" s="44" t="s">
        <v>156</v>
      </c>
      <c r="F24" s="41">
        <v>86</v>
      </c>
      <c r="G24" s="41">
        <v>14</v>
      </c>
      <c r="H24" s="263">
        <v>1426584.5</v>
      </c>
      <c r="I24" s="308">
        <v>162846</v>
      </c>
      <c r="J24" s="357">
        <f>+H24/I24</f>
        <v>8.760328776881225</v>
      </c>
      <c r="K24" s="330"/>
      <c r="L24" s="107"/>
      <c r="M24" s="108"/>
      <c r="N24" s="107"/>
    </row>
    <row r="25" spans="1:14" s="29" customFormat="1" ht="15">
      <c r="A25" s="106">
        <v>21</v>
      </c>
      <c r="B25" s="49" t="s">
        <v>329</v>
      </c>
      <c r="C25" s="39">
        <v>39934</v>
      </c>
      <c r="D25" s="44" t="s">
        <v>134</v>
      </c>
      <c r="E25" s="44" t="s">
        <v>133</v>
      </c>
      <c r="F25" s="41">
        <v>110</v>
      </c>
      <c r="G25" s="41">
        <v>7</v>
      </c>
      <c r="H25" s="307">
        <f>827831.75+302940.25+148808.75+55079+41974+18468.5+20758</f>
        <v>1415860.25</v>
      </c>
      <c r="I25" s="308">
        <f>84699+31917+18690+9450+7367+3640+4667</f>
        <v>160430</v>
      </c>
      <c r="J25" s="103">
        <f>H25/I25</f>
        <v>8.825408277753537</v>
      </c>
      <c r="K25" s="321"/>
      <c r="L25" s="107"/>
      <c r="M25" s="108"/>
      <c r="N25" s="107"/>
    </row>
    <row r="26" spans="1:14" s="29" customFormat="1" ht="15">
      <c r="A26" s="106">
        <v>22</v>
      </c>
      <c r="B26" s="49" t="s">
        <v>206</v>
      </c>
      <c r="C26" s="39">
        <v>39857</v>
      </c>
      <c r="D26" s="44" t="s">
        <v>130</v>
      </c>
      <c r="E26" s="44" t="s">
        <v>35</v>
      </c>
      <c r="F26" s="41">
        <v>25</v>
      </c>
      <c r="G26" s="41">
        <v>8</v>
      </c>
      <c r="H26" s="307">
        <f>431037+376139+288602-245+148454+40928+50436+44428+33934</f>
        <v>1413713</v>
      </c>
      <c r="I26" s="308">
        <f>37016+33054+25810+12999+4602+6239+5423+4113</f>
        <v>129256</v>
      </c>
      <c r="J26" s="103">
        <f>+H26/I26</f>
        <v>10.93731045367333</v>
      </c>
      <c r="K26" s="330"/>
      <c r="L26" s="107"/>
      <c r="M26" s="108"/>
      <c r="N26" s="107"/>
    </row>
    <row r="27" spans="1:14" s="29" customFormat="1" ht="15">
      <c r="A27" s="106">
        <v>23</v>
      </c>
      <c r="B27" s="49" t="s">
        <v>172</v>
      </c>
      <c r="C27" s="39">
        <v>39843</v>
      </c>
      <c r="D27" s="44" t="s">
        <v>134</v>
      </c>
      <c r="E27" s="44" t="s">
        <v>133</v>
      </c>
      <c r="F27" s="41">
        <v>80</v>
      </c>
      <c r="G27" s="41">
        <v>15</v>
      </c>
      <c r="H27" s="307">
        <f>667928.5+422494.5+139288+71324.5+23049.5+32432+3540.5+7287+4043+3439+1920+354+1623+2298+1780</f>
        <v>1382801.5</v>
      </c>
      <c r="I27" s="308">
        <f>67031+44640+16046+10311+3717+6651+677+1565+893+611+318+68+399+572+445</f>
        <v>153944</v>
      </c>
      <c r="J27" s="103">
        <f>H27/I27</f>
        <v>8.982496881983058</v>
      </c>
      <c r="K27" s="321"/>
      <c r="L27" s="107"/>
      <c r="M27" s="108"/>
      <c r="N27" s="107"/>
    </row>
    <row r="28" spans="1:14" s="29" customFormat="1" ht="15">
      <c r="A28" s="106">
        <v>24</v>
      </c>
      <c r="B28" s="363" t="s">
        <v>323</v>
      </c>
      <c r="C28" s="39">
        <v>39822</v>
      </c>
      <c r="D28" s="44" t="s">
        <v>131</v>
      </c>
      <c r="E28" s="44" t="s">
        <v>43</v>
      </c>
      <c r="F28" s="41">
        <v>56</v>
      </c>
      <c r="G28" s="41">
        <v>302</v>
      </c>
      <c r="H28" s="263">
        <v>1260133</v>
      </c>
      <c r="I28" s="308">
        <v>143533</v>
      </c>
      <c r="J28" s="357">
        <f>+H28/I28</f>
        <v>8.77939567904245</v>
      </c>
      <c r="K28" s="330"/>
      <c r="L28" s="107"/>
      <c r="M28" s="108"/>
      <c r="N28" s="107"/>
    </row>
    <row r="29" spans="1:14" s="29" customFormat="1" ht="15">
      <c r="A29" s="106">
        <v>25</v>
      </c>
      <c r="B29" s="49" t="s">
        <v>315</v>
      </c>
      <c r="C29" s="39">
        <v>39920</v>
      </c>
      <c r="D29" s="44" t="s">
        <v>134</v>
      </c>
      <c r="E29" s="44" t="s">
        <v>35</v>
      </c>
      <c r="F29" s="41">
        <v>133</v>
      </c>
      <c r="G29" s="41">
        <v>9</v>
      </c>
      <c r="H29" s="307">
        <f>814797.5+158602+44526+7105.5+1443+731+330+3273+1356</f>
        <v>1032164</v>
      </c>
      <c r="I29" s="308">
        <f>100614+19257+6285+1176+234+205+67+783+301</f>
        <v>128922</v>
      </c>
      <c r="J29" s="103">
        <f>H29/I29</f>
        <v>8.006112222894464</v>
      </c>
      <c r="K29" s="321"/>
      <c r="L29" s="107"/>
      <c r="M29" s="108"/>
      <c r="N29" s="107"/>
    </row>
    <row r="30" spans="1:14" s="29" customFormat="1" ht="16.5" customHeight="1">
      <c r="A30" s="106">
        <v>26</v>
      </c>
      <c r="B30" s="363" t="s">
        <v>250</v>
      </c>
      <c r="C30" s="39">
        <v>39892</v>
      </c>
      <c r="D30" s="44" t="s">
        <v>131</v>
      </c>
      <c r="E30" s="44" t="s">
        <v>43</v>
      </c>
      <c r="F30" s="41">
        <v>60</v>
      </c>
      <c r="G30" s="41">
        <v>11</v>
      </c>
      <c r="H30" s="263">
        <v>951844</v>
      </c>
      <c r="I30" s="308">
        <v>99450</v>
      </c>
      <c r="J30" s="357">
        <f>+H30/I30</f>
        <v>9.571080945198592</v>
      </c>
      <c r="K30" s="330"/>
      <c r="L30" s="107"/>
      <c r="M30" s="108"/>
      <c r="N30" s="107"/>
    </row>
    <row r="31" spans="1:14" s="29" customFormat="1" ht="16.5" customHeight="1">
      <c r="A31" s="106">
        <v>27</v>
      </c>
      <c r="B31" s="363" t="s">
        <v>226</v>
      </c>
      <c r="C31" s="39">
        <v>39878</v>
      </c>
      <c r="D31" s="44" t="s">
        <v>131</v>
      </c>
      <c r="E31" s="44" t="s">
        <v>127</v>
      </c>
      <c r="F31" s="41">
        <v>90</v>
      </c>
      <c r="G31" s="41">
        <v>12</v>
      </c>
      <c r="H31" s="263">
        <v>923393</v>
      </c>
      <c r="I31" s="308">
        <v>102407</v>
      </c>
      <c r="J31" s="357">
        <f>+H31/I31</f>
        <v>9.016893376429346</v>
      </c>
      <c r="K31" s="330"/>
      <c r="L31" s="107"/>
      <c r="M31" s="108"/>
      <c r="N31" s="107"/>
    </row>
    <row r="32" spans="1:14" s="29" customFormat="1" ht="16.5" customHeight="1">
      <c r="A32" s="106">
        <v>28</v>
      </c>
      <c r="B32" s="363" t="s">
        <v>183</v>
      </c>
      <c r="C32" s="39">
        <v>39850</v>
      </c>
      <c r="D32" s="44" t="s">
        <v>131</v>
      </c>
      <c r="E32" s="44" t="s">
        <v>111</v>
      </c>
      <c r="F32" s="41">
        <v>78</v>
      </c>
      <c r="G32" s="41">
        <v>17</v>
      </c>
      <c r="H32" s="263">
        <v>903771</v>
      </c>
      <c r="I32" s="308">
        <v>98467</v>
      </c>
      <c r="J32" s="357">
        <f>+H32/I32</f>
        <v>9.178415103537226</v>
      </c>
      <c r="K32" s="330"/>
      <c r="L32" s="107"/>
      <c r="M32" s="108"/>
      <c r="N32" s="107"/>
    </row>
    <row r="33" spans="1:14" s="29" customFormat="1" ht="16.5" customHeight="1">
      <c r="A33" s="106">
        <v>29</v>
      </c>
      <c r="B33" s="49" t="s">
        <v>305</v>
      </c>
      <c r="C33" s="39">
        <v>39920</v>
      </c>
      <c r="D33" s="44" t="s">
        <v>4</v>
      </c>
      <c r="E33" s="44" t="s">
        <v>306</v>
      </c>
      <c r="F33" s="41">
        <v>132</v>
      </c>
      <c r="G33" s="41">
        <v>9</v>
      </c>
      <c r="H33" s="307">
        <v>889250</v>
      </c>
      <c r="I33" s="308">
        <v>112242</v>
      </c>
      <c r="J33" s="103">
        <f>+H33/I33</f>
        <v>7.922613638388482</v>
      </c>
      <c r="K33" s="321">
        <v>1</v>
      </c>
      <c r="L33" s="107"/>
      <c r="M33" s="108"/>
      <c r="N33" s="107"/>
    </row>
    <row r="34" spans="1:14" s="29" customFormat="1" ht="16.5" customHeight="1">
      <c r="A34" s="106">
        <v>30</v>
      </c>
      <c r="B34" s="49" t="s">
        <v>10</v>
      </c>
      <c r="C34" s="39">
        <v>39829</v>
      </c>
      <c r="D34" s="44" t="s">
        <v>134</v>
      </c>
      <c r="E34" s="44" t="s">
        <v>11</v>
      </c>
      <c r="F34" s="41">
        <v>65</v>
      </c>
      <c r="G34" s="41">
        <v>22</v>
      </c>
      <c r="H34" s="307">
        <f>237023+244842+160469+47021+21536+18820+18020.5+26440+10695+9162.5+9870+6322+1787+2032+757+348+420.5+158+4053+339.5+3161.5+1729.5</f>
        <v>825007</v>
      </c>
      <c r="I34" s="308">
        <f>25678+28966+21290+6590+4890+3520+3479+4786+1907+1716+2388+1533+368+541+126+70+67+48+991+81+743+414</f>
        <v>110192</v>
      </c>
      <c r="J34" s="103">
        <f>H34/I34</f>
        <v>7.4869954261652385</v>
      </c>
      <c r="K34" s="321"/>
      <c r="L34" s="107"/>
      <c r="M34" s="108"/>
      <c r="N34" s="107"/>
    </row>
    <row r="35" spans="1:14" s="29" customFormat="1" ht="16.5" customHeight="1">
      <c r="A35" s="106">
        <v>31</v>
      </c>
      <c r="B35" s="363" t="s">
        <v>242</v>
      </c>
      <c r="C35" s="39">
        <v>39885</v>
      </c>
      <c r="D35" s="44" t="s">
        <v>130</v>
      </c>
      <c r="E35" s="44" t="s">
        <v>63</v>
      </c>
      <c r="F35" s="41">
        <v>58</v>
      </c>
      <c r="G35" s="41">
        <v>8</v>
      </c>
      <c r="H35" s="263">
        <f>356870+122+266596+123347+43097+20154+3952+3861+6872</f>
        <v>824871</v>
      </c>
      <c r="I35" s="308">
        <f>36991-2+28153+13916+6862+3245+1115+822+1918</f>
        <v>93020</v>
      </c>
      <c r="J35" s="357">
        <f>+H35/I35</f>
        <v>8.86767361857665</v>
      </c>
      <c r="K35" s="330"/>
      <c r="L35" s="107"/>
      <c r="M35" s="108"/>
      <c r="N35" s="107"/>
    </row>
    <row r="36" spans="1:14" s="29" customFormat="1" ht="16.5" customHeight="1">
      <c r="A36" s="106">
        <v>32</v>
      </c>
      <c r="B36" s="363" t="s">
        <v>173</v>
      </c>
      <c r="C36" s="39">
        <v>39843</v>
      </c>
      <c r="D36" s="44" t="s">
        <v>131</v>
      </c>
      <c r="E36" s="44" t="s">
        <v>43</v>
      </c>
      <c r="F36" s="41">
        <v>53</v>
      </c>
      <c r="G36" s="41">
        <v>13</v>
      </c>
      <c r="H36" s="263">
        <v>809549</v>
      </c>
      <c r="I36" s="308">
        <v>81653</v>
      </c>
      <c r="J36" s="357">
        <f>+H36/I36</f>
        <v>9.914504059863079</v>
      </c>
      <c r="K36" s="330"/>
      <c r="L36" s="107"/>
      <c r="M36" s="108"/>
      <c r="N36" s="107"/>
    </row>
    <row r="37" spans="1:14" s="29" customFormat="1" ht="16.5" customHeight="1">
      <c r="A37" s="106">
        <v>33</v>
      </c>
      <c r="B37" s="49" t="s">
        <v>350</v>
      </c>
      <c r="C37" s="39">
        <v>39941</v>
      </c>
      <c r="D37" s="44" t="s">
        <v>131</v>
      </c>
      <c r="E37" s="44" t="s">
        <v>127</v>
      </c>
      <c r="F37" s="41">
        <v>80</v>
      </c>
      <c r="G37" s="41">
        <v>6</v>
      </c>
      <c r="H37" s="307">
        <v>797871</v>
      </c>
      <c r="I37" s="308">
        <v>82753</v>
      </c>
      <c r="J37" s="103">
        <f>+H37/I37</f>
        <v>9.641596075066765</v>
      </c>
      <c r="K37" s="321"/>
      <c r="L37" s="107"/>
      <c r="M37" s="108"/>
      <c r="N37" s="107"/>
    </row>
    <row r="38" spans="1:14" s="29" customFormat="1" ht="16.5" customHeight="1">
      <c r="A38" s="106">
        <v>34</v>
      </c>
      <c r="B38" s="363" t="s">
        <v>311</v>
      </c>
      <c r="C38" s="39">
        <v>39871</v>
      </c>
      <c r="D38" s="44" t="s">
        <v>131</v>
      </c>
      <c r="E38" s="44" t="s">
        <v>127</v>
      </c>
      <c r="F38" s="41">
        <v>40</v>
      </c>
      <c r="G38" s="41">
        <v>10</v>
      </c>
      <c r="H38" s="263">
        <v>781870</v>
      </c>
      <c r="I38" s="308">
        <v>83452</v>
      </c>
      <c r="J38" s="357">
        <f>+H38/I38</f>
        <v>9.369098403872885</v>
      </c>
      <c r="K38" s="330"/>
      <c r="L38" s="107"/>
      <c r="M38" s="108"/>
      <c r="N38" s="107"/>
    </row>
    <row r="39" spans="1:14" s="29" customFormat="1" ht="16.5" customHeight="1">
      <c r="A39" s="106">
        <v>35</v>
      </c>
      <c r="B39" s="49" t="s">
        <v>381</v>
      </c>
      <c r="C39" s="39">
        <v>39955</v>
      </c>
      <c r="D39" s="44" t="s">
        <v>134</v>
      </c>
      <c r="E39" s="44" t="s">
        <v>133</v>
      </c>
      <c r="F39" s="41">
        <v>88</v>
      </c>
      <c r="G39" s="41">
        <v>4</v>
      </c>
      <c r="H39" s="307">
        <f>253985.25+197941+176827+129137.25</f>
        <v>757890.5</v>
      </c>
      <c r="I39" s="308">
        <f>26929+21325+23241+17550</f>
        <v>89045</v>
      </c>
      <c r="J39" s="103">
        <f>H39/I39</f>
        <v>8.511320119040935</v>
      </c>
      <c r="K39" s="321"/>
      <c r="L39" s="107"/>
      <c r="M39" s="108"/>
      <c r="N39" s="107"/>
    </row>
    <row r="40" spans="1:14" s="29" customFormat="1" ht="16.5" customHeight="1">
      <c r="A40" s="106">
        <v>36</v>
      </c>
      <c r="B40" s="49" t="s">
        <v>366</v>
      </c>
      <c r="C40" s="39">
        <v>39948</v>
      </c>
      <c r="D40" s="44" t="s">
        <v>136</v>
      </c>
      <c r="E40" s="44" t="s">
        <v>367</v>
      </c>
      <c r="F40" s="41">
        <v>151</v>
      </c>
      <c r="G40" s="41">
        <v>5</v>
      </c>
      <c r="H40" s="307">
        <f>715771.5+25529.25</f>
        <v>741300.75</v>
      </c>
      <c r="I40" s="308">
        <f>109582+4204</f>
        <v>113786</v>
      </c>
      <c r="J40" s="103">
        <f aca="true" t="shared" si="0" ref="J40:J47">+H40/I40</f>
        <v>6.514867822051922</v>
      </c>
      <c r="K40" s="321">
        <v>1</v>
      </c>
      <c r="L40" s="107"/>
      <c r="M40" s="108"/>
      <c r="N40" s="107"/>
    </row>
    <row r="41" spans="1:14" s="29" customFormat="1" ht="16.5" customHeight="1">
      <c r="A41" s="106">
        <v>37</v>
      </c>
      <c r="B41" s="49" t="s">
        <v>309</v>
      </c>
      <c r="C41" s="39">
        <v>39920</v>
      </c>
      <c r="D41" s="44" t="s">
        <v>131</v>
      </c>
      <c r="E41" s="44" t="s">
        <v>43</v>
      </c>
      <c r="F41" s="41">
        <v>65</v>
      </c>
      <c r="G41" s="41">
        <v>9</v>
      </c>
      <c r="H41" s="307">
        <v>698178</v>
      </c>
      <c r="I41" s="308">
        <v>69773</v>
      </c>
      <c r="J41" s="103">
        <f t="shared" si="0"/>
        <v>10.006420821807863</v>
      </c>
      <c r="K41" s="321"/>
      <c r="L41" s="107"/>
      <c r="M41" s="108"/>
      <c r="N41" s="107"/>
    </row>
    <row r="42" spans="1:14" s="29" customFormat="1" ht="16.5" customHeight="1">
      <c r="A42" s="106">
        <v>38</v>
      </c>
      <c r="B42" s="49" t="s">
        <v>314</v>
      </c>
      <c r="C42" s="39">
        <v>39927</v>
      </c>
      <c r="D42" s="44" t="s">
        <v>131</v>
      </c>
      <c r="E42" s="44" t="s">
        <v>127</v>
      </c>
      <c r="F42" s="41">
        <v>80</v>
      </c>
      <c r="G42" s="41">
        <v>8</v>
      </c>
      <c r="H42" s="307">
        <v>660860</v>
      </c>
      <c r="I42" s="308">
        <v>82141</v>
      </c>
      <c r="J42" s="103">
        <f t="shared" si="0"/>
        <v>8.045434070683337</v>
      </c>
      <c r="K42" s="321"/>
      <c r="L42" s="107"/>
      <c r="M42" s="108"/>
      <c r="N42" s="107"/>
    </row>
    <row r="43" spans="1:14" s="29" customFormat="1" ht="16.5" customHeight="1">
      <c r="A43" s="106">
        <v>39</v>
      </c>
      <c r="B43" s="49" t="s">
        <v>174</v>
      </c>
      <c r="C43" s="39">
        <v>39843</v>
      </c>
      <c r="D43" s="44" t="s">
        <v>136</v>
      </c>
      <c r="E43" s="44" t="s">
        <v>175</v>
      </c>
      <c r="F43" s="41">
        <v>92</v>
      </c>
      <c r="G43" s="41">
        <v>14</v>
      </c>
      <c r="H43" s="307">
        <f>642349.5+28</f>
        <v>642377.5</v>
      </c>
      <c r="I43" s="308">
        <f>76519+5</f>
        <v>76524</v>
      </c>
      <c r="J43" s="103">
        <f t="shared" si="0"/>
        <v>8.39445794783336</v>
      </c>
      <c r="K43" s="321">
        <v>1</v>
      </c>
      <c r="L43" s="107"/>
      <c r="M43" s="108"/>
      <c r="N43" s="107"/>
    </row>
    <row r="44" spans="1:14" s="29" customFormat="1" ht="16.5" customHeight="1">
      <c r="A44" s="106">
        <v>40</v>
      </c>
      <c r="B44" s="49" t="s">
        <v>351</v>
      </c>
      <c r="C44" s="39">
        <v>39941</v>
      </c>
      <c r="D44" s="44" t="s">
        <v>130</v>
      </c>
      <c r="E44" s="44" t="s">
        <v>35</v>
      </c>
      <c r="F44" s="41">
        <v>79</v>
      </c>
      <c r="G44" s="41">
        <v>6</v>
      </c>
      <c r="H44" s="307">
        <f>310645+177730+71676+35082-223+19980+17645</f>
        <v>632535</v>
      </c>
      <c r="I44" s="308">
        <f>33855+19511+9754+5564-42+3450+3029</f>
        <v>75121</v>
      </c>
      <c r="J44" s="103">
        <f t="shared" si="0"/>
        <v>8.420215385844172</v>
      </c>
      <c r="K44" s="321"/>
      <c r="L44" s="107"/>
      <c r="M44" s="108"/>
      <c r="N44" s="107"/>
    </row>
    <row r="45" spans="1:14" s="29" customFormat="1" ht="16.5" customHeight="1">
      <c r="A45" s="106">
        <v>41</v>
      </c>
      <c r="B45" s="49" t="s">
        <v>34</v>
      </c>
      <c r="C45" s="39">
        <v>39815</v>
      </c>
      <c r="D45" s="44" t="s">
        <v>130</v>
      </c>
      <c r="E45" s="44" t="s">
        <v>35</v>
      </c>
      <c r="F45" s="41">
        <v>62</v>
      </c>
      <c r="G45" s="41">
        <v>15</v>
      </c>
      <c r="H45" s="307">
        <f>364878+189780+24392+5352+42+1552+1221+1432+5133+1444+196+795+345+2977+568+213</f>
        <v>600320</v>
      </c>
      <c r="I45" s="308">
        <f>36690+19609+2909+1194-16+282+185+285+1591+285+28+129+56+579+94+37</f>
        <v>63937</v>
      </c>
      <c r="J45" s="103">
        <f t="shared" si="0"/>
        <v>9.389242535621001</v>
      </c>
      <c r="K45" s="321"/>
      <c r="L45" s="107"/>
      <c r="M45" s="108"/>
      <c r="N45" s="107"/>
    </row>
    <row r="46" spans="1:14" s="29" customFormat="1" ht="16.5" customHeight="1">
      <c r="A46" s="106">
        <v>42</v>
      </c>
      <c r="B46" s="363" t="s">
        <v>262</v>
      </c>
      <c r="C46" s="39">
        <v>39899</v>
      </c>
      <c r="D46" s="44" t="s">
        <v>130</v>
      </c>
      <c r="E46" s="44" t="s">
        <v>63</v>
      </c>
      <c r="F46" s="41">
        <v>62</v>
      </c>
      <c r="G46" s="41">
        <v>10</v>
      </c>
      <c r="H46" s="263">
        <f>306193+165310+41433+47659+24591+8913+2417+1247+207+192</f>
        <v>598162</v>
      </c>
      <c r="I46" s="308">
        <f>34359+18326+5534+7820+4081+1577+467+322+69+39</f>
        <v>72594</v>
      </c>
      <c r="J46" s="357">
        <f t="shared" si="0"/>
        <v>8.23982698294625</v>
      </c>
      <c r="K46" s="330"/>
      <c r="L46" s="107"/>
      <c r="M46" s="108"/>
      <c r="N46" s="107"/>
    </row>
    <row r="47" spans="1:14" s="29" customFormat="1" ht="16.5" customHeight="1">
      <c r="A47" s="106">
        <v>43</v>
      </c>
      <c r="B47" s="49" t="s">
        <v>243</v>
      </c>
      <c r="C47" s="39">
        <v>39885</v>
      </c>
      <c r="D47" s="44" t="s">
        <v>131</v>
      </c>
      <c r="E47" s="44" t="s">
        <v>127</v>
      </c>
      <c r="F47" s="41">
        <v>51</v>
      </c>
      <c r="G47" s="41">
        <v>14</v>
      </c>
      <c r="H47" s="307">
        <v>549010</v>
      </c>
      <c r="I47" s="308">
        <v>64092</v>
      </c>
      <c r="J47" s="103">
        <f t="shared" si="0"/>
        <v>8.565967671472258</v>
      </c>
      <c r="K47" s="321"/>
      <c r="L47" s="107"/>
      <c r="M47" s="108"/>
      <c r="N47" s="107"/>
    </row>
    <row r="48" spans="1:14" s="29" customFormat="1" ht="16.5" customHeight="1">
      <c r="A48" s="106">
        <v>44</v>
      </c>
      <c r="B48" s="363" t="s">
        <v>208</v>
      </c>
      <c r="C48" s="39">
        <v>39864</v>
      </c>
      <c r="D48" s="44" t="s">
        <v>134</v>
      </c>
      <c r="E48" s="44" t="s">
        <v>209</v>
      </c>
      <c r="F48" s="41">
        <v>55</v>
      </c>
      <c r="G48" s="41">
        <v>15</v>
      </c>
      <c r="H48" s="263">
        <f>190777.5+154065+60826.5+20820+23589+29712+19396.5+16102+12940+11034+3005+981+1140+40+98.25</f>
        <v>544526.75</v>
      </c>
      <c r="I48" s="308">
        <f>20518+17650+7809+3283+4115+5826+3911+3770+2981+2505+653+199+142+8+18</f>
        <v>73388</v>
      </c>
      <c r="J48" s="357">
        <f>H48/I48</f>
        <v>7.419833624025726</v>
      </c>
      <c r="K48" s="330"/>
      <c r="L48" s="107"/>
      <c r="M48" s="108"/>
      <c r="N48" s="107"/>
    </row>
    <row r="49" spans="1:14" s="29" customFormat="1" ht="16.5" customHeight="1">
      <c r="A49" s="106">
        <v>45</v>
      </c>
      <c r="B49" s="49" t="s">
        <v>274</v>
      </c>
      <c r="C49" s="39">
        <v>39906</v>
      </c>
      <c r="D49" s="44" t="s">
        <v>134</v>
      </c>
      <c r="E49" s="44" t="s">
        <v>133</v>
      </c>
      <c r="F49" s="41">
        <v>73</v>
      </c>
      <c r="G49" s="41">
        <v>11</v>
      </c>
      <c r="H49" s="307">
        <f>257998+146390.25+55495.5+19689+10921.5+8901+904+592.5+1480+1790+6279.5</f>
        <v>510441.25</v>
      </c>
      <c r="I49" s="308">
        <f>25239+14756+6633+3240+1982+1982+145+108+201+287+827</f>
        <v>55400</v>
      </c>
      <c r="J49" s="103">
        <f>H49/I49</f>
        <v>9.213740974729243</v>
      </c>
      <c r="K49" s="321"/>
      <c r="L49" s="107"/>
      <c r="M49" s="108"/>
      <c r="N49" s="107"/>
    </row>
    <row r="50" spans="1:14" s="29" customFormat="1" ht="16.5" customHeight="1">
      <c r="A50" s="106">
        <v>46</v>
      </c>
      <c r="B50" s="49" t="s">
        <v>207</v>
      </c>
      <c r="C50" s="39">
        <v>39864</v>
      </c>
      <c r="D50" s="44" t="s">
        <v>131</v>
      </c>
      <c r="E50" s="44" t="s">
        <v>111</v>
      </c>
      <c r="F50" s="41">
        <v>45</v>
      </c>
      <c r="G50" s="41">
        <v>9</v>
      </c>
      <c r="H50" s="263">
        <v>508820</v>
      </c>
      <c r="I50" s="308">
        <v>49157</v>
      </c>
      <c r="J50" s="357">
        <f>+H50/I50</f>
        <v>10.3509164513701</v>
      </c>
      <c r="K50" s="330"/>
      <c r="L50" s="107"/>
      <c r="M50" s="108"/>
      <c r="N50" s="107"/>
    </row>
    <row r="51" spans="1:14" s="29" customFormat="1" ht="16.5" customHeight="1">
      <c r="A51" s="106">
        <v>47</v>
      </c>
      <c r="B51" s="53" t="s">
        <v>352</v>
      </c>
      <c r="C51" s="39">
        <v>39941</v>
      </c>
      <c r="D51" s="127" t="s">
        <v>65</v>
      </c>
      <c r="E51" s="127" t="s">
        <v>353</v>
      </c>
      <c r="F51" s="50">
        <v>104</v>
      </c>
      <c r="G51" s="50">
        <v>5</v>
      </c>
      <c r="H51" s="369">
        <v>508740.3</v>
      </c>
      <c r="I51" s="370">
        <v>65358</v>
      </c>
      <c r="J51" s="381">
        <f>+H51/I51</f>
        <v>7.78390250619664</v>
      </c>
      <c r="K51" s="332">
        <v>1</v>
      </c>
      <c r="L51" s="107"/>
      <c r="M51" s="108"/>
      <c r="N51" s="107"/>
    </row>
    <row r="52" spans="1:14" s="29" customFormat="1" ht="16.5" customHeight="1">
      <c r="A52" s="106">
        <v>48</v>
      </c>
      <c r="B52" s="363" t="s">
        <v>251</v>
      </c>
      <c r="C52" s="39">
        <v>39892</v>
      </c>
      <c r="D52" s="44" t="s">
        <v>130</v>
      </c>
      <c r="E52" s="44" t="s">
        <v>35</v>
      </c>
      <c r="F52" s="41">
        <v>48</v>
      </c>
      <c r="G52" s="41">
        <v>10</v>
      </c>
      <c r="H52" s="263">
        <f>252820+139377+40931+35755-48+20488+7471+3573+579+177+1040</f>
        <v>502163</v>
      </c>
      <c r="I52" s="308">
        <f>29461+16712+6028+6061+3296+1203+511+193+59+538</f>
        <v>64062</v>
      </c>
      <c r="J52" s="357">
        <f>+H52/I52</f>
        <v>7.8387031313415125</v>
      </c>
      <c r="K52" s="330"/>
      <c r="L52" s="107"/>
      <c r="M52" s="108"/>
      <c r="N52" s="107"/>
    </row>
    <row r="53" spans="1:14" s="29" customFormat="1" ht="16.5" customHeight="1">
      <c r="A53" s="106">
        <v>49</v>
      </c>
      <c r="B53" s="49" t="s">
        <v>197</v>
      </c>
      <c r="C53" s="39">
        <v>39857</v>
      </c>
      <c r="D53" s="44" t="s">
        <v>134</v>
      </c>
      <c r="E53" s="44" t="s">
        <v>133</v>
      </c>
      <c r="F53" s="41">
        <v>41</v>
      </c>
      <c r="G53" s="41">
        <v>16</v>
      </c>
      <c r="H53" s="307">
        <f>237955+174160.5+33697.5+17295.5+3111+908+14803+5802.5+3727+1295+1110+1441+1172+3872+566+382</f>
        <v>501298</v>
      </c>
      <c r="I53" s="308">
        <f>21828+16711+3926+2842+612+184+2267+940+496+230+202+304+208+948+71+57</f>
        <v>51826</v>
      </c>
      <c r="J53" s="103">
        <f>H53/I53</f>
        <v>9.672712538108286</v>
      </c>
      <c r="K53" s="321"/>
      <c r="L53" s="107"/>
      <c r="M53" s="108"/>
      <c r="N53" s="107"/>
    </row>
    <row r="54" spans="1:14" s="29" customFormat="1" ht="16.5" customHeight="1">
      <c r="A54" s="106">
        <v>50</v>
      </c>
      <c r="B54" s="49" t="s">
        <v>294</v>
      </c>
      <c r="C54" s="39">
        <v>39913</v>
      </c>
      <c r="D54" s="44" t="s">
        <v>134</v>
      </c>
      <c r="E54" s="44" t="s">
        <v>232</v>
      </c>
      <c r="F54" s="41">
        <v>32</v>
      </c>
      <c r="G54" s="41">
        <v>10</v>
      </c>
      <c r="H54" s="307">
        <f>216816.75+148269.25+47895.5+34792+20121+4590+2793+2962+1708.5+13855</f>
        <v>493803</v>
      </c>
      <c r="I54" s="308">
        <f>19731+13368+5787+4814+2854+977+340+473+271+2160</f>
        <v>50775</v>
      </c>
      <c r="J54" s="103">
        <f>H54/I54</f>
        <v>9.725317577548006</v>
      </c>
      <c r="K54" s="321"/>
      <c r="L54" s="107"/>
      <c r="M54" s="108"/>
      <c r="N54" s="107"/>
    </row>
    <row r="55" spans="1:14" s="29" customFormat="1" ht="16.5" customHeight="1">
      <c r="A55" s="106">
        <v>51</v>
      </c>
      <c r="B55" s="49" t="s">
        <v>385</v>
      </c>
      <c r="C55" s="39">
        <v>39962</v>
      </c>
      <c r="D55" s="44" t="s">
        <v>131</v>
      </c>
      <c r="E55" s="44" t="s">
        <v>127</v>
      </c>
      <c r="F55" s="41">
        <v>60</v>
      </c>
      <c r="G55" s="41">
        <v>3</v>
      </c>
      <c r="H55" s="307">
        <v>485145</v>
      </c>
      <c r="I55" s="308">
        <v>55266</v>
      </c>
      <c r="J55" s="103">
        <f>+H55/I55</f>
        <v>8.77836282705461</v>
      </c>
      <c r="K55" s="321"/>
      <c r="L55" s="107"/>
      <c r="M55" s="108"/>
      <c r="N55" s="107"/>
    </row>
    <row r="56" spans="1:14" s="29" customFormat="1" ht="16.5" customHeight="1">
      <c r="A56" s="106">
        <v>52</v>
      </c>
      <c r="B56" s="49" t="s">
        <v>307</v>
      </c>
      <c r="C56" s="39">
        <v>39920</v>
      </c>
      <c r="D56" s="44" t="s">
        <v>130</v>
      </c>
      <c r="E56" s="44" t="s">
        <v>63</v>
      </c>
      <c r="F56" s="41">
        <v>67</v>
      </c>
      <c r="G56" s="41">
        <v>9</v>
      </c>
      <c r="H56" s="307">
        <f>272382+140716+46020+6861+7492+908+1351+3372+2163</f>
        <v>481265</v>
      </c>
      <c r="I56" s="308">
        <f>27038+14777+4953+934+1888+146+222+419+562</f>
        <v>50939</v>
      </c>
      <c r="J56" s="103">
        <f>+H56/I56</f>
        <v>9.447869019808005</v>
      </c>
      <c r="K56" s="321"/>
      <c r="L56" s="107"/>
      <c r="M56" s="108"/>
      <c r="N56" s="107"/>
    </row>
    <row r="57" spans="1:14" s="29" customFormat="1" ht="16.5" customHeight="1">
      <c r="A57" s="106">
        <v>53</v>
      </c>
      <c r="B57" s="363" t="s">
        <v>252</v>
      </c>
      <c r="C57" s="39">
        <v>39892</v>
      </c>
      <c r="D57" s="44" t="s">
        <v>131</v>
      </c>
      <c r="E57" s="44" t="s">
        <v>111</v>
      </c>
      <c r="F57" s="41">
        <v>70</v>
      </c>
      <c r="G57" s="41">
        <v>11</v>
      </c>
      <c r="H57" s="263">
        <v>471227</v>
      </c>
      <c r="I57" s="308">
        <v>57641</v>
      </c>
      <c r="J57" s="357">
        <f>+H57/I57</f>
        <v>8.17520514911261</v>
      </c>
      <c r="K57" s="330"/>
      <c r="L57" s="107"/>
      <c r="M57" s="108"/>
      <c r="N57" s="107"/>
    </row>
    <row r="58" spans="1:14" s="29" customFormat="1" ht="16.5" customHeight="1">
      <c r="A58" s="106">
        <v>54</v>
      </c>
      <c r="B58" s="49" t="s">
        <v>368</v>
      </c>
      <c r="C58" s="39">
        <v>39948</v>
      </c>
      <c r="D58" s="44" t="s">
        <v>131</v>
      </c>
      <c r="E58" s="44" t="s">
        <v>43</v>
      </c>
      <c r="F58" s="41">
        <v>46</v>
      </c>
      <c r="G58" s="41">
        <v>5</v>
      </c>
      <c r="H58" s="307">
        <v>470349</v>
      </c>
      <c r="I58" s="308">
        <v>40843</v>
      </c>
      <c r="J58" s="103">
        <f>+H58/I58</f>
        <v>11.516024777807703</v>
      </c>
      <c r="K58" s="321"/>
      <c r="L58" s="107"/>
      <c r="M58" s="108"/>
      <c r="N58" s="107"/>
    </row>
    <row r="59" spans="1:14" s="29" customFormat="1" ht="16.5" customHeight="1">
      <c r="A59" s="106">
        <v>55</v>
      </c>
      <c r="B59" s="49" t="s">
        <v>228</v>
      </c>
      <c r="C59" s="39">
        <v>39878</v>
      </c>
      <c r="D59" s="44" t="s">
        <v>134</v>
      </c>
      <c r="E59" s="44" t="s">
        <v>229</v>
      </c>
      <c r="F59" s="41">
        <v>39</v>
      </c>
      <c r="G59" s="41">
        <v>15</v>
      </c>
      <c r="H59" s="307">
        <f>143992.5+82756.5+42509+41229+27290.5+16668+27602+17675+4710+8504.5+2403+4164+2272+3469+1997</f>
        <v>427242</v>
      </c>
      <c r="I59" s="308">
        <f>15320+9228+5096+5970+4485+3115+5134+3946+1139+2307+509+879+411+637+472</f>
        <v>58648</v>
      </c>
      <c r="J59" s="103">
        <f>H59/I59</f>
        <v>7.2848519983631155</v>
      </c>
      <c r="K59" s="321"/>
      <c r="L59" s="107"/>
      <c r="M59" s="108"/>
      <c r="N59" s="107"/>
    </row>
    <row r="60" spans="1:14" s="29" customFormat="1" ht="16.5" customHeight="1">
      <c r="A60" s="106">
        <v>56</v>
      </c>
      <c r="B60" s="49" t="s">
        <v>184</v>
      </c>
      <c r="C60" s="39">
        <v>39850</v>
      </c>
      <c r="D60" s="44" t="s">
        <v>131</v>
      </c>
      <c r="E60" s="44" t="s">
        <v>111</v>
      </c>
      <c r="F60" s="41">
        <v>26</v>
      </c>
      <c r="G60" s="41">
        <v>9</v>
      </c>
      <c r="H60" s="307">
        <v>404635</v>
      </c>
      <c r="I60" s="308">
        <v>39660</v>
      </c>
      <c r="J60" s="103">
        <f>+H60/I60</f>
        <v>10.202597075138678</v>
      </c>
      <c r="K60" s="330"/>
      <c r="L60" s="107"/>
      <c r="M60" s="108"/>
      <c r="N60" s="107"/>
    </row>
    <row r="61" spans="1:14" s="29" customFormat="1" ht="16.5" customHeight="1">
      <c r="A61" s="106">
        <v>57</v>
      </c>
      <c r="B61" s="363" t="s">
        <v>263</v>
      </c>
      <c r="C61" s="39">
        <v>39899</v>
      </c>
      <c r="D61" s="44" t="s">
        <v>131</v>
      </c>
      <c r="E61" s="44" t="s">
        <v>35</v>
      </c>
      <c r="F61" s="41">
        <v>59</v>
      </c>
      <c r="G61" s="41">
        <v>10</v>
      </c>
      <c r="H61" s="263">
        <v>395781</v>
      </c>
      <c r="I61" s="308">
        <v>41541</v>
      </c>
      <c r="J61" s="357">
        <f>+H61/I61</f>
        <v>9.527478876290893</v>
      </c>
      <c r="K61" s="330"/>
      <c r="L61" s="107"/>
      <c r="M61" s="108"/>
      <c r="N61" s="107"/>
    </row>
    <row r="62" spans="1:14" s="29" customFormat="1" ht="16.5" customHeight="1">
      <c r="A62" s="106">
        <v>58</v>
      </c>
      <c r="B62" s="49" t="s">
        <v>382</v>
      </c>
      <c r="C62" s="39">
        <v>39955</v>
      </c>
      <c r="D62" s="44" t="s">
        <v>134</v>
      </c>
      <c r="E62" s="44" t="s">
        <v>35</v>
      </c>
      <c r="F62" s="41">
        <v>49</v>
      </c>
      <c r="G62" s="41">
        <v>4</v>
      </c>
      <c r="H62" s="307">
        <f>156835.75+123241.75+64169.25+38530</f>
        <v>382776.75</v>
      </c>
      <c r="I62" s="308">
        <f>15124+12366+7559+6566</f>
        <v>41615</v>
      </c>
      <c r="J62" s="103">
        <f>H62/I62</f>
        <v>9.198047578997958</v>
      </c>
      <c r="K62" s="321"/>
      <c r="L62" s="107"/>
      <c r="M62" s="108"/>
      <c r="N62" s="107"/>
    </row>
    <row r="63" spans="1:14" s="29" customFormat="1" ht="16.5" customHeight="1">
      <c r="A63" s="106">
        <v>59</v>
      </c>
      <c r="B63" s="49" t="s">
        <v>227</v>
      </c>
      <c r="C63" s="39">
        <v>39878</v>
      </c>
      <c r="D63" s="44" t="s">
        <v>130</v>
      </c>
      <c r="E63" s="44" t="s">
        <v>122</v>
      </c>
      <c r="F63" s="41">
        <v>39</v>
      </c>
      <c r="G63" s="41">
        <v>7</v>
      </c>
      <c r="H63" s="263">
        <f>208640+108142+308+143+11378+16244+5541+1125+1076</f>
        <v>352597</v>
      </c>
      <c r="I63" s="308">
        <f>19698+10352-1+1288+2400+1285+179+187</f>
        <v>35388</v>
      </c>
      <c r="J63" s="357">
        <f aca="true" t="shared" si="1" ref="J63:J68">+H63/I63</f>
        <v>9.963744772239178</v>
      </c>
      <c r="K63" s="330"/>
      <c r="L63" s="107"/>
      <c r="M63" s="108"/>
      <c r="N63" s="107"/>
    </row>
    <row r="64" spans="1:14" s="29" customFormat="1" ht="16.5" customHeight="1">
      <c r="A64" s="106">
        <v>60</v>
      </c>
      <c r="B64" s="49" t="s">
        <v>12</v>
      </c>
      <c r="C64" s="39">
        <v>39829</v>
      </c>
      <c r="D64" s="44" t="s">
        <v>132</v>
      </c>
      <c r="E64" s="44" t="s">
        <v>13</v>
      </c>
      <c r="F64" s="41">
        <v>27</v>
      </c>
      <c r="G64" s="41">
        <v>17</v>
      </c>
      <c r="H64" s="307">
        <f>186683.5+104505+11311.5+18993.5+3012+3864+5338+2063+2153+1101+421+767+1768+752+294+3875+710</f>
        <v>347611.5</v>
      </c>
      <c r="I64" s="308">
        <f>17611+9310+1374+2998+454+608+892+412+329+169+101+183+222+92+49+815+60</f>
        <v>35679</v>
      </c>
      <c r="J64" s="103">
        <f t="shared" si="1"/>
        <v>9.742747834860843</v>
      </c>
      <c r="K64" s="321"/>
      <c r="L64" s="107"/>
      <c r="M64" s="108"/>
      <c r="N64" s="107"/>
    </row>
    <row r="65" spans="1:14" s="29" customFormat="1" ht="16.5" customHeight="1">
      <c r="A65" s="106">
        <v>61</v>
      </c>
      <c r="B65" s="363" t="s">
        <v>176</v>
      </c>
      <c r="C65" s="39">
        <v>39843</v>
      </c>
      <c r="D65" s="44" t="s">
        <v>130</v>
      </c>
      <c r="E65" s="44" t="s">
        <v>35</v>
      </c>
      <c r="F65" s="41">
        <v>39</v>
      </c>
      <c r="G65" s="41">
        <v>10</v>
      </c>
      <c r="H65" s="263">
        <f>170398+109259+13223+22668+4716+3323+406+215+1707+303</f>
        <v>326218</v>
      </c>
      <c r="I65" s="308">
        <f>15658+10719+1567+3434+755+489+57+41+334+52</f>
        <v>33106</v>
      </c>
      <c r="J65" s="357">
        <f t="shared" si="1"/>
        <v>9.853742524013773</v>
      </c>
      <c r="K65" s="330"/>
      <c r="L65" s="107"/>
      <c r="M65" s="108"/>
      <c r="N65" s="107"/>
    </row>
    <row r="66" spans="1:14" s="29" customFormat="1" ht="16.5" customHeight="1">
      <c r="A66" s="106">
        <v>62</v>
      </c>
      <c r="B66" s="49" t="s">
        <v>416</v>
      </c>
      <c r="C66" s="39">
        <v>39976</v>
      </c>
      <c r="D66" s="44" t="s">
        <v>130</v>
      </c>
      <c r="E66" s="44" t="s">
        <v>35</v>
      </c>
      <c r="F66" s="41">
        <v>95</v>
      </c>
      <c r="G66" s="41">
        <v>1</v>
      </c>
      <c r="H66" s="307">
        <v>325457</v>
      </c>
      <c r="I66" s="308">
        <v>39321</v>
      </c>
      <c r="J66" s="103">
        <f t="shared" si="1"/>
        <v>8.27692581572188</v>
      </c>
      <c r="K66" s="321"/>
      <c r="L66" s="107"/>
      <c r="M66" s="108"/>
      <c r="N66" s="107"/>
    </row>
    <row r="67" spans="1:14" s="29" customFormat="1" ht="16.5" customHeight="1">
      <c r="A67" s="106">
        <v>63</v>
      </c>
      <c r="B67" s="49" t="s">
        <v>221</v>
      </c>
      <c r="C67" s="39">
        <v>39871</v>
      </c>
      <c r="D67" s="44" t="s">
        <v>131</v>
      </c>
      <c r="E67" s="44" t="s">
        <v>222</v>
      </c>
      <c r="F67" s="41">
        <v>52</v>
      </c>
      <c r="G67" s="41">
        <v>8</v>
      </c>
      <c r="H67" s="263">
        <v>320267</v>
      </c>
      <c r="I67" s="308">
        <v>41420</v>
      </c>
      <c r="J67" s="357">
        <f t="shared" si="1"/>
        <v>7.732182520521487</v>
      </c>
      <c r="K67" s="330">
        <v>1</v>
      </c>
      <c r="L67" s="107"/>
      <c r="M67" s="108"/>
      <c r="N67" s="107"/>
    </row>
    <row r="68" spans="1:14" s="29" customFormat="1" ht="16.5" customHeight="1">
      <c r="A68" s="106">
        <v>64</v>
      </c>
      <c r="B68" s="49" t="s">
        <v>316</v>
      </c>
      <c r="C68" s="39">
        <v>39927</v>
      </c>
      <c r="D68" s="44" t="s">
        <v>136</v>
      </c>
      <c r="E68" s="44" t="s">
        <v>81</v>
      </c>
      <c r="F68" s="41">
        <v>62</v>
      </c>
      <c r="G68" s="41">
        <v>8</v>
      </c>
      <c r="H68" s="307">
        <f>310312.75+1756</f>
        <v>312068.75</v>
      </c>
      <c r="I68" s="308">
        <f>42296+351</f>
        <v>42647</v>
      </c>
      <c r="J68" s="103">
        <f t="shared" si="1"/>
        <v>7.317484231012733</v>
      </c>
      <c r="K68" s="321">
        <v>1</v>
      </c>
      <c r="L68" s="107"/>
      <c r="M68" s="108"/>
      <c r="N68" s="107"/>
    </row>
    <row r="69" spans="1:14" s="29" customFormat="1" ht="16.5" customHeight="1">
      <c r="A69" s="106">
        <v>65</v>
      </c>
      <c r="B69" s="363" t="s">
        <v>210</v>
      </c>
      <c r="C69" s="39">
        <v>39864</v>
      </c>
      <c r="D69" s="44" t="s">
        <v>134</v>
      </c>
      <c r="E69" s="44" t="s">
        <v>211</v>
      </c>
      <c r="F69" s="41">
        <v>60</v>
      </c>
      <c r="G69" s="41">
        <v>11</v>
      </c>
      <c r="H69" s="263">
        <f>182826.5+79990+19672+797.5+3740.5+787+2671+676+391+870+504</f>
        <v>292925.5</v>
      </c>
      <c r="I69" s="308">
        <f>20237+9379+2724+124+668+137+441+114+58+108+72</f>
        <v>34062</v>
      </c>
      <c r="J69" s="357">
        <f>H69/I69</f>
        <v>8.59977394163584</v>
      </c>
      <c r="K69" s="330"/>
      <c r="L69" s="107"/>
      <c r="M69" s="108"/>
      <c r="N69" s="107"/>
    </row>
    <row r="70" spans="1:14" s="29" customFormat="1" ht="16.5" customHeight="1">
      <c r="A70" s="106">
        <v>66</v>
      </c>
      <c r="B70" s="49" t="s">
        <v>369</v>
      </c>
      <c r="C70" s="39">
        <v>39948</v>
      </c>
      <c r="D70" s="44" t="s">
        <v>131</v>
      </c>
      <c r="E70" s="44" t="s">
        <v>111</v>
      </c>
      <c r="F70" s="41">
        <v>33</v>
      </c>
      <c r="G70" s="41">
        <v>5</v>
      </c>
      <c r="H70" s="307">
        <v>285575</v>
      </c>
      <c r="I70" s="308">
        <v>30161</v>
      </c>
      <c r="J70" s="103">
        <f>+H70/I70</f>
        <v>9.468353171313948</v>
      </c>
      <c r="K70" s="321"/>
      <c r="L70" s="107"/>
      <c r="M70" s="108"/>
      <c r="N70" s="107"/>
    </row>
    <row r="71" spans="1:14" s="29" customFormat="1" ht="16.5" customHeight="1">
      <c r="A71" s="106">
        <v>67</v>
      </c>
      <c r="B71" s="49" t="s">
        <v>220</v>
      </c>
      <c r="C71" s="39">
        <v>39871</v>
      </c>
      <c r="D71" s="44" t="s">
        <v>130</v>
      </c>
      <c r="E71" s="44" t="s">
        <v>122</v>
      </c>
      <c r="F71" s="41">
        <v>50</v>
      </c>
      <c r="G71" s="41">
        <v>8</v>
      </c>
      <c r="H71" s="263">
        <f>170980+80213+4926+3955+3233+7199+1587+1046</f>
        <v>273139</v>
      </c>
      <c r="I71" s="308">
        <f>17959+8528+552+616+564+1409+280+158</f>
        <v>30066</v>
      </c>
      <c r="J71" s="357">
        <f>+H71/I71</f>
        <v>9.08464710969201</v>
      </c>
      <c r="K71" s="330"/>
      <c r="L71" s="107"/>
      <c r="M71" s="108"/>
      <c r="N71" s="107"/>
    </row>
    <row r="72" spans="1:14" s="29" customFormat="1" ht="16.5" customHeight="1">
      <c r="A72" s="106">
        <v>68</v>
      </c>
      <c r="B72" s="49" t="s">
        <v>177</v>
      </c>
      <c r="C72" s="39">
        <v>39843</v>
      </c>
      <c r="D72" s="44" t="s">
        <v>132</v>
      </c>
      <c r="E72" s="44" t="s">
        <v>13</v>
      </c>
      <c r="F72" s="41">
        <v>50</v>
      </c>
      <c r="G72" s="41">
        <v>17</v>
      </c>
      <c r="H72" s="307">
        <f>168651.5+46529+10620.5+4304+0.5+12367.5+5085+0.5+811+443+1089+406.5+312+389+3597+510+948+224.5+704</f>
        <v>256992.5</v>
      </c>
      <c r="I72" s="308">
        <f>20118+5529+1513+681+2223+920+189+100+201+77+55+67+600+195+369+85+176</f>
        <v>33098</v>
      </c>
      <c r="J72" s="103">
        <f>+H72/I72</f>
        <v>7.764593026768989</v>
      </c>
      <c r="K72" s="332"/>
      <c r="L72" s="107"/>
      <c r="M72" s="108"/>
      <c r="N72" s="107"/>
    </row>
    <row r="73" spans="1:14" s="29" customFormat="1" ht="16.5" customHeight="1">
      <c r="A73" s="106">
        <v>69</v>
      </c>
      <c r="B73" s="49" t="s">
        <v>415</v>
      </c>
      <c r="C73" s="39">
        <v>39920</v>
      </c>
      <c r="D73" s="44" t="s">
        <v>134</v>
      </c>
      <c r="E73" s="44" t="s">
        <v>318</v>
      </c>
      <c r="F73" s="41">
        <v>43</v>
      </c>
      <c r="G73" s="41">
        <v>9</v>
      </c>
      <c r="H73" s="307">
        <f>71921.5+55489+28896+23842.5+13474.5+19552.5+14027+10409+7091.5</f>
        <v>244703.5</v>
      </c>
      <c r="I73" s="308">
        <f>9131+7791+4520+4728+2735+3857+3026+2110+1463</f>
        <v>39361</v>
      </c>
      <c r="J73" s="103">
        <f>H73/I73</f>
        <v>6.2169025177205866</v>
      </c>
      <c r="K73" s="321">
        <v>1</v>
      </c>
      <c r="L73" s="107"/>
      <c r="M73" s="108"/>
      <c r="N73" s="107"/>
    </row>
    <row r="74" spans="1:14" s="29" customFormat="1" ht="16.5" customHeight="1">
      <c r="A74" s="106">
        <v>70</v>
      </c>
      <c r="B74" s="49" t="s">
        <v>317</v>
      </c>
      <c r="C74" s="39">
        <v>39927</v>
      </c>
      <c r="D74" s="44" t="s">
        <v>131</v>
      </c>
      <c r="E74" s="44" t="s">
        <v>111</v>
      </c>
      <c r="F74" s="41">
        <v>48</v>
      </c>
      <c r="G74" s="41">
        <v>8</v>
      </c>
      <c r="H74" s="307">
        <v>231259</v>
      </c>
      <c r="I74" s="308">
        <v>25834</v>
      </c>
      <c r="J74" s="103">
        <f>+H74/I74</f>
        <v>8.951730277928311</v>
      </c>
      <c r="K74" s="321"/>
      <c r="L74" s="107"/>
      <c r="M74" s="108"/>
      <c r="N74" s="107"/>
    </row>
    <row r="75" spans="1:14" s="29" customFormat="1" ht="16.5" customHeight="1">
      <c r="A75" s="106">
        <v>71</v>
      </c>
      <c r="B75" s="49" t="s">
        <v>387</v>
      </c>
      <c r="C75" s="39">
        <v>39962</v>
      </c>
      <c r="D75" s="44" t="s">
        <v>4</v>
      </c>
      <c r="E75" s="44" t="s">
        <v>388</v>
      </c>
      <c r="F75" s="41">
        <v>72</v>
      </c>
      <c r="G75" s="41">
        <v>3</v>
      </c>
      <c r="H75" s="307">
        <v>230818</v>
      </c>
      <c r="I75" s="308">
        <v>30390</v>
      </c>
      <c r="J75" s="103">
        <f>+H75/I75</f>
        <v>7.595195788088187</v>
      </c>
      <c r="K75" s="321"/>
      <c r="L75" s="107"/>
      <c r="M75" s="108"/>
      <c r="N75" s="107"/>
    </row>
    <row r="76" spans="1:14" s="29" customFormat="1" ht="16.5" customHeight="1">
      <c r="A76" s="106">
        <v>72</v>
      </c>
      <c r="B76" s="363" t="s">
        <v>275</v>
      </c>
      <c r="C76" s="39">
        <v>39906</v>
      </c>
      <c r="D76" s="44" t="s">
        <v>276</v>
      </c>
      <c r="E76" s="44" t="s">
        <v>361</v>
      </c>
      <c r="F76" s="41" t="s">
        <v>320</v>
      </c>
      <c r="G76" s="41" t="s">
        <v>394</v>
      </c>
      <c r="H76" s="263">
        <v>222148</v>
      </c>
      <c r="I76" s="308">
        <v>25726</v>
      </c>
      <c r="J76" s="357">
        <f>+H76/I76</f>
        <v>8.635155096011816</v>
      </c>
      <c r="K76" s="330"/>
      <c r="L76" s="107"/>
      <c r="M76" s="108"/>
      <c r="N76" s="107"/>
    </row>
    <row r="77" spans="1:14" s="29" customFormat="1" ht="16.5" customHeight="1">
      <c r="A77" s="106">
        <v>73</v>
      </c>
      <c r="B77" s="49" t="s">
        <v>277</v>
      </c>
      <c r="C77" s="39">
        <v>39906</v>
      </c>
      <c r="D77" s="44" t="s">
        <v>130</v>
      </c>
      <c r="E77" s="44" t="s">
        <v>126</v>
      </c>
      <c r="F77" s="41">
        <v>25</v>
      </c>
      <c r="G77" s="41">
        <v>11</v>
      </c>
      <c r="H77" s="307">
        <f>77546+42693+26511+22036+11920+7619+1353+762+17910+8299+4735</f>
        <v>221384</v>
      </c>
      <c r="I77" s="308">
        <f>8404+4982+3631+3612+1988+1253+269+128+3652+1647+946</f>
        <v>30512</v>
      </c>
      <c r="J77" s="103">
        <f>+H77/I77</f>
        <v>7.255637126376508</v>
      </c>
      <c r="K77" s="321"/>
      <c r="L77" s="107"/>
      <c r="M77" s="108"/>
      <c r="N77" s="107"/>
    </row>
    <row r="78" spans="1:14" s="29" customFormat="1" ht="16.5" customHeight="1">
      <c r="A78" s="106">
        <v>74</v>
      </c>
      <c r="B78" s="49" t="s">
        <v>386</v>
      </c>
      <c r="C78" s="39">
        <v>39962</v>
      </c>
      <c r="D78" s="44" t="s">
        <v>134</v>
      </c>
      <c r="E78" s="44" t="s">
        <v>35</v>
      </c>
      <c r="F78" s="41">
        <v>62</v>
      </c>
      <c r="G78" s="41">
        <v>3</v>
      </c>
      <c r="H78" s="307">
        <f>119427+69056.25+26863.25</f>
        <v>215346.5</v>
      </c>
      <c r="I78" s="308">
        <f>12586+8062+4099</f>
        <v>24747</v>
      </c>
      <c r="J78" s="103">
        <f>H78/I78</f>
        <v>8.701923465470562</v>
      </c>
      <c r="K78" s="321"/>
      <c r="L78" s="107"/>
      <c r="M78" s="108"/>
      <c r="N78" s="107"/>
    </row>
    <row r="79" spans="1:14" s="29" customFormat="1" ht="16.5" customHeight="1">
      <c r="A79" s="106">
        <v>75</v>
      </c>
      <c r="B79" s="49" t="s">
        <v>295</v>
      </c>
      <c r="C79" s="39">
        <v>39913</v>
      </c>
      <c r="D79" s="44" t="s">
        <v>132</v>
      </c>
      <c r="E79" s="44" t="s">
        <v>107</v>
      </c>
      <c r="F79" s="41">
        <v>58</v>
      </c>
      <c r="G79" s="41">
        <v>10</v>
      </c>
      <c r="H79" s="307">
        <f>98586+53030.5+26630.5+22794.25+6969+1410+2571+0.5+202+493+182</f>
        <v>212868.75</v>
      </c>
      <c r="I79" s="308">
        <f>10552+5817+4286+3997+1311+179+561+43+115+39</f>
        <v>26900</v>
      </c>
      <c r="J79" s="103">
        <f>+H79/I79</f>
        <v>7.9133364312267656</v>
      </c>
      <c r="K79" s="321"/>
      <c r="L79" s="107"/>
      <c r="M79" s="108"/>
      <c r="N79" s="107"/>
    </row>
    <row r="80" spans="1:14" s="29" customFormat="1" ht="16.5" customHeight="1">
      <c r="A80" s="106">
        <v>76</v>
      </c>
      <c r="B80" s="363" t="s">
        <v>158</v>
      </c>
      <c r="C80" s="39">
        <v>39836</v>
      </c>
      <c r="D80" s="44" t="s">
        <v>134</v>
      </c>
      <c r="E80" s="44" t="s">
        <v>159</v>
      </c>
      <c r="F80" s="41">
        <v>13</v>
      </c>
      <c r="G80" s="41">
        <v>18</v>
      </c>
      <c r="H80" s="263">
        <f>57133.5+23554+18557+9186+29743.5+13631.5+13446+7072+7029+8018.5+7220.5+2856.5+1828+102+3517+635+324+30</f>
        <v>203884</v>
      </c>
      <c r="I80" s="308">
        <f>5405+2651+2356+1389+3583+1713+1661+1216+1174+1324+1425+542+453+16+757+96+108+10</f>
        <v>25879</v>
      </c>
      <c r="J80" s="357">
        <f>H80/I80</f>
        <v>7.87835696897098</v>
      </c>
      <c r="K80" s="330">
        <v>1</v>
      </c>
      <c r="L80" s="107"/>
      <c r="M80" s="108"/>
      <c r="N80" s="107"/>
    </row>
    <row r="81" spans="1:14" s="29" customFormat="1" ht="16.5" customHeight="1">
      <c r="A81" s="106">
        <v>77</v>
      </c>
      <c r="B81" s="49" t="s">
        <v>89</v>
      </c>
      <c r="C81" s="39">
        <v>39822</v>
      </c>
      <c r="D81" s="44" t="s">
        <v>130</v>
      </c>
      <c r="E81" s="44" t="s">
        <v>90</v>
      </c>
      <c r="F81" s="41">
        <v>59</v>
      </c>
      <c r="G81" s="41">
        <v>10</v>
      </c>
      <c r="H81" s="307">
        <f>104780+59149-180+16774+8520+1676+104+1077+1190+1780+175</f>
        <v>195045</v>
      </c>
      <c r="I81" s="308">
        <f>11200+7168-39+2888+1488+293+16+150+340+330+24</f>
        <v>23858</v>
      </c>
      <c r="J81" s="103">
        <f>+H81/I81</f>
        <v>8.17524520077123</v>
      </c>
      <c r="K81" s="330"/>
      <c r="L81" s="107"/>
      <c r="M81" s="108"/>
      <c r="N81" s="107"/>
    </row>
    <row r="82" spans="1:14" s="29" customFormat="1" ht="16.5" customHeight="1">
      <c r="A82" s="106">
        <v>78</v>
      </c>
      <c r="B82" s="49" t="s">
        <v>431</v>
      </c>
      <c r="C82" s="39">
        <v>39926</v>
      </c>
      <c r="D82" s="44" t="s">
        <v>134</v>
      </c>
      <c r="E82" s="44" t="s">
        <v>319</v>
      </c>
      <c r="F82" s="41">
        <v>40</v>
      </c>
      <c r="G82" s="41">
        <v>8</v>
      </c>
      <c r="H82" s="307">
        <f>35864.5+53058.5+35303.5+15734.5+12778.5+9687.5+8045+13953.5+10307</f>
        <v>194732.5</v>
      </c>
      <c r="I82" s="308">
        <f>3971+5771+3969+2398+2257+2131+1634+2509+1783</f>
        <v>26423</v>
      </c>
      <c r="J82" s="103">
        <f>H82/I82</f>
        <v>7.369810392461114</v>
      </c>
      <c r="K82" s="321"/>
      <c r="L82" s="107"/>
      <c r="M82" s="108"/>
      <c r="N82" s="107"/>
    </row>
    <row r="83" spans="1:14" s="29" customFormat="1" ht="16.5" customHeight="1">
      <c r="A83" s="106">
        <v>79</v>
      </c>
      <c r="B83" s="49" t="s">
        <v>330</v>
      </c>
      <c r="C83" s="39">
        <v>39934</v>
      </c>
      <c r="D83" s="44" t="s">
        <v>132</v>
      </c>
      <c r="E83" s="44" t="s">
        <v>331</v>
      </c>
      <c r="F83" s="41">
        <v>125</v>
      </c>
      <c r="G83" s="41">
        <v>7</v>
      </c>
      <c r="H83" s="307">
        <f>114460.75+42138+22420+8194+3259+329+823</f>
        <v>191623.75</v>
      </c>
      <c r="I83" s="308">
        <f>15343+6534+4108+1491+680+62+130</f>
        <v>28348</v>
      </c>
      <c r="J83" s="103">
        <f>+H83/I83</f>
        <v>6.759692041766615</v>
      </c>
      <c r="K83" s="321">
        <v>1</v>
      </c>
      <c r="L83" s="107"/>
      <c r="M83" s="108"/>
      <c r="N83" s="107"/>
    </row>
    <row r="84" spans="1:14" s="29" customFormat="1" ht="16.5" customHeight="1">
      <c r="A84" s="106">
        <v>80</v>
      </c>
      <c r="B84" s="49" t="s">
        <v>354</v>
      </c>
      <c r="C84" s="39">
        <v>39941</v>
      </c>
      <c r="D84" s="44" t="s">
        <v>132</v>
      </c>
      <c r="E84" s="44" t="s">
        <v>107</v>
      </c>
      <c r="F84" s="41">
        <v>48</v>
      </c>
      <c r="G84" s="41">
        <v>6</v>
      </c>
      <c r="H84" s="307">
        <f>68037+32977.75+19751.5+19095.5+11245.5+8291+0.5</f>
        <v>159398.75</v>
      </c>
      <c r="I84" s="308">
        <f>7390+3921+2868+3420+2036+1430</f>
        <v>21065</v>
      </c>
      <c r="J84" s="103">
        <f>+H84/I84</f>
        <v>7.566995015428436</v>
      </c>
      <c r="K84" s="321"/>
      <c r="L84" s="107"/>
      <c r="M84" s="108"/>
      <c r="N84" s="107"/>
    </row>
    <row r="85" spans="1:14" s="29" customFormat="1" ht="16.5" customHeight="1">
      <c r="A85" s="106">
        <v>81</v>
      </c>
      <c r="B85" s="49" t="s">
        <v>264</v>
      </c>
      <c r="C85" s="39">
        <v>39899</v>
      </c>
      <c r="D85" s="44" t="s">
        <v>134</v>
      </c>
      <c r="E85" s="44" t="s">
        <v>265</v>
      </c>
      <c r="F85" s="41">
        <v>20</v>
      </c>
      <c r="G85" s="41">
        <v>12</v>
      </c>
      <c r="H85" s="307">
        <f>80325+22862.5+13205.5+6103+2111+12431+2530+1890+2753+2052+6502+4582</f>
        <v>157347</v>
      </c>
      <c r="I85" s="308">
        <f>7739+2336+2082+903+428+1668+456+491+508+401+912+904</f>
        <v>18828</v>
      </c>
      <c r="J85" s="103">
        <f aca="true" t="shared" si="2" ref="J85:J90">H85/I85</f>
        <v>8.357074569789676</v>
      </c>
      <c r="K85" s="321"/>
      <c r="L85" s="107"/>
      <c r="M85" s="108"/>
      <c r="N85" s="107"/>
    </row>
    <row r="86" spans="1:14" s="29" customFormat="1" ht="16.5" customHeight="1">
      <c r="A86" s="106">
        <v>82</v>
      </c>
      <c r="B86" s="363" t="s">
        <v>247</v>
      </c>
      <c r="C86" s="39">
        <v>39815</v>
      </c>
      <c r="D86" s="44" t="s">
        <v>132</v>
      </c>
      <c r="E86" s="44" t="s">
        <v>107</v>
      </c>
      <c r="F86" s="41">
        <v>1</v>
      </c>
      <c r="G86" s="41">
        <v>13</v>
      </c>
      <c r="H86" s="263">
        <f>73862+20664+15776+8085+9922+10832+112+464+968+2909+2298+0.5+104+234</f>
        <v>146230.5</v>
      </c>
      <c r="I86" s="308">
        <f>7639+2334+2407+1475+1749+1781+22+65+145+411+556+15+36</f>
        <v>18635</v>
      </c>
      <c r="J86" s="357">
        <f t="shared" si="2"/>
        <v>7.847088811376442</v>
      </c>
      <c r="K86" s="330"/>
      <c r="L86" s="107"/>
      <c r="M86" s="108"/>
      <c r="N86" s="107"/>
    </row>
    <row r="87" spans="1:14" s="29" customFormat="1" ht="16.5" customHeight="1">
      <c r="A87" s="106">
        <v>83</v>
      </c>
      <c r="B87" s="49" t="s">
        <v>280</v>
      </c>
      <c r="C87" s="39">
        <v>39906</v>
      </c>
      <c r="D87" s="44" t="s">
        <v>134</v>
      </c>
      <c r="E87" s="44" t="s">
        <v>281</v>
      </c>
      <c r="F87" s="41">
        <v>20</v>
      </c>
      <c r="G87" s="41">
        <v>11</v>
      </c>
      <c r="H87" s="307">
        <f>42804+21823.5+16872+15644+14339+9086.5+5699.5+3037.5+5806+4257+3266</f>
        <v>142635</v>
      </c>
      <c r="I87" s="308">
        <f>4512+2464+2783+2745+2518+1539+1111+600+1038+659+553</f>
        <v>20522</v>
      </c>
      <c r="J87" s="103">
        <f t="shared" si="2"/>
        <v>6.950345970178345</v>
      </c>
      <c r="K87" s="321"/>
      <c r="L87" s="107"/>
      <c r="M87" s="108"/>
      <c r="N87" s="107"/>
    </row>
    <row r="88" spans="1:14" s="29" customFormat="1" ht="16.5" customHeight="1">
      <c r="A88" s="106">
        <v>84</v>
      </c>
      <c r="B88" s="363" t="s">
        <v>322</v>
      </c>
      <c r="C88" s="39">
        <v>39878</v>
      </c>
      <c r="D88" s="44" t="s">
        <v>134</v>
      </c>
      <c r="E88" s="44" t="s">
        <v>230</v>
      </c>
      <c r="F88" s="41">
        <v>23</v>
      </c>
      <c r="G88" s="41">
        <v>13</v>
      </c>
      <c r="H88" s="263">
        <f>53374.5+21232.5+15713+17154+11858.5+7161+6552+3862+3628+1527+122+233.5+60</f>
        <v>142478</v>
      </c>
      <c r="I88" s="308">
        <f>6646+2890+2666+3061+2083+1483+1285+676+775+318+20+74+20</f>
        <v>21997</v>
      </c>
      <c r="J88" s="357">
        <f t="shared" si="2"/>
        <v>6.477155975814884</v>
      </c>
      <c r="K88" s="330">
        <v>1</v>
      </c>
      <c r="L88" s="107"/>
      <c r="M88" s="108"/>
      <c r="N88" s="107"/>
    </row>
    <row r="89" spans="1:14" s="29" customFormat="1" ht="16.5" customHeight="1">
      <c r="A89" s="106">
        <v>85</v>
      </c>
      <c r="B89" s="49" t="s">
        <v>36</v>
      </c>
      <c r="C89" s="39">
        <v>39815</v>
      </c>
      <c r="D89" s="44" t="s">
        <v>134</v>
      </c>
      <c r="E89" s="44" t="s">
        <v>37</v>
      </c>
      <c r="F89" s="41">
        <v>37</v>
      </c>
      <c r="G89" s="41">
        <v>13</v>
      </c>
      <c r="H89" s="307">
        <f>95365.5+19593.5+3155+849+1502+1716+1068+1873+1534+803+792+1418.5+392</f>
        <v>130061.5</v>
      </c>
      <c r="I89" s="308">
        <f>9915+2232+541+157+246+408+264+355+235+213+137+243+82</f>
        <v>15028</v>
      </c>
      <c r="J89" s="103">
        <f t="shared" si="2"/>
        <v>8.654611392068139</v>
      </c>
      <c r="K89" s="330"/>
      <c r="L89" s="107"/>
      <c r="M89" s="108"/>
      <c r="N89" s="107"/>
    </row>
    <row r="90" spans="1:14" s="29" customFormat="1" ht="16.5" customHeight="1">
      <c r="A90" s="106">
        <v>86</v>
      </c>
      <c r="B90" s="49" t="s">
        <v>253</v>
      </c>
      <c r="C90" s="39">
        <v>39892</v>
      </c>
      <c r="D90" s="44" t="s">
        <v>134</v>
      </c>
      <c r="E90" s="44" t="s">
        <v>299</v>
      </c>
      <c r="F90" s="41">
        <v>18</v>
      </c>
      <c r="G90" s="41">
        <v>13</v>
      </c>
      <c r="H90" s="307">
        <f>64124.5+26275.5+7311.5+8465.5+2566+5722+4034.5+396+299+1539.5+3187.5+921+1895.5</f>
        <v>126738</v>
      </c>
      <c r="I90" s="308">
        <f>5704+2336+995+1347+675+1131+1039+72+56+218+681+173+316</f>
        <v>14743</v>
      </c>
      <c r="J90" s="103">
        <f t="shared" si="2"/>
        <v>8.596486468154378</v>
      </c>
      <c r="K90" s="321"/>
      <c r="L90" s="107"/>
      <c r="M90" s="108"/>
      <c r="N90" s="107"/>
    </row>
    <row r="91" spans="1:14" s="29" customFormat="1" ht="16.5" customHeight="1">
      <c r="A91" s="106">
        <v>87</v>
      </c>
      <c r="B91" s="49" t="s">
        <v>376</v>
      </c>
      <c r="C91" s="39">
        <v>39955</v>
      </c>
      <c r="D91" s="44" t="s">
        <v>276</v>
      </c>
      <c r="E91" s="44" t="s">
        <v>377</v>
      </c>
      <c r="F91" s="41" t="s">
        <v>429</v>
      </c>
      <c r="G91" s="41" t="s">
        <v>430</v>
      </c>
      <c r="H91" s="307">
        <v>117929</v>
      </c>
      <c r="I91" s="308">
        <v>16812</v>
      </c>
      <c r="J91" s="103">
        <f aca="true" t="shared" si="3" ref="J91:J97">+H91/I91</f>
        <v>7.014572924101832</v>
      </c>
      <c r="K91" s="321"/>
      <c r="L91" s="107"/>
      <c r="M91" s="108"/>
      <c r="N91" s="107"/>
    </row>
    <row r="92" spans="1:14" s="29" customFormat="1" ht="16.5" customHeight="1">
      <c r="A92" s="106">
        <v>88</v>
      </c>
      <c r="B92" s="49" t="s">
        <v>332</v>
      </c>
      <c r="C92" s="39">
        <v>39934</v>
      </c>
      <c r="D92" s="44" t="s">
        <v>333</v>
      </c>
      <c r="E92" s="44" t="s">
        <v>334</v>
      </c>
      <c r="F92" s="41">
        <v>41</v>
      </c>
      <c r="G92" s="41">
        <v>6</v>
      </c>
      <c r="H92" s="307">
        <v>116503.75</v>
      </c>
      <c r="I92" s="308">
        <v>19408</v>
      </c>
      <c r="J92" s="103">
        <f t="shared" si="3"/>
        <v>6.002872526793075</v>
      </c>
      <c r="K92" s="332">
        <v>1</v>
      </c>
      <c r="L92" s="107"/>
      <c r="M92" s="108"/>
      <c r="N92" s="107"/>
    </row>
    <row r="93" spans="1:14" s="29" customFormat="1" ht="16.5" customHeight="1">
      <c r="A93" s="106">
        <v>89</v>
      </c>
      <c r="B93" s="49" t="s">
        <v>157</v>
      </c>
      <c r="C93" s="39">
        <v>39836</v>
      </c>
      <c r="D93" s="44" t="s">
        <v>4</v>
      </c>
      <c r="E93" s="44" t="s">
        <v>77</v>
      </c>
      <c r="F93" s="41">
        <v>30</v>
      </c>
      <c r="G93" s="41">
        <v>12</v>
      </c>
      <c r="H93" s="307">
        <v>115954</v>
      </c>
      <c r="I93" s="308">
        <v>11769</v>
      </c>
      <c r="J93" s="103">
        <f t="shared" si="3"/>
        <v>9.852493839748492</v>
      </c>
      <c r="K93" s="330"/>
      <c r="L93" s="107"/>
      <c r="M93" s="108"/>
      <c r="N93" s="107"/>
    </row>
    <row r="94" spans="1:14" s="29" customFormat="1" ht="16.5" customHeight="1">
      <c r="A94" s="106">
        <v>90</v>
      </c>
      <c r="B94" s="49" t="s">
        <v>355</v>
      </c>
      <c r="C94" s="39">
        <v>39941</v>
      </c>
      <c r="D94" s="44" t="s">
        <v>136</v>
      </c>
      <c r="E94" s="44" t="s">
        <v>78</v>
      </c>
      <c r="F94" s="41">
        <v>10</v>
      </c>
      <c r="G94" s="41">
        <v>6</v>
      </c>
      <c r="H94" s="307">
        <f>105888.25+5661</f>
        <v>111549.25</v>
      </c>
      <c r="I94" s="308">
        <f>9952+754</f>
        <v>10706</v>
      </c>
      <c r="J94" s="103">
        <f t="shared" si="3"/>
        <v>10.419320941528115</v>
      </c>
      <c r="K94" s="321"/>
      <c r="L94" s="107"/>
      <c r="M94" s="108"/>
      <c r="N94" s="107"/>
    </row>
    <row r="95" spans="1:14" s="29" customFormat="1" ht="16.5" customHeight="1">
      <c r="A95" s="106">
        <v>91</v>
      </c>
      <c r="B95" s="49" t="s">
        <v>427</v>
      </c>
      <c r="C95" s="39">
        <v>39983</v>
      </c>
      <c r="D95" s="44" t="s">
        <v>131</v>
      </c>
      <c r="E95" s="44" t="s">
        <v>127</v>
      </c>
      <c r="F95" s="41">
        <v>21</v>
      </c>
      <c r="G95" s="41">
        <v>1</v>
      </c>
      <c r="H95" s="307">
        <v>109134</v>
      </c>
      <c r="I95" s="308">
        <v>9645</v>
      </c>
      <c r="J95" s="103">
        <f t="shared" si="3"/>
        <v>11.315085536547434</v>
      </c>
      <c r="K95" s="321"/>
      <c r="L95" s="107"/>
      <c r="M95" s="108"/>
      <c r="N95" s="107"/>
    </row>
    <row r="96" spans="1:14" s="29" customFormat="1" ht="16.5" customHeight="1">
      <c r="A96" s="106">
        <v>92</v>
      </c>
      <c r="B96" s="49" t="s">
        <v>405</v>
      </c>
      <c r="C96" s="39">
        <v>39955</v>
      </c>
      <c r="D96" s="45" t="s">
        <v>276</v>
      </c>
      <c r="E96" s="45" t="s">
        <v>276</v>
      </c>
      <c r="F96" s="375" t="s">
        <v>378</v>
      </c>
      <c r="G96" s="375" t="s">
        <v>406</v>
      </c>
      <c r="H96" s="303">
        <v>108299</v>
      </c>
      <c r="I96" s="304">
        <v>15152</v>
      </c>
      <c r="J96" s="105">
        <f t="shared" si="3"/>
        <v>7.147505279831045</v>
      </c>
      <c r="K96" s="332"/>
      <c r="L96" s="107"/>
      <c r="M96" s="108"/>
      <c r="N96" s="107"/>
    </row>
    <row r="97" spans="1:14" s="29" customFormat="1" ht="16.5" customHeight="1">
      <c r="A97" s="106">
        <v>93</v>
      </c>
      <c r="B97" s="49" t="s">
        <v>380</v>
      </c>
      <c r="C97" s="39">
        <v>39927</v>
      </c>
      <c r="D97" s="44" t="s">
        <v>132</v>
      </c>
      <c r="E97" s="44" t="s">
        <v>107</v>
      </c>
      <c r="F97" s="41">
        <v>25</v>
      </c>
      <c r="G97" s="41">
        <v>7</v>
      </c>
      <c r="H97" s="307">
        <f>56555+24451+8835+0.5+4851+3342+0.5+5835+0.5+411</f>
        <v>104281.5</v>
      </c>
      <c r="I97" s="308">
        <f>5543+2474+1355+829+588+1142+85</f>
        <v>12016</v>
      </c>
      <c r="J97" s="103">
        <f t="shared" si="3"/>
        <v>8.678553595206392</v>
      </c>
      <c r="K97" s="332"/>
      <c r="L97" s="107"/>
      <c r="M97" s="108"/>
      <c r="N97" s="107"/>
    </row>
    <row r="98" spans="1:14" s="29" customFormat="1" ht="16.5" customHeight="1">
      <c r="A98" s="106">
        <v>94</v>
      </c>
      <c r="B98" s="49" t="s">
        <v>402</v>
      </c>
      <c r="C98" s="39">
        <v>39969</v>
      </c>
      <c r="D98" s="44" t="s">
        <v>134</v>
      </c>
      <c r="E98" s="44" t="s">
        <v>403</v>
      </c>
      <c r="F98" s="41">
        <v>20</v>
      </c>
      <c r="G98" s="41">
        <v>2</v>
      </c>
      <c r="H98" s="307">
        <f>63821.75+29583.75</f>
        <v>93405.5</v>
      </c>
      <c r="I98" s="308">
        <f>6069+3045</f>
        <v>9114</v>
      </c>
      <c r="J98" s="103">
        <f>H98/I98</f>
        <v>10.248573622997586</v>
      </c>
      <c r="K98" s="321"/>
      <c r="L98" s="107"/>
      <c r="M98" s="108"/>
      <c r="N98" s="107"/>
    </row>
    <row r="99" spans="1:14" s="29" customFormat="1" ht="16.5" customHeight="1">
      <c r="A99" s="106">
        <v>95</v>
      </c>
      <c r="B99" s="49" t="s">
        <v>373</v>
      </c>
      <c r="C99" s="39">
        <v>39955</v>
      </c>
      <c r="D99" s="44" t="s">
        <v>333</v>
      </c>
      <c r="E99" s="44" t="s">
        <v>374</v>
      </c>
      <c r="F99" s="41">
        <v>71</v>
      </c>
      <c r="G99" s="41">
        <v>3</v>
      </c>
      <c r="H99" s="307">
        <v>90371.5</v>
      </c>
      <c r="I99" s="308">
        <v>11743</v>
      </c>
      <c r="J99" s="103">
        <f>+H99/I99</f>
        <v>7.695776207102103</v>
      </c>
      <c r="K99" s="332">
        <v>1</v>
      </c>
      <c r="L99" s="107"/>
      <c r="M99" s="108"/>
      <c r="N99" s="107"/>
    </row>
    <row r="100" spans="1:14" s="29" customFormat="1" ht="16.5" customHeight="1">
      <c r="A100" s="106">
        <v>96</v>
      </c>
      <c r="B100" s="49" t="s">
        <v>389</v>
      </c>
      <c r="C100" s="39">
        <v>39962</v>
      </c>
      <c r="D100" s="44" t="s">
        <v>136</v>
      </c>
      <c r="E100" s="44" t="s">
        <v>390</v>
      </c>
      <c r="F100" s="41">
        <v>10</v>
      </c>
      <c r="G100" s="41">
        <v>3</v>
      </c>
      <c r="H100" s="307">
        <f>78605.25+11559.5</f>
        <v>90164.75</v>
      </c>
      <c r="I100" s="308">
        <f>6323+1551</f>
        <v>7874</v>
      </c>
      <c r="J100" s="103">
        <f>+H100/I100</f>
        <v>11.450946151892303</v>
      </c>
      <c r="K100" s="321"/>
      <c r="L100" s="107"/>
      <c r="M100" s="108"/>
      <c r="N100" s="107"/>
    </row>
    <row r="101" spans="1:14" s="29" customFormat="1" ht="16.5" customHeight="1">
      <c r="A101" s="106">
        <v>97</v>
      </c>
      <c r="B101" s="244" t="s">
        <v>278</v>
      </c>
      <c r="C101" s="40">
        <v>39906</v>
      </c>
      <c r="D101" s="65" t="s">
        <v>131</v>
      </c>
      <c r="E101" s="44" t="s">
        <v>279</v>
      </c>
      <c r="F101" s="41">
        <v>51</v>
      </c>
      <c r="G101" s="41">
        <v>10</v>
      </c>
      <c r="H101" s="307">
        <v>84743</v>
      </c>
      <c r="I101" s="308">
        <v>11286</v>
      </c>
      <c r="J101" s="103">
        <f>+H101/I101</f>
        <v>7.508683324472798</v>
      </c>
      <c r="K101" s="332">
        <v>1</v>
      </c>
      <c r="L101" s="107"/>
      <c r="M101" s="108"/>
      <c r="N101" s="107"/>
    </row>
    <row r="102" spans="1:14" s="29" customFormat="1" ht="16.5" customHeight="1">
      <c r="A102" s="106">
        <v>98</v>
      </c>
      <c r="B102" s="49" t="s">
        <v>335</v>
      </c>
      <c r="C102" s="39">
        <v>39934</v>
      </c>
      <c r="D102" s="44" t="s">
        <v>134</v>
      </c>
      <c r="E102" s="44" t="s">
        <v>336</v>
      </c>
      <c r="F102" s="41">
        <v>10</v>
      </c>
      <c r="G102" s="41">
        <v>7</v>
      </c>
      <c r="H102" s="307">
        <f>33364+9411.25+6223+5254.25+7040.75+9205+8456.5</f>
        <v>78954.75</v>
      </c>
      <c r="I102" s="308">
        <f>3034+1189+1068+919+1228+1672+993</f>
        <v>10103</v>
      </c>
      <c r="J102" s="103">
        <f>H102/I102</f>
        <v>7.814980698802336</v>
      </c>
      <c r="K102" s="321"/>
      <c r="L102" s="107"/>
      <c r="M102" s="108"/>
      <c r="N102" s="107"/>
    </row>
    <row r="103" spans="1:14" s="29" customFormat="1" ht="13.5" customHeight="1">
      <c r="A103" s="106">
        <v>99</v>
      </c>
      <c r="B103" s="49" t="s">
        <v>357</v>
      </c>
      <c r="C103" s="39">
        <v>39941</v>
      </c>
      <c r="D103" s="44" t="s">
        <v>134</v>
      </c>
      <c r="E103" s="44" t="s">
        <v>438</v>
      </c>
      <c r="F103" s="41">
        <v>26</v>
      </c>
      <c r="G103" s="41">
        <v>5</v>
      </c>
      <c r="H103" s="307">
        <f>36482.75+16583.5+5922.75+3249+4769+4925</f>
        <v>71932</v>
      </c>
      <c r="I103" s="308">
        <f>4495+1934+744+517+1003+1215</f>
        <v>9908</v>
      </c>
      <c r="J103" s="103">
        <f>H103/I103</f>
        <v>7.259991925716593</v>
      </c>
      <c r="K103" s="321">
        <v>1</v>
      </c>
      <c r="L103" s="107"/>
      <c r="M103" s="108"/>
      <c r="N103" s="107"/>
    </row>
    <row r="104" spans="1:14" s="29" customFormat="1" ht="15">
      <c r="A104" s="106">
        <v>100</v>
      </c>
      <c r="B104" s="363" t="s">
        <v>266</v>
      </c>
      <c r="C104" s="39">
        <v>39899</v>
      </c>
      <c r="D104" s="44" t="s">
        <v>134</v>
      </c>
      <c r="E104" s="44" t="s">
        <v>267</v>
      </c>
      <c r="F104" s="41">
        <v>16</v>
      </c>
      <c r="G104" s="41">
        <v>10</v>
      </c>
      <c r="H104" s="263">
        <f>31137+15536+8716+2149+2897+1360+2390+1251+322+381</f>
        <v>66139</v>
      </c>
      <c r="I104" s="308">
        <f>3413+1778+1361+440+508+248+548+290+68+72</f>
        <v>8726</v>
      </c>
      <c r="J104" s="357">
        <f>H104/I104</f>
        <v>7.579532431812972</v>
      </c>
      <c r="K104" s="330">
        <v>1</v>
      </c>
      <c r="L104" s="107"/>
      <c r="M104" s="108"/>
      <c r="N104" s="107"/>
    </row>
    <row r="105" spans="1:14" s="29" customFormat="1" ht="15">
      <c r="A105" s="106">
        <v>101</v>
      </c>
      <c r="B105" s="49" t="s">
        <v>337</v>
      </c>
      <c r="C105" s="39">
        <v>39934</v>
      </c>
      <c r="D105" s="44" t="s">
        <v>132</v>
      </c>
      <c r="E105" s="44" t="s">
        <v>338</v>
      </c>
      <c r="F105" s="41">
        <v>31</v>
      </c>
      <c r="G105" s="41">
        <v>7</v>
      </c>
      <c r="H105" s="307">
        <f>29306.5+14144+7300+0.5+4133+3797+0.5+1972+0.5+3879</f>
        <v>64533</v>
      </c>
      <c r="I105" s="308">
        <f>4336+2409+1301+741+778+521+880</f>
        <v>10966</v>
      </c>
      <c r="J105" s="103">
        <f>+H105/I105</f>
        <v>5.884825825278132</v>
      </c>
      <c r="K105" s="321">
        <v>1</v>
      </c>
      <c r="L105" s="107"/>
      <c r="M105" s="108"/>
      <c r="N105" s="107"/>
    </row>
    <row r="106" spans="1:14" s="29" customFormat="1" ht="15">
      <c r="A106" s="106">
        <v>102</v>
      </c>
      <c r="B106" s="363" t="s">
        <v>38</v>
      </c>
      <c r="C106" s="39">
        <v>39815</v>
      </c>
      <c r="D106" s="44" t="s">
        <v>136</v>
      </c>
      <c r="E106" s="44" t="s">
        <v>39</v>
      </c>
      <c r="F106" s="41">
        <v>16</v>
      </c>
      <c r="G106" s="41">
        <v>12</v>
      </c>
      <c r="H106" s="263">
        <v>58125.5</v>
      </c>
      <c r="I106" s="308">
        <v>6613</v>
      </c>
      <c r="J106" s="357">
        <f>+H106/I106</f>
        <v>8.789581128081052</v>
      </c>
      <c r="K106" s="330">
        <v>1</v>
      </c>
      <c r="L106" s="107"/>
      <c r="M106" s="108"/>
      <c r="N106" s="107"/>
    </row>
    <row r="107" spans="1:14" s="29" customFormat="1" ht="15">
      <c r="A107" s="106">
        <v>103</v>
      </c>
      <c r="B107" s="49" t="s">
        <v>297</v>
      </c>
      <c r="C107" s="39">
        <v>39913</v>
      </c>
      <c r="D107" s="44" t="s">
        <v>134</v>
      </c>
      <c r="E107" s="44" t="s">
        <v>298</v>
      </c>
      <c r="F107" s="41">
        <v>8</v>
      </c>
      <c r="G107" s="41">
        <v>10</v>
      </c>
      <c r="H107" s="307">
        <f>21351.5+14278.5+6751+4525+2536+673+390+177+1270+1412</f>
        <v>53364</v>
      </c>
      <c r="I107" s="308">
        <f>2210+1534+811+919+457+117+61+33+223+254</f>
        <v>6619</v>
      </c>
      <c r="J107" s="103">
        <f>H107/I107</f>
        <v>8.062245052122677</v>
      </c>
      <c r="K107" s="321">
        <v>1</v>
      </c>
      <c r="L107" s="107"/>
      <c r="M107" s="108"/>
      <c r="N107" s="107"/>
    </row>
    <row r="108" spans="1:14" s="29" customFormat="1" ht="15">
      <c r="A108" s="106">
        <v>104</v>
      </c>
      <c r="B108" s="49" t="s">
        <v>254</v>
      </c>
      <c r="C108" s="40">
        <v>39892</v>
      </c>
      <c r="D108" s="45" t="s">
        <v>134</v>
      </c>
      <c r="E108" s="44" t="s">
        <v>148</v>
      </c>
      <c r="F108" s="41">
        <v>5</v>
      </c>
      <c r="G108" s="41">
        <v>11</v>
      </c>
      <c r="H108" s="303">
        <f>18881.5+13473+6553+4173.5+2378+3269+2172+792+240+60+1236</f>
        <v>53228</v>
      </c>
      <c r="I108" s="304">
        <f>2268+1745+795+568+579+610+541+209+80+20+215</f>
        <v>7630</v>
      </c>
      <c r="J108" s="105">
        <f>H108/I108</f>
        <v>6.9761467889908255</v>
      </c>
      <c r="K108" s="332"/>
      <c r="L108" s="107"/>
      <c r="M108" s="108"/>
      <c r="N108" s="107"/>
    </row>
    <row r="109" spans="1:14" s="29" customFormat="1" ht="15">
      <c r="A109" s="106">
        <v>105</v>
      </c>
      <c r="B109" s="49" t="s">
        <v>421</v>
      </c>
      <c r="C109" s="39">
        <v>39976</v>
      </c>
      <c r="D109" s="44" t="s">
        <v>4</v>
      </c>
      <c r="E109" s="44" t="s">
        <v>422</v>
      </c>
      <c r="F109" s="41">
        <v>4</v>
      </c>
      <c r="G109" s="41">
        <v>1</v>
      </c>
      <c r="H109" s="307">
        <v>49911</v>
      </c>
      <c r="I109" s="308">
        <v>3954</v>
      </c>
      <c r="J109" s="103">
        <f>+H109/I109</f>
        <v>12.622913505311077</v>
      </c>
      <c r="K109" s="321"/>
      <c r="L109" s="107"/>
      <c r="M109" s="108"/>
      <c r="N109" s="107"/>
    </row>
    <row r="110" spans="1:14" s="29" customFormat="1" ht="15">
      <c r="A110" s="106">
        <v>106</v>
      </c>
      <c r="B110" s="363" t="s">
        <v>255</v>
      </c>
      <c r="C110" s="39">
        <v>39892</v>
      </c>
      <c r="D110" s="44" t="s">
        <v>132</v>
      </c>
      <c r="E110" s="44" t="s">
        <v>256</v>
      </c>
      <c r="F110" s="41">
        <v>15</v>
      </c>
      <c r="G110" s="41">
        <v>7</v>
      </c>
      <c r="H110" s="263">
        <f>17658.5+10158+4719+2865+5972+4469+115</f>
        <v>45956.5</v>
      </c>
      <c r="I110" s="308">
        <f>2134+1239+693+537+1092+877+22</f>
        <v>6594</v>
      </c>
      <c r="J110" s="357">
        <f>+H110/I110</f>
        <v>6.969441916894146</v>
      </c>
      <c r="K110" s="330">
        <v>1</v>
      </c>
      <c r="L110" s="107"/>
      <c r="M110" s="108"/>
      <c r="N110" s="107"/>
    </row>
    <row r="111" spans="1:14" s="29" customFormat="1" ht="15">
      <c r="A111" s="106">
        <v>107</v>
      </c>
      <c r="B111" s="49" t="s">
        <v>404</v>
      </c>
      <c r="C111" s="39">
        <v>39969</v>
      </c>
      <c r="D111" s="44" t="s">
        <v>134</v>
      </c>
      <c r="E111" s="44" t="s">
        <v>106</v>
      </c>
      <c r="F111" s="41">
        <v>15</v>
      </c>
      <c r="G111" s="41">
        <v>2</v>
      </c>
      <c r="H111" s="307">
        <f>27361.5+18405.5</f>
        <v>45767</v>
      </c>
      <c r="I111" s="308">
        <f>2528+1825</f>
        <v>4353</v>
      </c>
      <c r="J111" s="103">
        <f>H111/I111</f>
        <v>10.51389846083161</v>
      </c>
      <c r="K111" s="321"/>
      <c r="L111" s="107"/>
      <c r="M111" s="108"/>
      <c r="N111" s="107"/>
    </row>
    <row r="112" spans="1:14" s="29" customFormat="1" ht="15">
      <c r="A112" s="106">
        <v>108</v>
      </c>
      <c r="B112" s="363" t="s">
        <v>268</v>
      </c>
      <c r="C112" s="39">
        <v>39899</v>
      </c>
      <c r="D112" s="44" t="s">
        <v>131</v>
      </c>
      <c r="E112" s="44" t="s">
        <v>43</v>
      </c>
      <c r="F112" s="41">
        <v>25</v>
      </c>
      <c r="G112" s="41">
        <v>7</v>
      </c>
      <c r="H112" s="263">
        <v>45375</v>
      </c>
      <c r="I112" s="308">
        <v>5595</v>
      </c>
      <c r="J112" s="357">
        <f>+H112/I112</f>
        <v>8.109919571045577</v>
      </c>
      <c r="K112" s="330"/>
      <c r="L112" s="107"/>
      <c r="M112" s="108"/>
      <c r="N112" s="107"/>
    </row>
    <row r="113" spans="1:14" s="29" customFormat="1" ht="15">
      <c r="A113" s="106">
        <v>109</v>
      </c>
      <c r="B113" s="49" t="s">
        <v>417</v>
      </c>
      <c r="C113" s="39">
        <v>39976</v>
      </c>
      <c r="D113" s="44" t="s">
        <v>136</v>
      </c>
      <c r="E113" s="44" t="s">
        <v>390</v>
      </c>
      <c r="F113" s="41">
        <v>20</v>
      </c>
      <c r="G113" s="41">
        <v>1</v>
      </c>
      <c r="H113" s="307">
        <v>42617.25</v>
      </c>
      <c r="I113" s="308">
        <v>3838</v>
      </c>
      <c r="J113" s="103">
        <f>+H113/I113</f>
        <v>11.104025534132361</v>
      </c>
      <c r="K113" s="321"/>
      <c r="L113" s="107"/>
      <c r="M113" s="108"/>
      <c r="N113" s="107"/>
    </row>
    <row r="114" spans="1:14" s="29" customFormat="1" ht="15">
      <c r="A114" s="106">
        <v>110</v>
      </c>
      <c r="B114" s="49" t="s">
        <v>296</v>
      </c>
      <c r="C114" s="39">
        <v>39913</v>
      </c>
      <c r="D114" s="44" t="s">
        <v>134</v>
      </c>
      <c r="E114" s="44" t="s">
        <v>156</v>
      </c>
      <c r="F114" s="41">
        <v>25</v>
      </c>
      <c r="G114" s="41">
        <v>9</v>
      </c>
      <c r="H114" s="307">
        <f>27272+5053+1261+893+3382.5+1033+1215+944+358</f>
        <v>41411.5</v>
      </c>
      <c r="I114" s="308">
        <f>2445+551+258+199+504+141+212+188+48</f>
        <v>4546</v>
      </c>
      <c r="J114" s="103">
        <f>H114/I114</f>
        <v>9.10943686757589</v>
      </c>
      <c r="K114" s="321"/>
      <c r="L114" s="107"/>
      <c r="M114" s="108"/>
      <c r="N114" s="107"/>
    </row>
    <row r="115" spans="1:14" s="29" customFormat="1" ht="15">
      <c r="A115" s="106">
        <v>111</v>
      </c>
      <c r="B115" s="49" t="s">
        <v>419</v>
      </c>
      <c r="C115" s="39">
        <v>39976</v>
      </c>
      <c r="D115" s="44" t="s">
        <v>4</v>
      </c>
      <c r="E115" s="44" t="s">
        <v>420</v>
      </c>
      <c r="F115" s="41">
        <v>32</v>
      </c>
      <c r="G115" s="41">
        <v>1</v>
      </c>
      <c r="H115" s="307">
        <v>35288</v>
      </c>
      <c r="I115" s="308">
        <v>3771</v>
      </c>
      <c r="J115" s="103">
        <f>+H115/I115</f>
        <v>9.35773004508088</v>
      </c>
      <c r="K115" s="321"/>
      <c r="L115" s="107"/>
      <c r="M115" s="108"/>
      <c r="N115" s="107"/>
    </row>
    <row r="116" spans="1:14" s="29" customFormat="1" ht="15">
      <c r="A116" s="106">
        <v>112</v>
      </c>
      <c r="B116" s="318" t="s">
        <v>244</v>
      </c>
      <c r="C116" s="344">
        <v>39878</v>
      </c>
      <c r="D116" s="343" t="s">
        <v>245</v>
      </c>
      <c r="E116" s="343" t="s">
        <v>246</v>
      </c>
      <c r="F116" s="41">
        <v>11</v>
      </c>
      <c r="G116" s="41">
        <v>2</v>
      </c>
      <c r="H116" s="307">
        <v>30325.5</v>
      </c>
      <c r="I116" s="308">
        <v>2720</v>
      </c>
      <c r="J116" s="103">
        <f>+H116/I116</f>
        <v>11.14908088235294</v>
      </c>
      <c r="K116" s="330"/>
      <c r="L116" s="107"/>
      <c r="M116" s="108"/>
      <c r="N116" s="107"/>
    </row>
    <row r="117" spans="1:14" s="29" customFormat="1" ht="15">
      <c r="A117" s="106">
        <v>113</v>
      </c>
      <c r="B117" s="49" t="s">
        <v>272</v>
      </c>
      <c r="C117" s="39">
        <v>39843</v>
      </c>
      <c r="D117" s="44" t="s">
        <v>131</v>
      </c>
      <c r="E117" s="44" t="s">
        <v>43</v>
      </c>
      <c r="F117" s="41">
        <v>5</v>
      </c>
      <c r="G117" s="41">
        <v>9</v>
      </c>
      <c r="H117" s="307">
        <v>29187</v>
      </c>
      <c r="I117" s="308">
        <v>2416</v>
      </c>
      <c r="J117" s="103">
        <f>+H117/I117</f>
        <v>12.0807119205298</v>
      </c>
      <c r="K117" s="330"/>
      <c r="L117" s="107"/>
      <c r="M117" s="108"/>
      <c r="N117" s="107"/>
    </row>
    <row r="118" spans="1:14" s="29" customFormat="1" ht="15">
      <c r="A118" s="106">
        <v>114</v>
      </c>
      <c r="B118" s="49" t="s">
        <v>411</v>
      </c>
      <c r="C118" s="40">
        <v>39850</v>
      </c>
      <c r="D118" s="45" t="s">
        <v>134</v>
      </c>
      <c r="E118" s="44" t="s">
        <v>185</v>
      </c>
      <c r="F118" s="41">
        <v>8</v>
      </c>
      <c r="G118" s="41">
        <v>12</v>
      </c>
      <c r="H118" s="303">
        <f>10492+1122+2325+2330.5+2538+2584+1814+1327+1537.5+106+367+274</f>
        <v>26817</v>
      </c>
      <c r="I118" s="304">
        <f>1114+134+463+420+483+430+441+251+279+22+42+33</f>
        <v>4112</v>
      </c>
      <c r="J118" s="105">
        <f>H118/I118</f>
        <v>6.5216439688715955</v>
      </c>
      <c r="K118" s="332">
        <v>1</v>
      </c>
      <c r="L118" s="107"/>
      <c r="M118" s="108"/>
      <c r="N118" s="107"/>
    </row>
    <row r="119" spans="1:14" s="29" customFormat="1" ht="15">
      <c r="A119" s="106">
        <v>115</v>
      </c>
      <c r="B119" s="363" t="s">
        <v>396</v>
      </c>
      <c r="C119" s="39">
        <v>39878</v>
      </c>
      <c r="D119" s="44" t="s">
        <v>92</v>
      </c>
      <c r="E119" s="44" t="s">
        <v>285</v>
      </c>
      <c r="F119" s="41">
        <v>10</v>
      </c>
      <c r="G119" s="41">
        <v>13</v>
      </c>
      <c r="H119" s="263">
        <v>25847.5</v>
      </c>
      <c r="I119" s="308">
        <v>2706</v>
      </c>
      <c r="J119" s="357">
        <f>+H119/I119</f>
        <v>9.551921655580193</v>
      </c>
      <c r="K119" s="330">
        <v>1</v>
      </c>
      <c r="L119" s="107"/>
      <c r="M119" s="108"/>
      <c r="N119" s="107"/>
    </row>
    <row r="120" spans="1:14" s="29" customFormat="1" ht="15">
      <c r="A120" s="106">
        <v>116</v>
      </c>
      <c r="B120" s="49" t="s">
        <v>186</v>
      </c>
      <c r="C120" s="40">
        <v>39850</v>
      </c>
      <c r="D120" s="45" t="s">
        <v>134</v>
      </c>
      <c r="E120" s="44" t="s">
        <v>187</v>
      </c>
      <c r="F120" s="41">
        <v>2</v>
      </c>
      <c r="G120" s="41">
        <v>11</v>
      </c>
      <c r="H120" s="303">
        <f>8077.5+3261+2251+2481+682+679+634+482+544+2140+204</f>
        <v>21435.5</v>
      </c>
      <c r="I120" s="304">
        <f>773+379+260+266+71+198+101+110+127+535+34</f>
        <v>2854</v>
      </c>
      <c r="J120" s="105">
        <f>H120/I120</f>
        <v>7.510686755430974</v>
      </c>
      <c r="K120" s="332"/>
      <c r="L120" s="107"/>
      <c r="M120" s="108"/>
      <c r="N120" s="107"/>
    </row>
    <row r="121" spans="1:14" s="29" customFormat="1" ht="15">
      <c r="A121" s="106">
        <v>117</v>
      </c>
      <c r="B121" s="363" t="s">
        <v>270</v>
      </c>
      <c r="C121" s="39">
        <v>39871</v>
      </c>
      <c r="D121" s="44" t="s">
        <v>134</v>
      </c>
      <c r="E121" s="44" t="s">
        <v>223</v>
      </c>
      <c r="F121" s="41">
        <v>6</v>
      </c>
      <c r="G121" s="41">
        <v>6</v>
      </c>
      <c r="H121" s="263">
        <f>10784+5573+660+1421+910+383+1328</f>
        <v>21059</v>
      </c>
      <c r="I121" s="308">
        <f>1170+612+72+185+145+72+129</f>
        <v>2385</v>
      </c>
      <c r="J121" s="357">
        <f>H121/I121</f>
        <v>8.829769392033542</v>
      </c>
      <c r="K121" s="330">
        <v>1</v>
      </c>
      <c r="L121" s="107"/>
      <c r="M121" s="108"/>
      <c r="N121" s="107"/>
    </row>
    <row r="122" spans="1:14" s="29" customFormat="1" ht="15">
      <c r="A122" s="106">
        <v>118</v>
      </c>
      <c r="B122" s="49" t="s">
        <v>321</v>
      </c>
      <c r="C122" s="39">
        <v>39927</v>
      </c>
      <c r="D122" s="44" t="s">
        <v>136</v>
      </c>
      <c r="E122" s="44" t="s">
        <v>414</v>
      </c>
      <c r="F122" s="41">
        <v>10</v>
      </c>
      <c r="G122" s="41">
        <v>8</v>
      </c>
      <c r="H122" s="307">
        <f>18073.5+1781.5</f>
        <v>19855</v>
      </c>
      <c r="I122" s="308">
        <f>2634+279</f>
        <v>2913</v>
      </c>
      <c r="J122" s="103">
        <f>+H122/I122</f>
        <v>6.8159972536903535</v>
      </c>
      <c r="K122" s="321">
        <v>1</v>
      </c>
      <c r="L122" s="107"/>
      <c r="M122" s="108"/>
      <c r="N122" s="107"/>
    </row>
    <row r="123" spans="1:14" s="29" customFormat="1" ht="15">
      <c r="A123" s="106">
        <v>119</v>
      </c>
      <c r="B123" s="49" t="s">
        <v>212</v>
      </c>
      <c r="C123" s="39">
        <v>39864</v>
      </c>
      <c r="D123" s="44" t="s">
        <v>134</v>
      </c>
      <c r="E123" s="44" t="s">
        <v>375</v>
      </c>
      <c r="F123" s="41">
        <v>4</v>
      </c>
      <c r="G123" s="41">
        <v>12</v>
      </c>
      <c r="H123" s="307">
        <f>6804+2328+2310+826+241+1288+1545+817+40+615+1688+420</f>
        <v>18922</v>
      </c>
      <c r="I123" s="308">
        <f>775+357+469+134+39+295+305+158+8+67+387+70</f>
        <v>3064</v>
      </c>
      <c r="J123" s="103">
        <f>H123/I123</f>
        <v>6.1755874673629245</v>
      </c>
      <c r="K123" s="321">
        <v>1</v>
      </c>
      <c r="L123" s="107"/>
      <c r="M123" s="108"/>
      <c r="N123" s="107"/>
    </row>
    <row r="124" spans="1:14" s="29" customFormat="1" ht="15">
      <c r="A124" s="106">
        <v>120</v>
      </c>
      <c r="B124" s="318" t="s">
        <v>391</v>
      </c>
      <c r="C124" s="344">
        <v>39962</v>
      </c>
      <c r="D124" s="343" t="s">
        <v>439</v>
      </c>
      <c r="E124" s="44" t="s">
        <v>392</v>
      </c>
      <c r="F124" s="41">
        <v>4</v>
      </c>
      <c r="G124" s="41">
        <v>3</v>
      </c>
      <c r="H124" s="307">
        <v>17496</v>
      </c>
      <c r="I124" s="308">
        <v>1757</v>
      </c>
      <c r="J124" s="103">
        <f>+H124/I124</f>
        <v>9.957882754695504</v>
      </c>
      <c r="K124" s="321"/>
      <c r="L124" s="107"/>
      <c r="M124" s="108"/>
      <c r="N124" s="107"/>
    </row>
    <row r="125" spans="1:14" s="29" customFormat="1" ht="15">
      <c r="A125" s="106">
        <v>121</v>
      </c>
      <c r="B125" s="363" t="s">
        <v>339</v>
      </c>
      <c r="C125" s="39">
        <v>39934</v>
      </c>
      <c r="D125" s="44" t="s">
        <v>131</v>
      </c>
      <c r="E125" s="44" t="s">
        <v>111</v>
      </c>
      <c r="F125" s="41">
        <v>9</v>
      </c>
      <c r="G125" s="41">
        <v>2</v>
      </c>
      <c r="H125" s="263">
        <v>15350</v>
      </c>
      <c r="I125" s="308">
        <v>1127</v>
      </c>
      <c r="J125" s="357">
        <f>+H125/I125</f>
        <v>13.620230700976043</v>
      </c>
      <c r="K125" s="330"/>
      <c r="L125" s="107"/>
      <c r="M125" s="108"/>
      <c r="N125" s="107"/>
    </row>
    <row r="126" spans="1:14" s="29" customFormat="1" ht="15">
      <c r="A126" s="106">
        <v>122</v>
      </c>
      <c r="B126" s="49" t="s">
        <v>360</v>
      </c>
      <c r="C126" s="39">
        <v>39941</v>
      </c>
      <c r="D126" s="44" t="s">
        <v>136</v>
      </c>
      <c r="E126" s="44" t="s">
        <v>414</v>
      </c>
      <c r="F126" s="41">
        <v>10</v>
      </c>
      <c r="G126" s="41">
        <v>6</v>
      </c>
      <c r="H126" s="307">
        <f>12739.5+1214</f>
        <v>13953.5</v>
      </c>
      <c r="I126" s="308">
        <f>1879+258</f>
        <v>2137</v>
      </c>
      <c r="J126" s="103">
        <f>+H126/I126</f>
        <v>6.529480580252691</v>
      </c>
      <c r="K126" s="321">
        <v>1</v>
      </c>
      <c r="L126" s="107"/>
      <c r="M126" s="108"/>
      <c r="N126" s="107"/>
    </row>
    <row r="127" spans="1:14" s="29" customFormat="1" ht="15">
      <c r="A127" s="106">
        <v>123</v>
      </c>
      <c r="B127" s="49" t="s">
        <v>340</v>
      </c>
      <c r="C127" s="39">
        <v>39934</v>
      </c>
      <c r="D127" s="44" t="s">
        <v>134</v>
      </c>
      <c r="E127" s="44" t="s">
        <v>336</v>
      </c>
      <c r="F127" s="41">
        <v>5</v>
      </c>
      <c r="G127" s="41">
        <v>7</v>
      </c>
      <c r="H127" s="307">
        <f>8152.5+2367.5+456+120+350+96+1698</f>
        <v>13240</v>
      </c>
      <c r="I127" s="308">
        <f>669+232+51+14+62+16+188</f>
        <v>1232</v>
      </c>
      <c r="J127" s="103">
        <f>H127/I127</f>
        <v>10.746753246753247</v>
      </c>
      <c r="K127" s="321"/>
      <c r="L127" s="107"/>
      <c r="M127" s="108"/>
      <c r="N127" s="107"/>
    </row>
    <row r="128" spans="1:14" s="29" customFormat="1" ht="15">
      <c r="A128" s="106">
        <v>124</v>
      </c>
      <c r="B128" s="49" t="s">
        <v>359</v>
      </c>
      <c r="C128" s="39">
        <v>39941</v>
      </c>
      <c r="D128" s="44" t="s">
        <v>134</v>
      </c>
      <c r="E128" s="44" t="s">
        <v>90</v>
      </c>
      <c r="F128" s="41">
        <v>25</v>
      </c>
      <c r="G128" s="41">
        <v>6</v>
      </c>
      <c r="H128" s="307">
        <f>11131.5+481.5+197+88+48+32</f>
        <v>11978</v>
      </c>
      <c r="I128" s="308">
        <f>1039+58+23+12+8+5</f>
        <v>1145</v>
      </c>
      <c r="J128" s="103">
        <f>H128/I128</f>
        <v>10.46113537117904</v>
      </c>
      <c r="K128" s="321"/>
      <c r="L128" s="107"/>
      <c r="M128" s="108"/>
      <c r="N128" s="107"/>
    </row>
    <row r="129" spans="1:14" s="29" customFormat="1" ht="15">
      <c r="A129" s="106">
        <v>125</v>
      </c>
      <c r="B129" s="49" t="s">
        <v>257</v>
      </c>
      <c r="C129" s="39">
        <v>39885</v>
      </c>
      <c r="D129" s="44" t="s">
        <v>258</v>
      </c>
      <c r="E129" s="44" t="s">
        <v>1</v>
      </c>
      <c r="F129" s="41">
        <v>1</v>
      </c>
      <c r="G129" s="41">
        <v>8</v>
      </c>
      <c r="H129" s="307">
        <f>4788+2916+224+67+1174+2376+93+192</f>
        <v>11830</v>
      </c>
      <c r="I129" s="308">
        <f>549+337+27+11+121+594+31+32</f>
        <v>1702</v>
      </c>
      <c r="J129" s="103">
        <f>H129/I129</f>
        <v>6.950646298472385</v>
      </c>
      <c r="K129" s="321"/>
      <c r="L129" s="107"/>
      <c r="M129" s="108"/>
      <c r="N129" s="107"/>
    </row>
    <row r="130" spans="1:14" s="29" customFormat="1" ht="15">
      <c r="A130" s="106">
        <v>126</v>
      </c>
      <c r="B130" s="49" t="s">
        <v>191</v>
      </c>
      <c r="C130" s="39">
        <v>39850</v>
      </c>
      <c r="D130" s="44" t="s">
        <v>134</v>
      </c>
      <c r="E130" s="44" t="s">
        <v>192</v>
      </c>
      <c r="F130" s="41">
        <v>4</v>
      </c>
      <c r="G130" s="41">
        <v>10</v>
      </c>
      <c r="H130" s="307">
        <f>3471+1177+1932+1499+102+393+190+338+243+306</f>
        <v>9651</v>
      </c>
      <c r="I130" s="308">
        <f>322+131+339+226+14+53+38+38+28+51</f>
        <v>1240</v>
      </c>
      <c r="J130" s="103">
        <f>H130/I130</f>
        <v>7.783064516129032</v>
      </c>
      <c r="K130" s="321"/>
      <c r="L130" s="107"/>
      <c r="M130" s="108"/>
      <c r="N130" s="107"/>
    </row>
    <row r="131" spans="1:14" s="29" customFormat="1" ht="15">
      <c r="A131" s="106">
        <v>127</v>
      </c>
      <c r="B131" s="49" t="s">
        <v>224</v>
      </c>
      <c r="C131" s="39">
        <v>39871</v>
      </c>
      <c r="D131" s="44" t="s">
        <v>134</v>
      </c>
      <c r="E131" s="44" t="s">
        <v>1</v>
      </c>
      <c r="F131" s="41">
        <v>1</v>
      </c>
      <c r="G131" s="41">
        <v>13</v>
      </c>
      <c r="H131" s="307">
        <f>1088+1510+1304+856+387+214+424+106+162+130+476+60.5+118+96</f>
        <v>6931.5</v>
      </c>
      <c r="I131" s="308">
        <f>267+175+155+102+46+26+51+12+18+16+57+8+22+16</f>
        <v>971</v>
      </c>
      <c r="J131" s="103">
        <f>H131/I131</f>
        <v>7.1385169927909375</v>
      </c>
      <c r="K131" s="321"/>
      <c r="L131" s="107"/>
      <c r="M131" s="108"/>
      <c r="N131" s="107"/>
    </row>
    <row r="132" spans="1:14" s="29" customFormat="1" ht="15">
      <c r="A132" s="106">
        <v>128</v>
      </c>
      <c r="B132" s="49" t="s">
        <v>407</v>
      </c>
      <c r="C132" s="39">
        <v>39969</v>
      </c>
      <c r="D132" s="44" t="s">
        <v>136</v>
      </c>
      <c r="E132" s="44" t="s">
        <v>408</v>
      </c>
      <c r="F132" s="41">
        <v>2</v>
      </c>
      <c r="G132" s="41">
        <v>2</v>
      </c>
      <c r="H132" s="307">
        <f>4459.25+1215</f>
        <v>5674.25</v>
      </c>
      <c r="I132" s="308">
        <f>463+139</f>
        <v>602</v>
      </c>
      <c r="J132" s="103">
        <f>+H132/I132</f>
        <v>9.425664451827242</v>
      </c>
      <c r="K132" s="321"/>
      <c r="L132" s="107"/>
      <c r="M132" s="108"/>
      <c r="N132" s="107"/>
    </row>
    <row r="133" spans="1:11" ht="15">
      <c r="A133" s="106">
        <v>129</v>
      </c>
      <c r="B133" s="49" t="s">
        <v>393</v>
      </c>
      <c r="C133" s="39">
        <v>39962</v>
      </c>
      <c r="D133" s="44" t="s">
        <v>134</v>
      </c>
      <c r="E133" s="44" t="s">
        <v>1</v>
      </c>
      <c r="F133" s="41">
        <v>1</v>
      </c>
      <c r="G133" s="41">
        <v>3</v>
      </c>
      <c r="H133" s="307">
        <f>2055+1340+750</f>
        <v>4145</v>
      </c>
      <c r="I133" s="308">
        <f>411+268+150</f>
        <v>829</v>
      </c>
      <c r="J133" s="103">
        <f>H133/I133</f>
        <v>5</v>
      </c>
      <c r="K133" s="321"/>
    </row>
    <row r="134" spans="1:11" ht="15.75" thickBot="1">
      <c r="A134" s="106">
        <v>130</v>
      </c>
      <c r="B134" s="386" t="s">
        <v>432</v>
      </c>
      <c r="C134" s="337">
        <v>39976</v>
      </c>
      <c r="D134" s="338" t="s">
        <v>134</v>
      </c>
      <c r="E134" s="338" t="s">
        <v>433</v>
      </c>
      <c r="F134" s="339">
        <v>2</v>
      </c>
      <c r="G134" s="339">
        <v>1</v>
      </c>
      <c r="H134" s="382">
        <f>4047</f>
        <v>4047</v>
      </c>
      <c r="I134" s="340">
        <f>502</f>
        <v>502</v>
      </c>
      <c r="J134" s="385">
        <f>H134/I134</f>
        <v>8.06175298804781</v>
      </c>
      <c r="K134" s="321"/>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29:L133 J137:J139 L56:L59 L96:L98 L112:L114 J135:J136 L126:L128 L99:L104 J10:J98" formula="1"/>
    <ignoredError sqref="L63:L66 L67:L82 L60:L62 J111:J133" numberStoredAsText="1" formula="1"/>
    <ignoredError sqref="F76:H106" numberStoredAsText="1"/>
    <ignoredError sqref="H22:I35 H108:I133 J108:J110" unlockedFormula="1"/>
    <ignoredError sqref="J111:J133" formula="1" unlockedFormula="1"/>
  </ignoredErrors>
</worksheet>
</file>

<file path=xl/worksheets/sheet3.xml><?xml version="1.0" encoding="utf-8"?>
<worksheet xmlns="http://schemas.openxmlformats.org/spreadsheetml/2006/main" xmlns:r="http://schemas.openxmlformats.org/officeDocument/2006/relationships">
  <dimension ref="A1:Q475"/>
  <sheetViews>
    <sheetView zoomScale="90" zoomScaleNormal="90" zoomScalePageLayoutView="0" workbookViewId="0" topLeftCell="B1">
      <selection activeCell="B2" sqref="B2:B3"/>
    </sheetView>
  </sheetViews>
  <sheetFormatPr defaultColWidth="4.00390625" defaultRowHeight="12.75"/>
  <cols>
    <col min="1" max="1" width="4.57421875" style="0" bestFit="1" customWidth="1"/>
    <col min="2" max="2" width="49.57421875" style="0" bestFit="1" customWidth="1"/>
    <col min="3" max="3" width="9.8515625" style="62" customWidth="1"/>
    <col min="4" max="4" width="16.140625" style="0" bestFit="1" customWidth="1"/>
    <col min="5" max="5" width="19.140625" style="0" customWidth="1"/>
    <col min="6" max="6" width="5.57421875" style="100" bestFit="1" customWidth="1"/>
    <col min="7" max="7" width="7.8515625" style="101" bestFit="1" customWidth="1"/>
    <col min="8" max="8" width="6.7109375" style="62" customWidth="1"/>
    <col min="9" max="9" width="14.7109375" style="146" bestFit="1" customWidth="1"/>
    <col min="10" max="10" width="10.140625" style="135" bestFit="1" customWidth="1"/>
    <col min="11" max="11" width="9.28125" style="137" customWidth="1"/>
    <col min="12" max="12" width="7.28125" style="143" bestFit="1" customWidth="1"/>
    <col min="13" max="13" width="15.8515625" style="130" bestFit="1" customWidth="1"/>
    <col min="14" max="14" width="11.57421875" style="137" bestFit="1" customWidth="1"/>
    <col min="15" max="15" width="7.28125" style="143" bestFit="1" customWidth="1"/>
    <col min="16" max="16" width="3.28125" style="329" customWidth="1"/>
    <col min="17" max="17" width="4.00390625" style="124" customWidth="1"/>
  </cols>
  <sheetData>
    <row r="1" spans="1:15" ht="34.5" thickBot="1">
      <c r="A1" s="430" t="s">
        <v>399</v>
      </c>
      <c r="B1" s="431"/>
      <c r="C1" s="431"/>
      <c r="D1" s="431"/>
      <c r="E1" s="431"/>
      <c r="F1" s="431"/>
      <c r="G1" s="431"/>
      <c r="H1" s="432"/>
      <c r="I1" s="432"/>
      <c r="J1" s="432"/>
      <c r="K1" s="432"/>
      <c r="L1" s="432"/>
      <c r="M1" s="432"/>
      <c r="N1" s="432"/>
      <c r="O1" s="432"/>
    </row>
    <row r="2" spans="1:17" s="91" customFormat="1" ht="14.25">
      <c r="A2" s="93"/>
      <c r="B2" s="434" t="s">
        <v>3</v>
      </c>
      <c r="C2" s="436" t="s">
        <v>113</v>
      </c>
      <c r="D2" s="429" t="s">
        <v>129</v>
      </c>
      <c r="E2" s="429" t="s">
        <v>128</v>
      </c>
      <c r="F2" s="423" t="s">
        <v>114</v>
      </c>
      <c r="G2" s="423" t="s">
        <v>121</v>
      </c>
      <c r="H2" s="425" t="s">
        <v>123</v>
      </c>
      <c r="I2" s="427" t="s">
        <v>115</v>
      </c>
      <c r="J2" s="427"/>
      <c r="K2" s="427"/>
      <c r="L2" s="427"/>
      <c r="M2" s="427" t="s">
        <v>116</v>
      </c>
      <c r="N2" s="427"/>
      <c r="O2" s="428"/>
      <c r="P2" s="368"/>
      <c r="Q2" s="102"/>
    </row>
    <row r="3" spans="1:17" s="91" customFormat="1" ht="48" customHeight="1" thickBot="1">
      <c r="A3" s="94"/>
      <c r="B3" s="435"/>
      <c r="C3" s="437"/>
      <c r="D3" s="424"/>
      <c r="E3" s="424"/>
      <c r="F3" s="424"/>
      <c r="G3" s="424"/>
      <c r="H3" s="426"/>
      <c r="I3" s="128" t="s">
        <v>117</v>
      </c>
      <c r="J3" s="133" t="s">
        <v>118</v>
      </c>
      <c r="K3" s="133" t="s">
        <v>101</v>
      </c>
      <c r="L3" s="141" t="s">
        <v>119</v>
      </c>
      <c r="M3" s="131" t="s">
        <v>117</v>
      </c>
      <c r="N3" s="133" t="s">
        <v>118</v>
      </c>
      <c r="O3" s="144" t="s">
        <v>120</v>
      </c>
      <c r="P3" s="368"/>
      <c r="Q3" s="102"/>
    </row>
    <row r="4" spans="1:16" ht="15">
      <c r="A4" s="66">
        <v>1</v>
      </c>
      <c r="B4" s="162" t="s">
        <v>64</v>
      </c>
      <c r="C4" s="163">
        <v>39759</v>
      </c>
      <c r="D4" s="164" t="s">
        <v>65</v>
      </c>
      <c r="E4" s="164" t="s">
        <v>66</v>
      </c>
      <c r="F4" s="165">
        <v>159</v>
      </c>
      <c r="G4" s="165">
        <v>159</v>
      </c>
      <c r="H4" s="165">
        <v>9</v>
      </c>
      <c r="I4" s="295">
        <v>2001009.5</v>
      </c>
      <c r="J4" s="296">
        <v>246070</v>
      </c>
      <c r="K4" s="168">
        <f>+J4/G4</f>
        <v>1547.6100628930817</v>
      </c>
      <c r="L4" s="169">
        <f>+I4/J4</f>
        <v>8.13187101231357</v>
      </c>
      <c r="M4" s="166">
        <v>19583374</v>
      </c>
      <c r="N4" s="167">
        <v>2259210</v>
      </c>
      <c r="O4" s="170">
        <f>+M4/N4</f>
        <v>8.668239782932972</v>
      </c>
      <c r="P4" s="330">
        <v>1</v>
      </c>
    </row>
    <row r="5" spans="1:16" ht="15">
      <c r="A5" s="66">
        <v>2</v>
      </c>
      <c r="B5" s="232" t="s">
        <v>64</v>
      </c>
      <c r="C5" s="216">
        <v>39759</v>
      </c>
      <c r="D5" s="217" t="s">
        <v>65</v>
      </c>
      <c r="E5" s="217" t="s">
        <v>66</v>
      </c>
      <c r="F5" s="218">
        <v>159</v>
      </c>
      <c r="G5" s="218">
        <v>159</v>
      </c>
      <c r="H5" s="218">
        <v>10</v>
      </c>
      <c r="I5" s="297">
        <v>1362993</v>
      </c>
      <c r="J5" s="298">
        <v>175799</v>
      </c>
      <c r="K5" s="223">
        <f>J5/G5</f>
        <v>1105.6540880503144</v>
      </c>
      <c r="L5" s="224">
        <f>I5/J5</f>
        <v>7.753132839208414</v>
      </c>
      <c r="M5" s="225">
        <v>20952200</v>
      </c>
      <c r="N5" s="226">
        <v>2436833</v>
      </c>
      <c r="O5" s="233">
        <f>+M5/N5</f>
        <v>8.598127159308824</v>
      </c>
      <c r="P5" s="331">
        <v>1</v>
      </c>
    </row>
    <row r="6" spans="1:16" ht="15">
      <c r="A6" s="123">
        <v>3</v>
      </c>
      <c r="B6" s="247" t="s">
        <v>64</v>
      </c>
      <c r="C6" s="248">
        <v>39759</v>
      </c>
      <c r="D6" s="249" t="s">
        <v>65</v>
      </c>
      <c r="E6" s="249" t="s">
        <v>66</v>
      </c>
      <c r="F6" s="250">
        <v>156</v>
      </c>
      <c r="G6" s="250">
        <v>156</v>
      </c>
      <c r="H6" s="250">
        <v>11</v>
      </c>
      <c r="I6" s="299">
        <v>1069198</v>
      </c>
      <c r="J6" s="300">
        <v>142250</v>
      </c>
      <c r="K6" s="251">
        <f>J6/G6</f>
        <v>911.8589743589744</v>
      </c>
      <c r="L6" s="252">
        <f>I6/J6</f>
        <v>7.516330404217926</v>
      </c>
      <c r="M6" s="253">
        <v>22036559</v>
      </c>
      <c r="N6" s="254">
        <v>2580474</v>
      </c>
      <c r="O6" s="255">
        <f>+M6/N6</f>
        <v>8.539733010291908</v>
      </c>
      <c r="P6" s="332">
        <v>1</v>
      </c>
    </row>
    <row r="7" spans="1:16" ht="15">
      <c r="A7" s="66">
        <v>5</v>
      </c>
      <c r="B7" s="238" t="s">
        <v>22</v>
      </c>
      <c r="C7" s="256">
        <v>39787</v>
      </c>
      <c r="D7" s="257" t="s">
        <v>131</v>
      </c>
      <c r="E7" s="257" t="s">
        <v>138</v>
      </c>
      <c r="F7" s="239">
        <v>406</v>
      </c>
      <c r="G7" s="239">
        <v>284</v>
      </c>
      <c r="H7" s="239">
        <v>5</v>
      </c>
      <c r="I7" s="301">
        <v>779810</v>
      </c>
      <c r="J7" s="302">
        <v>96885</v>
      </c>
      <c r="K7" s="246">
        <f>J7/G7</f>
        <v>341.1443661971831</v>
      </c>
      <c r="L7" s="259">
        <f>+I7/J7</f>
        <v>8.048820766888579</v>
      </c>
      <c r="M7" s="258">
        <v>29377571</v>
      </c>
      <c r="N7" s="246">
        <v>3556373</v>
      </c>
      <c r="O7" s="260">
        <f>+M7/N7</f>
        <v>8.260542693356406</v>
      </c>
      <c r="P7" s="330">
        <v>1</v>
      </c>
    </row>
    <row r="8" spans="1:16" ht="15">
      <c r="A8" s="66">
        <v>6</v>
      </c>
      <c r="B8" s="53" t="s">
        <v>64</v>
      </c>
      <c r="C8" s="39">
        <v>39759</v>
      </c>
      <c r="D8" s="127" t="s">
        <v>65</v>
      </c>
      <c r="E8" s="127" t="s">
        <v>66</v>
      </c>
      <c r="F8" s="50">
        <v>141</v>
      </c>
      <c r="G8" s="50">
        <v>141</v>
      </c>
      <c r="H8" s="50">
        <v>12</v>
      </c>
      <c r="I8" s="273">
        <v>603833</v>
      </c>
      <c r="J8" s="274">
        <v>87195</v>
      </c>
      <c r="K8" s="275">
        <f>J8/G8</f>
        <v>618.4042553191489</v>
      </c>
      <c r="L8" s="159">
        <f>I8/J8</f>
        <v>6.925087447674752</v>
      </c>
      <c r="M8" s="276">
        <v>22640352</v>
      </c>
      <c r="N8" s="277">
        <v>2667669</v>
      </c>
      <c r="O8" s="105">
        <f>+M8/N8</f>
        <v>8.486941970686768</v>
      </c>
      <c r="P8" s="330"/>
    </row>
    <row r="9" spans="1:16" ht="15">
      <c r="A9" s="66">
        <v>7</v>
      </c>
      <c r="B9" s="49" t="s">
        <v>26</v>
      </c>
      <c r="C9" s="39">
        <v>39808</v>
      </c>
      <c r="D9" s="45" t="s">
        <v>134</v>
      </c>
      <c r="E9" s="44" t="s">
        <v>133</v>
      </c>
      <c r="F9" s="41">
        <v>75</v>
      </c>
      <c r="G9" s="41">
        <v>75</v>
      </c>
      <c r="H9" s="41">
        <v>2</v>
      </c>
      <c r="I9" s="303">
        <v>578530</v>
      </c>
      <c r="J9" s="304">
        <v>57106</v>
      </c>
      <c r="K9" s="158">
        <f>(J9/G9)</f>
        <v>761.4133333333333</v>
      </c>
      <c r="L9" s="159">
        <f>I9/J9</f>
        <v>10.130809372044968</v>
      </c>
      <c r="M9" s="150">
        <f>681566+578530</f>
        <v>1260096</v>
      </c>
      <c r="N9" s="151">
        <f>64102+57106</f>
        <v>121208</v>
      </c>
      <c r="O9" s="104">
        <f>IF(M9&lt;&gt;0,M9/N9,"")</f>
        <v>10.396145468945944</v>
      </c>
      <c r="P9" s="330">
        <v>1</v>
      </c>
    </row>
    <row r="10" spans="1:16" ht="15">
      <c r="A10" s="66">
        <v>8</v>
      </c>
      <c r="B10" s="48" t="s">
        <v>23</v>
      </c>
      <c r="C10" s="39">
        <v>39808</v>
      </c>
      <c r="D10" s="42" t="s">
        <v>136</v>
      </c>
      <c r="E10" s="42" t="s">
        <v>24</v>
      </c>
      <c r="F10" s="54">
        <v>198</v>
      </c>
      <c r="G10" s="54">
        <v>198</v>
      </c>
      <c r="H10" s="54">
        <v>2</v>
      </c>
      <c r="I10" s="305">
        <v>532572.5</v>
      </c>
      <c r="J10" s="306">
        <v>67146</v>
      </c>
      <c r="K10" s="152">
        <f>IF(I10&lt;&gt;0,J10/G10,"")</f>
        <v>339.1212121212121</v>
      </c>
      <c r="L10" s="153">
        <f>IF(I10&lt;&gt;0,I10/J10,"")</f>
        <v>7.9315595865725435</v>
      </c>
      <c r="M10" s="157">
        <f>909072+532572.5</f>
        <v>1441644.5</v>
      </c>
      <c r="N10" s="155">
        <f>112486+67146</f>
        <v>179632</v>
      </c>
      <c r="O10" s="104">
        <f>IF(M10&lt;&gt;0,M10/N10,"")</f>
        <v>8.025543889730114</v>
      </c>
      <c r="P10" s="332"/>
    </row>
    <row r="11" spans="1:16" ht="15">
      <c r="A11" s="66">
        <v>9</v>
      </c>
      <c r="B11" s="49" t="s">
        <v>139</v>
      </c>
      <c r="C11" s="40">
        <v>39787</v>
      </c>
      <c r="D11" s="44" t="s">
        <v>132</v>
      </c>
      <c r="E11" s="44" t="s">
        <v>140</v>
      </c>
      <c r="F11" s="41">
        <v>241</v>
      </c>
      <c r="G11" s="41">
        <v>215</v>
      </c>
      <c r="H11" s="41">
        <v>5</v>
      </c>
      <c r="I11" s="307">
        <v>528440.5</v>
      </c>
      <c r="J11" s="308">
        <v>73035</v>
      </c>
      <c r="K11" s="152">
        <f>+J11/G11</f>
        <v>339.69767441860466</v>
      </c>
      <c r="L11" s="153">
        <f>+I11/J11</f>
        <v>7.2354419114123365</v>
      </c>
      <c r="M11" s="154">
        <f>9280968+4694050.5+1992628+1117778+528440.5</f>
        <v>17613865</v>
      </c>
      <c r="N11" s="155">
        <f>1147876+614752+261380+141495+73035</f>
        <v>2238538</v>
      </c>
      <c r="O11" s="104">
        <f aca="true" t="shared" si="0" ref="O11:O17">+M11/N11</f>
        <v>7.868468169850143</v>
      </c>
      <c r="P11" s="332">
        <v>1</v>
      </c>
    </row>
    <row r="12" spans="1:16" ht="15">
      <c r="A12" s="66">
        <v>10</v>
      </c>
      <c r="B12" s="244" t="s">
        <v>22</v>
      </c>
      <c r="C12" s="241">
        <v>39787</v>
      </c>
      <c r="D12" s="65" t="s">
        <v>131</v>
      </c>
      <c r="E12" s="243" t="s">
        <v>138</v>
      </c>
      <c r="F12" s="41">
        <v>406</v>
      </c>
      <c r="G12" s="41">
        <v>67</v>
      </c>
      <c r="H12" s="41">
        <v>7</v>
      </c>
      <c r="I12" s="307">
        <v>525517</v>
      </c>
      <c r="J12" s="308">
        <v>57856</v>
      </c>
      <c r="K12" s="155">
        <f aca="true" t="shared" si="1" ref="K12:K17">J12/G12</f>
        <v>863.5223880597015</v>
      </c>
      <c r="L12" s="156">
        <f>+I12/J12</f>
        <v>9.083189297566372</v>
      </c>
      <c r="M12" s="154">
        <v>30377332</v>
      </c>
      <c r="N12" s="155">
        <v>3697746</v>
      </c>
      <c r="O12" s="103">
        <f t="shared" si="0"/>
        <v>8.215094276351053</v>
      </c>
      <c r="P12" s="332"/>
    </row>
    <row r="13" spans="1:16" ht="15">
      <c r="A13" s="66">
        <v>11</v>
      </c>
      <c r="B13" s="235" t="s">
        <v>22</v>
      </c>
      <c r="C13" s="229">
        <v>39787</v>
      </c>
      <c r="D13" s="227" t="s">
        <v>131</v>
      </c>
      <c r="E13" s="227" t="s">
        <v>138</v>
      </c>
      <c r="F13" s="228">
        <v>406</v>
      </c>
      <c r="G13" s="228">
        <v>268</v>
      </c>
      <c r="H13" s="228">
        <v>6</v>
      </c>
      <c r="I13" s="309">
        <v>474244</v>
      </c>
      <c r="J13" s="310">
        <v>83517</v>
      </c>
      <c r="K13" s="222">
        <f t="shared" si="1"/>
        <v>311.6305970149254</v>
      </c>
      <c r="L13" s="230">
        <f>+I13/J13</f>
        <v>5.678412778236766</v>
      </c>
      <c r="M13" s="231">
        <v>29851815</v>
      </c>
      <c r="N13" s="222">
        <v>3639890</v>
      </c>
      <c r="O13" s="236">
        <f t="shared" si="0"/>
        <v>8.201295918283245</v>
      </c>
      <c r="P13" s="332"/>
    </row>
    <row r="14" spans="1:16" ht="15">
      <c r="A14" s="66">
        <v>12</v>
      </c>
      <c r="B14" s="49" t="s">
        <v>25</v>
      </c>
      <c r="C14" s="40">
        <v>39808</v>
      </c>
      <c r="D14" s="65" t="s">
        <v>131</v>
      </c>
      <c r="E14" s="44" t="s">
        <v>111</v>
      </c>
      <c r="F14" s="41">
        <v>112</v>
      </c>
      <c r="G14" s="41">
        <v>111</v>
      </c>
      <c r="H14" s="41">
        <v>2</v>
      </c>
      <c r="I14" s="307">
        <v>463795</v>
      </c>
      <c r="J14" s="308">
        <v>46542</v>
      </c>
      <c r="K14" s="155">
        <f t="shared" si="1"/>
        <v>419.2972972972973</v>
      </c>
      <c r="L14" s="156">
        <f>+I14/J14</f>
        <v>9.965085299299558</v>
      </c>
      <c r="M14" s="154">
        <v>1284128</v>
      </c>
      <c r="N14" s="155">
        <v>127360</v>
      </c>
      <c r="O14" s="103">
        <f t="shared" si="0"/>
        <v>10.082663316582915</v>
      </c>
      <c r="P14" s="332"/>
    </row>
    <row r="15" spans="1:16" ht="15">
      <c r="A15" s="66">
        <v>13</v>
      </c>
      <c r="B15" s="48" t="s">
        <v>144</v>
      </c>
      <c r="C15" s="39">
        <v>39801</v>
      </c>
      <c r="D15" s="43" t="s">
        <v>130</v>
      </c>
      <c r="E15" s="42" t="s">
        <v>122</v>
      </c>
      <c r="F15" s="54">
        <v>69</v>
      </c>
      <c r="G15" s="54">
        <v>69</v>
      </c>
      <c r="H15" s="54">
        <v>3</v>
      </c>
      <c r="I15" s="303">
        <v>413907</v>
      </c>
      <c r="J15" s="304">
        <v>42374</v>
      </c>
      <c r="K15" s="158">
        <f t="shared" si="1"/>
        <v>614.1159420289855</v>
      </c>
      <c r="L15" s="159">
        <f>I15/J15</f>
        <v>9.767947326190589</v>
      </c>
      <c r="M15" s="150">
        <f>820286+588484+413907</f>
        <v>1822677</v>
      </c>
      <c r="N15" s="151">
        <f>83839+57678+42374</f>
        <v>183891</v>
      </c>
      <c r="O15" s="105">
        <f t="shared" si="0"/>
        <v>9.911724880499861</v>
      </c>
      <c r="P15" s="332">
        <v>1</v>
      </c>
    </row>
    <row r="16" spans="1:16" ht="15">
      <c r="A16" s="66">
        <v>14</v>
      </c>
      <c r="B16" s="293" t="s">
        <v>64</v>
      </c>
      <c r="C16" s="286">
        <v>39759</v>
      </c>
      <c r="D16" s="285" t="s">
        <v>65</v>
      </c>
      <c r="E16" s="285" t="s">
        <v>66</v>
      </c>
      <c r="F16" s="287">
        <v>141</v>
      </c>
      <c r="G16" s="287">
        <v>141</v>
      </c>
      <c r="H16" s="287">
        <v>13</v>
      </c>
      <c r="I16" s="288">
        <v>382194.5</v>
      </c>
      <c r="J16" s="289">
        <v>56841</v>
      </c>
      <c r="K16" s="290">
        <f t="shared" si="1"/>
        <v>403.1276595744681</v>
      </c>
      <c r="L16" s="291">
        <f>I16/J16</f>
        <v>6.7239228725743745</v>
      </c>
      <c r="M16" s="292">
        <v>23022546.5</v>
      </c>
      <c r="N16" s="290">
        <v>2724510</v>
      </c>
      <c r="O16" s="294">
        <f t="shared" si="0"/>
        <v>8.450160395814294</v>
      </c>
      <c r="P16" s="332">
        <v>1</v>
      </c>
    </row>
    <row r="17" spans="1:16" ht="15">
      <c r="A17" s="66">
        <v>15</v>
      </c>
      <c r="B17" s="235" t="s">
        <v>25</v>
      </c>
      <c r="C17" s="229">
        <v>39808</v>
      </c>
      <c r="D17" s="227" t="s">
        <v>131</v>
      </c>
      <c r="E17" s="227" t="s">
        <v>111</v>
      </c>
      <c r="F17" s="228">
        <v>112</v>
      </c>
      <c r="G17" s="228">
        <v>111</v>
      </c>
      <c r="H17" s="228">
        <v>3</v>
      </c>
      <c r="I17" s="309">
        <v>346957</v>
      </c>
      <c r="J17" s="310">
        <v>36487</v>
      </c>
      <c r="K17" s="222">
        <f t="shared" si="1"/>
        <v>328.7117117117117</v>
      </c>
      <c r="L17" s="230">
        <f>+I17/J17</f>
        <v>9.509058020664895</v>
      </c>
      <c r="M17" s="231">
        <v>1631085</v>
      </c>
      <c r="N17" s="222">
        <v>163847</v>
      </c>
      <c r="O17" s="236">
        <f t="shared" si="0"/>
        <v>9.95492746281592</v>
      </c>
      <c r="P17" s="332"/>
    </row>
    <row r="18" spans="1:16" ht="15">
      <c r="A18" s="66">
        <v>16</v>
      </c>
      <c r="B18" s="234" t="s">
        <v>26</v>
      </c>
      <c r="C18" s="229">
        <v>39808</v>
      </c>
      <c r="D18" s="217" t="s">
        <v>134</v>
      </c>
      <c r="E18" s="227" t="s">
        <v>133</v>
      </c>
      <c r="F18" s="228">
        <v>75</v>
      </c>
      <c r="G18" s="228">
        <v>76</v>
      </c>
      <c r="H18" s="228">
        <v>3</v>
      </c>
      <c r="I18" s="297">
        <v>317284.5</v>
      </c>
      <c r="J18" s="298">
        <v>32401</v>
      </c>
      <c r="K18" s="223">
        <f>(J18/G18)</f>
        <v>426.32894736842104</v>
      </c>
      <c r="L18" s="224">
        <f>I18/J18</f>
        <v>9.792429246010926</v>
      </c>
      <c r="M18" s="225">
        <f>681566+578530+317284.5</f>
        <v>1577380.5</v>
      </c>
      <c r="N18" s="226">
        <f>64102+57106+32401</f>
        <v>153609</v>
      </c>
      <c r="O18" s="233">
        <f>M18/N18</f>
        <v>10.268802609222115</v>
      </c>
      <c r="P18" s="332"/>
    </row>
    <row r="19" spans="1:16" ht="15">
      <c r="A19" s="66">
        <v>17</v>
      </c>
      <c r="B19" s="49" t="s">
        <v>27</v>
      </c>
      <c r="C19" s="40">
        <v>39808</v>
      </c>
      <c r="D19" s="65" t="s">
        <v>131</v>
      </c>
      <c r="E19" s="44" t="s">
        <v>124</v>
      </c>
      <c r="F19" s="41">
        <v>34</v>
      </c>
      <c r="G19" s="41">
        <v>34</v>
      </c>
      <c r="H19" s="41">
        <v>2</v>
      </c>
      <c r="I19" s="307">
        <v>252304</v>
      </c>
      <c r="J19" s="308">
        <v>27182</v>
      </c>
      <c r="K19" s="155">
        <f>J19/G19</f>
        <v>799.4705882352941</v>
      </c>
      <c r="L19" s="156">
        <f>+I19/J19</f>
        <v>9.282024869398867</v>
      </c>
      <c r="M19" s="154">
        <v>650913</v>
      </c>
      <c r="N19" s="155">
        <v>68745</v>
      </c>
      <c r="O19" s="103">
        <f>+M19/N19</f>
        <v>9.468514073750818</v>
      </c>
      <c r="P19" s="332"/>
    </row>
    <row r="20" spans="1:16" ht="15">
      <c r="A20" s="66">
        <v>18</v>
      </c>
      <c r="B20" s="234" t="s">
        <v>139</v>
      </c>
      <c r="C20" s="229">
        <v>39787</v>
      </c>
      <c r="D20" s="227" t="s">
        <v>132</v>
      </c>
      <c r="E20" s="227" t="s">
        <v>140</v>
      </c>
      <c r="F20" s="228">
        <v>241</v>
      </c>
      <c r="G20" s="228">
        <v>186</v>
      </c>
      <c r="H20" s="228">
        <v>6</v>
      </c>
      <c r="I20" s="309">
        <v>225948.5</v>
      </c>
      <c r="J20" s="310">
        <v>33259</v>
      </c>
      <c r="K20" s="223">
        <f>J20/G20</f>
        <v>178.81182795698925</v>
      </c>
      <c r="L20" s="224">
        <f>I20/J20</f>
        <v>6.793604738567004</v>
      </c>
      <c r="M20" s="231">
        <f>9280968+4694050.5+1992628+1117778+528440.5+225948.5</f>
        <v>17839813.5</v>
      </c>
      <c r="N20" s="222">
        <f>1147876+614752+261380+141495+73035+33259</f>
        <v>2271797</v>
      </c>
      <c r="O20" s="233">
        <f>+M20/N20</f>
        <v>7.852732220352435</v>
      </c>
      <c r="P20" s="332"/>
    </row>
    <row r="21" spans="1:16" ht="15">
      <c r="A21" s="66">
        <v>19</v>
      </c>
      <c r="B21" s="363" t="s">
        <v>58</v>
      </c>
      <c r="C21" s="39">
        <v>39745</v>
      </c>
      <c r="D21" s="44" t="s">
        <v>4</v>
      </c>
      <c r="E21" s="44" t="s">
        <v>59</v>
      </c>
      <c r="F21" s="41">
        <v>72</v>
      </c>
      <c r="G21" s="41">
        <v>69</v>
      </c>
      <c r="H21" s="41">
        <v>28</v>
      </c>
      <c r="I21" s="267">
        <v>218922</v>
      </c>
      <c r="J21" s="155">
        <v>22832</v>
      </c>
      <c r="K21" s="155">
        <f>+J21/G21</f>
        <v>330.8985507246377</v>
      </c>
      <c r="L21" s="356">
        <f>+I21/J21</f>
        <v>9.588384723195515</v>
      </c>
      <c r="M21" s="267">
        <v>1508075</v>
      </c>
      <c r="N21" s="155">
        <v>168885</v>
      </c>
      <c r="O21" s="357">
        <f>+M21/N21</f>
        <v>8.929597063090268</v>
      </c>
      <c r="P21" s="332">
        <v>1</v>
      </c>
    </row>
    <row r="22" spans="1:16" ht="15">
      <c r="A22" s="66">
        <v>20</v>
      </c>
      <c r="B22" s="232" t="s">
        <v>23</v>
      </c>
      <c r="C22" s="216">
        <v>39808</v>
      </c>
      <c r="D22" s="217" t="s">
        <v>136</v>
      </c>
      <c r="E22" s="217" t="s">
        <v>24</v>
      </c>
      <c r="F22" s="218">
        <v>198</v>
      </c>
      <c r="G22" s="218">
        <v>183</v>
      </c>
      <c r="H22" s="218">
        <v>3</v>
      </c>
      <c r="I22" s="311">
        <v>214521.5</v>
      </c>
      <c r="J22" s="312">
        <v>29772</v>
      </c>
      <c r="K22" s="219">
        <f>IF(I22&lt;&gt;0,J22/G22,"")</f>
        <v>162.68852459016392</v>
      </c>
      <c r="L22" s="220">
        <f>IF(I22&lt;&gt;0,I22/J22,"")</f>
        <v>7.205478301760043</v>
      </c>
      <c r="M22" s="221">
        <f>909072+532572.5+214521.5</f>
        <v>1656166</v>
      </c>
      <c r="N22" s="222">
        <f>112486+67146+29772</f>
        <v>209404</v>
      </c>
      <c r="O22" s="237">
        <f>IF(M22&lt;&gt;0,M22/N22,"")</f>
        <v>7.908951118412256</v>
      </c>
      <c r="P22" s="332">
        <v>1</v>
      </c>
    </row>
    <row r="23" spans="1:16" ht="15">
      <c r="A23" s="66">
        <v>21</v>
      </c>
      <c r="B23" s="293" t="s">
        <v>64</v>
      </c>
      <c r="C23" s="286">
        <v>39759</v>
      </c>
      <c r="D23" s="285" t="s">
        <v>65</v>
      </c>
      <c r="E23" s="285" t="s">
        <v>66</v>
      </c>
      <c r="F23" s="287">
        <v>116</v>
      </c>
      <c r="G23" s="287">
        <v>116</v>
      </c>
      <c r="H23" s="287">
        <v>14</v>
      </c>
      <c r="I23" s="288">
        <v>192706.5</v>
      </c>
      <c r="J23" s="289">
        <v>29016</v>
      </c>
      <c r="K23" s="290">
        <f>J23/G23</f>
        <v>250.13793103448276</v>
      </c>
      <c r="L23" s="291">
        <f>I23/J23</f>
        <v>6.641387510339123</v>
      </c>
      <c r="M23" s="292">
        <v>23215517.5</v>
      </c>
      <c r="N23" s="290">
        <v>2753398</v>
      </c>
      <c r="O23" s="294">
        <f>+M23/N23</f>
        <v>8.43158798691653</v>
      </c>
      <c r="P23" s="332">
        <v>1</v>
      </c>
    </row>
    <row r="24" spans="1:16" ht="15">
      <c r="A24" s="66">
        <v>22</v>
      </c>
      <c r="B24" s="49" t="s">
        <v>147</v>
      </c>
      <c r="C24" s="40">
        <v>39801</v>
      </c>
      <c r="D24" s="45" t="s">
        <v>134</v>
      </c>
      <c r="E24" s="44" t="s">
        <v>148</v>
      </c>
      <c r="F24" s="41">
        <v>36</v>
      </c>
      <c r="G24" s="41">
        <v>38</v>
      </c>
      <c r="H24" s="41">
        <v>3</v>
      </c>
      <c r="I24" s="303">
        <v>145464.5</v>
      </c>
      <c r="J24" s="304">
        <v>19417</v>
      </c>
      <c r="K24" s="158">
        <f>(J24/G24)</f>
        <v>510.9736842105263</v>
      </c>
      <c r="L24" s="159">
        <f>I24/J24</f>
        <v>7.491605294329711</v>
      </c>
      <c r="M24" s="150">
        <f>295344+204961.5+145464.5</f>
        <v>645770</v>
      </c>
      <c r="N24" s="151">
        <f>36142+24747+19417</f>
        <v>80306</v>
      </c>
      <c r="O24" s="105">
        <f>M24/N24</f>
        <v>8.04136677209673</v>
      </c>
      <c r="P24" s="332"/>
    </row>
    <row r="25" spans="1:16" ht="15">
      <c r="A25" s="66">
        <v>23</v>
      </c>
      <c r="B25" s="245" t="s">
        <v>25</v>
      </c>
      <c r="C25" s="241">
        <v>39808</v>
      </c>
      <c r="D25" s="65" t="s">
        <v>131</v>
      </c>
      <c r="E25" s="242" t="s">
        <v>111</v>
      </c>
      <c r="F25" s="41">
        <v>112</v>
      </c>
      <c r="G25" s="41">
        <v>89</v>
      </c>
      <c r="H25" s="41">
        <v>4</v>
      </c>
      <c r="I25" s="307">
        <v>141298</v>
      </c>
      <c r="J25" s="308">
        <v>16688</v>
      </c>
      <c r="K25" s="155">
        <f>J25/G25</f>
        <v>187.5056179775281</v>
      </c>
      <c r="L25" s="156">
        <f>+I25/J25</f>
        <v>8.467042186001917</v>
      </c>
      <c r="M25" s="154">
        <v>1769493</v>
      </c>
      <c r="N25" s="155">
        <v>180421</v>
      </c>
      <c r="O25" s="103">
        <f>+M25/N25</f>
        <v>9.807577831848842</v>
      </c>
      <c r="P25" s="332"/>
    </row>
    <row r="26" spans="1:16" ht="15">
      <c r="A26" s="66">
        <v>24</v>
      </c>
      <c r="B26" s="49" t="s">
        <v>26</v>
      </c>
      <c r="C26" s="40">
        <v>39808</v>
      </c>
      <c r="D26" s="45" t="s">
        <v>134</v>
      </c>
      <c r="E26" s="44" t="s">
        <v>133</v>
      </c>
      <c r="F26" s="41">
        <v>75</v>
      </c>
      <c r="G26" s="41">
        <v>70</v>
      </c>
      <c r="H26" s="41">
        <v>4</v>
      </c>
      <c r="I26" s="303">
        <v>141025.5</v>
      </c>
      <c r="J26" s="304">
        <v>16644</v>
      </c>
      <c r="K26" s="158">
        <f>(J26/G26)</f>
        <v>237.77142857142857</v>
      </c>
      <c r="L26" s="159">
        <f>I26/J26</f>
        <v>8.47305335255948</v>
      </c>
      <c r="M26" s="150">
        <f>681566+578530+317284.5+141025.5</f>
        <v>1718406</v>
      </c>
      <c r="N26" s="151">
        <f>64102+57106+32401+16644</f>
        <v>170253</v>
      </c>
      <c r="O26" s="105">
        <f>M26/N26</f>
        <v>10.093249458159328</v>
      </c>
      <c r="P26" s="332"/>
    </row>
    <row r="27" spans="1:16" ht="15">
      <c r="A27" s="66">
        <v>25</v>
      </c>
      <c r="B27" s="281" t="s">
        <v>25</v>
      </c>
      <c r="C27" s="40">
        <v>39808</v>
      </c>
      <c r="D27" s="261" t="s">
        <v>131</v>
      </c>
      <c r="E27" s="261" t="s">
        <v>111</v>
      </c>
      <c r="F27" s="262">
        <v>112</v>
      </c>
      <c r="G27" s="262">
        <v>49</v>
      </c>
      <c r="H27" s="262">
        <v>5</v>
      </c>
      <c r="I27" s="263">
        <v>120787</v>
      </c>
      <c r="J27" s="264">
        <v>12258</v>
      </c>
      <c r="K27" s="271">
        <f>+J27/G27</f>
        <v>250.16326530612244</v>
      </c>
      <c r="L27" s="153">
        <f>+I27/J27</f>
        <v>9.853728177516723</v>
      </c>
      <c r="M27" s="267">
        <v>1894077</v>
      </c>
      <c r="N27" s="268">
        <v>192963</v>
      </c>
      <c r="O27" s="103">
        <f>+M27/N27</f>
        <v>9.815752242657918</v>
      </c>
      <c r="P27" s="332"/>
    </row>
    <row r="28" spans="1:16" ht="15">
      <c r="A28" s="66">
        <v>26</v>
      </c>
      <c r="B28" s="234" t="s">
        <v>147</v>
      </c>
      <c r="C28" s="229">
        <v>39801</v>
      </c>
      <c r="D28" s="217" t="s">
        <v>134</v>
      </c>
      <c r="E28" s="227" t="s">
        <v>148</v>
      </c>
      <c r="F28" s="228">
        <v>36</v>
      </c>
      <c r="G28" s="228">
        <v>42</v>
      </c>
      <c r="H28" s="228">
        <v>4</v>
      </c>
      <c r="I28" s="297">
        <v>116108.5</v>
      </c>
      <c r="J28" s="298">
        <v>15404</v>
      </c>
      <c r="K28" s="223">
        <f>(J28/G28)</f>
        <v>366.76190476190476</v>
      </c>
      <c r="L28" s="224">
        <f>I28/J28</f>
        <v>7.537555180472604</v>
      </c>
      <c r="M28" s="225">
        <f>295344+204961.5+145464.5+116108.5</f>
        <v>761878.5</v>
      </c>
      <c r="N28" s="226">
        <f>36142+24747+19417+15404</f>
        <v>95710</v>
      </c>
      <c r="O28" s="233">
        <f>M28/N28</f>
        <v>7.960281057360778</v>
      </c>
      <c r="P28" s="332"/>
    </row>
    <row r="29" spans="1:16" ht="15">
      <c r="A29" s="66">
        <v>27</v>
      </c>
      <c r="B29" s="49" t="s">
        <v>142</v>
      </c>
      <c r="C29" s="40">
        <v>39794</v>
      </c>
      <c r="D29" s="45" t="s">
        <v>134</v>
      </c>
      <c r="E29" s="44" t="s">
        <v>133</v>
      </c>
      <c r="F29" s="41">
        <v>100</v>
      </c>
      <c r="G29" s="41">
        <v>73</v>
      </c>
      <c r="H29" s="41">
        <v>4</v>
      </c>
      <c r="I29" s="303">
        <v>112679.5</v>
      </c>
      <c r="J29" s="313">
        <v>14968</v>
      </c>
      <c r="K29" s="158">
        <f>(J29/G29)</f>
        <v>205.04109589041096</v>
      </c>
      <c r="L29" s="159">
        <f>I29/J29</f>
        <v>7.528026456440406</v>
      </c>
      <c r="M29" s="150">
        <f>1276778.5+626123+380324+112679.5</f>
        <v>2395905</v>
      </c>
      <c r="N29" s="151">
        <f>133555+68793+41581+14968</f>
        <v>258897</v>
      </c>
      <c r="O29" s="105">
        <f>M29/N29</f>
        <v>9.254278728606357</v>
      </c>
      <c r="P29" s="332">
        <v>1</v>
      </c>
    </row>
    <row r="30" spans="1:16" ht="15">
      <c r="A30" s="66">
        <v>28</v>
      </c>
      <c r="B30" s="232" t="s">
        <v>144</v>
      </c>
      <c r="C30" s="216">
        <v>39801</v>
      </c>
      <c r="D30" s="217" t="s">
        <v>130</v>
      </c>
      <c r="E30" s="217" t="s">
        <v>122</v>
      </c>
      <c r="F30" s="218">
        <v>69</v>
      </c>
      <c r="G30" s="218">
        <v>53</v>
      </c>
      <c r="H30" s="218">
        <v>4</v>
      </c>
      <c r="I30" s="297">
        <v>112495</v>
      </c>
      <c r="J30" s="298">
        <v>12212</v>
      </c>
      <c r="K30" s="223">
        <f>J30/G30</f>
        <v>230.41509433962264</v>
      </c>
      <c r="L30" s="224">
        <f>I30/J30</f>
        <v>9.211840812315755</v>
      </c>
      <c r="M30" s="225">
        <f>820286+588484+413907+112495</f>
        <v>1935172</v>
      </c>
      <c r="N30" s="226">
        <f>83839+57678+42374+12212</f>
        <v>196103</v>
      </c>
      <c r="O30" s="233">
        <f>+M30/N30</f>
        <v>9.868140721967537</v>
      </c>
      <c r="P30" s="332"/>
    </row>
    <row r="31" spans="1:16" ht="15">
      <c r="A31" s="66">
        <v>29</v>
      </c>
      <c r="B31" s="49" t="s">
        <v>147</v>
      </c>
      <c r="C31" s="40">
        <v>39801</v>
      </c>
      <c r="D31" s="45" t="s">
        <v>134</v>
      </c>
      <c r="E31" s="44" t="s">
        <v>148</v>
      </c>
      <c r="F31" s="41">
        <v>42</v>
      </c>
      <c r="G31" s="41">
        <v>42</v>
      </c>
      <c r="H31" s="41">
        <v>5</v>
      </c>
      <c r="I31" s="303">
        <v>111972.5</v>
      </c>
      <c r="J31" s="304">
        <v>14719</v>
      </c>
      <c r="K31" s="158">
        <f>(J31/G31)</f>
        <v>350.45238095238096</v>
      </c>
      <c r="L31" s="159">
        <f>I31/J31</f>
        <v>7.607344248929954</v>
      </c>
      <c r="M31" s="150">
        <f>295344+204961.5+145464.5+116108.5+111972.5</f>
        <v>873851</v>
      </c>
      <c r="N31" s="151">
        <f>36142+24747+19417+15404+14719</f>
        <v>110429</v>
      </c>
      <c r="O31" s="105">
        <f>M31/N31</f>
        <v>7.9132383703556135</v>
      </c>
      <c r="P31" s="332"/>
    </row>
    <row r="32" spans="1:16" ht="15">
      <c r="A32" s="66">
        <v>30</v>
      </c>
      <c r="B32" s="49" t="s">
        <v>28</v>
      </c>
      <c r="C32" s="40">
        <v>39808</v>
      </c>
      <c r="D32" s="44" t="s">
        <v>132</v>
      </c>
      <c r="E32" s="44" t="s">
        <v>29</v>
      </c>
      <c r="F32" s="41">
        <v>89</v>
      </c>
      <c r="G32" s="41">
        <v>88</v>
      </c>
      <c r="H32" s="41">
        <v>2</v>
      </c>
      <c r="I32" s="307">
        <v>101994</v>
      </c>
      <c r="J32" s="308">
        <v>15166</v>
      </c>
      <c r="K32" s="152">
        <f>+J32/G32</f>
        <v>172.3409090909091</v>
      </c>
      <c r="L32" s="153">
        <f>+I32/J32</f>
        <v>6.725174732955295</v>
      </c>
      <c r="M32" s="154">
        <f>173290.5+101994</f>
        <v>275284.5</v>
      </c>
      <c r="N32" s="155">
        <f>23989+15166</f>
        <v>39155</v>
      </c>
      <c r="O32" s="104">
        <f>+M32/N32</f>
        <v>7.030634657131912</v>
      </c>
      <c r="P32" s="332"/>
    </row>
    <row r="33" spans="1:16" ht="15">
      <c r="A33" s="66">
        <v>31</v>
      </c>
      <c r="B33" s="49" t="s">
        <v>139</v>
      </c>
      <c r="C33" s="40">
        <v>39787</v>
      </c>
      <c r="D33" s="44" t="s">
        <v>132</v>
      </c>
      <c r="E33" s="44" t="s">
        <v>140</v>
      </c>
      <c r="F33" s="41">
        <v>241</v>
      </c>
      <c r="G33" s="41">
        <v>37</v>
      </c>
      <c r="H33" s="41">
        <v>7</v>
      </c>
      <c r="I33" s="307">
        <v>100229.5</v>
      </c>
      <c r="J33" s="308">
        <v>17736</v>
      </c>
      <c r="K33" s="158">
        <f>(J33/G33)</f>
        <v>479.35135135135135</v>
      </c>
      <c r="L33" s="159">
        <f>I33/J33</f>
        <v>5.651189670726207</v>
      </c>
      <c r="M33" s="154">
        <f>9280968+4694050.5+1992628+1117778+528440.5+225948.5+100229.5</f>
        <v>17940043</v>
      </c>
      <c r="N33" s="155">
        <f>1147876+614752+261380+141495+73035+33259+17736</f>
        <v>2289533</v>
      </c>
      <c r="O33" s="105">
        <f>M33/N33</f>
        <v>7.835677843472883</v>
      </c>
      <c r="P33" s="332"/>
    </row>
    <row r="34" spans="1:16" ht="15">
      <c r="A34" s="66">
        <v>32</v>
      </c>
      <c r="B34" s="293" t="s">
        <v>25</v>
      </c>
      <c r="C34" s="286">
        <v>39808</v>
      </c>
      <c r="D34" s="285" t="s">
        <v>131</v>
      </c>
      <c r="E34" s="285" t="s">
        <v>111</v>
      </c>
      <c r="F34" s="287">
        <v>112</v>
      </c>
      <c r="G34" s="287">
        <v>45</v>
      </c>
      <c r="H34" s="287">
        <v>6</v>
      </c>
      <c r="I34" s="288">
        <v>94031</v>
      </c>
      <c r="J34" s="289">
        <v>10781</v>
      </c>
      <c r="K34" s="290">
        <f>J34/G34</f>
        <v>239.57777777777778</v>
      </c>
      <c r="L34" s="291">
        <f>I34/J34</f>
        <v>8.72191818940729</v>
      </c>
      <c r="M34" s="292">
        <v>1995783</v>
      </c>
      <c r="N34" s="290">
        <v>204725</v>
      </c>
      <c r="O34" s="294">
        <f>+M34/N34</f>
        <v>9.74860422518012</v>
      </c>
      <c r="P34" s="332">
        <v>1</v>
      </c>
    </row>
    <row r="35" spans="1:16" ht="15">
      <c r="A35" s="66">
        <v>33</v>
      </c>
      <c r="B35" s="235" t="s">
        <v>27</v>
      </c>
      <c r="C35" s="229">
        <v>39808</v>
      </c>
      <c r="D35" s="227" t="s">
        <v>131</v>
      </c>
      <c r="E35" s="227" t="s">
        <v>124</v>
      </c>
      <c r="F35" s="228">
        <v>34</v>
      </c>
      <c r="G35" s="228">
        <v>34</v>
      </c>
      <c r="H35" s="228">
        <v>3</v>
      </c>
      <c r="I35" s="309">
        <v>91888</v>
      </c>
      <c r="J35" s="310">
        <v>10997</v>
      </c>
      <c r="K35" s="222">
        <f>J35/G35</f>
        <v>323.44117647058823</v>
      </c>
      <c r="L35" s="230">
        <f>+I35/J35</f>
        <v>8.355733381831408</v>
      </c>
      <c r="M35" s="231">
        <v>742801</v>
      </c>
      <c r="N35" s="222">
        <v>79742</v>
      </c>
      <c r="O35" s="236">
        <f>+M35/N35</f>
        <v>9.315053547691305</v>
      </c>
      <c r="P35" s="332"/>
    </row>
    <row r="36" spans="1:16" ht="15">
      <c r="A36" s="66">
        <v>34</v>
      </c>
      <c r="B36" s="363" t="s">
        <v>58</v>
      </c>
      <c r="C36" s="39">
        <v>39745</v>
      </c>
      <c r="D36" s="44" t="s">
        <v>4</v>
      </c>
      <c r="E36" s="44" t="s">
        <v>59</v>
      </c>
      <c r="F36" s="41">
        <v>72</v>
      </c>
      <c r="G36" s="41">
        <v>67</v>
      </c>
      <c r="H36" s="41">
        <v>29</v>
      </c>
      <c r="I36" s="267">
        <v>84899</v>
      </c>
      <c r="J36" s="155">
        <v>9703</v>
      </c>
      <c r="K36" s="155">
        <f>+J36/G36</f>
        <v>144.82089552238807</v>
      </c>
      <c r="L36" s="356">
        <f>+I36/J36</f>
        <v>8.749768112954756</v>
      </c>
      <c r="M36" s="267">
        <v>1592974</v>
      </c>
      <c r="N36" s="155">
        <v>178588</v>
      </c>
      <c r="O36" s="357">
        <f>+M36/N36</f>
        <v>8.9198266400878</v>
      </c>
      <c r="P36" s="321">
        <v>1</v>
      </c>
    </row>
    <row r="37" spans="1:16" ht="15">
      <c r="A37" s="66">
        <v>35</v>
      </c>
      <c r="B37" s="48" t="s">
        <v>23</v>
      </c>
      <c r="C37" s="39">
        <v>39808</v>
      </c>
      <c r="D37" s="42" t="s">
        <v>136</v>
      </c>
      <c r="E37" s="240" t="s">
        <v>24</v>
      </c>
      <c r="F37" s="54">
        <v>198</v>
      </c>
      <c r="G37" s="54">
        <v>117</v>
      </c>
      <c r="H37" s="54">
        <v>4</v>
      </c>
      <c r="I37" s="305">
        <v>64908</v>
      </c>
      <c r="J37" s="306">
        <v>10700</v>
      </c>
      <c r="K37" s="152">
        <f>IF(I37&lt;&gt;0,J37/G37,"")</f>
        <v>91.45299145299145</v>
      </c>
      <c r="L37" s="153">
        <f>IF(I37&lt;&gt;0,I37/J37,"")</f>
        <v>6.066168224299066</v>
      </c>
      <c r="M37" s="157">
        <f>909072+532572.5+214521.5+64908</f>
        <v>1721074</v>
      </c>
      <c r="N37" s="155">
        <f>112486+67146+29772+10700</f>
        <v>220104</v>
      </c>
      <c r="O37" s="104">
        <f>IF(M37&lt;&gt;0,M37/N37,"")</f>
        <v>7.8193672082288375</v>
      </c>
      <c r="P37" s="332"/>
    </row>
    <row r="38" spans="1:16" ht="15">
      <c r="A38" s="66">
        <v>36</v>
      </c>
      <c r="B38" s="293" t="s">
        <v>64</v>
      </c>
      <c r="C38" s="286">
        <v>39759</v>
      </c>
      <c r="D38" s="285" t="s">
        <v>65</v>
      </c>
      <c r="E38" s="285" t="s">
        <v>66</v>
      </c>
      <c r="F38" s="287">
        <v>56</v>
      </c>
      <c r="G38" s="287">
        <v>56</v>
      </c>
      <c r="H38" s="287">
        <v>15</v>
      </c>
      <c r="I38" s="288">
        <v>63097</v>
      </c>
      <c r="J38" s="289">
        <v>10541</v>
      </c>
      <c r="K38" s="290">
        <f>J38/G38</f>
        <v>188.23214285714286</v>
      </c>
      <c r="L38" s="291">
        <f>I38/J38</f>
        <v>5.985864718717389</v>
      </c>
      <c r="M38" s="292">
        <v>23277790.5</v>
      </c>
      <c r="N38" s="290">
        <v>2763898</v>
      </c>
      <c r="O38" s="294">
        <f>+M38/N38</f>
        <v>8.422087392515932</v>
      </c>
      <c r="P38" s="332"/>
    </row>
    <row r="39" spans="1:16" ht="15">
      <c r="A39" s="66">
        <v>37</v>
      </c>
      <c r="B39" s="281" t="s">
        <v>139</v>
      </c>
      <c r="C39" s="40">
        <v>39787</v>
      </c>
      <c r="D39" s="261" t="s">
        <v>132</v>
      </c>
      <c r="E39" s="261" t="s">
        <v>140</v>
      </c>
      <c r="F39" s="262">
        <v>25</v>
      </c>
      <c r="G39" s="262">
        <v>25</v>
      </c>
      <c r="H39" s="262">
        <v>8</v>
      </c>
      <c r="I39" s="263">
        <v>60712.5</v>
      </c>
      <c r="J39" s="264">
        <v>11735</v>
      </c>
      <c r="K39" s="271">
        <f>+J39/G39</f>
        <v>469.4</v>
      </c>
      <c r="L39" s="153">
        <f>+I39/J39</f>
        <v>5.173625905411163</v>
      </c>
      <c r="M39" s="267">
        <f>9280968+4694050.5+1992628+1117778+528440.5+225948.5+100229.5+60712.5</f>
        <v>18000755.5</v>
      </c>
      <c r="N39" s="268">
        <f>1147876+614752+261380+141495+73035+33259+17736+11735</f>
        <v>2301268</v>
      </c>
      <c r="O39" s="104">
        <f>+M39/N39</f>
        <v>7.822103075348026</v>
      </c>
      <c r="P39" s="332"/>
    </row>
    <row r="40" spans="1:16" ht="15">
      <c r="A40" s="66">
        <v>38</v>
      </c>
      <c r="B40" s="234" t="s">
        <v>142</v>
      </c>
      <c r="C40" s="229">
        <v>39794</v>
      </c>
      <c r="D40" s="217" t="s">
        <v>134</v>
      </c>
      <c r="E40" s="227" t="s">
        <v>133</v>
      </c>
      <c r="F40" s="228">
        <v>100</v>
      </c>
      <c r="G40" s="228">
        <v>39</v>
      </c>
      <c r="H40" s="228">
        <v>5</v>
      </c>
      <c r="I40" s="297">
        <v>54533</v>
      </c>
      <c r="J40" s="298">
        <v>8873</v>
      </c>
      <c r="K40" s="223">
        <f>(J40/G40)</f>
        <v>227.51282051282053</v>
      </c>
      <c r="L40" s="224">
        <f>I40/J40</f>
        <v>6.1459483827341375</v>
      </c>
      <c r="M40" s="225">
        <f>1276778.5+626123+380324+112679.5+54533</f>
        <v>2450438</v>
      </c>
      <c r="N40" s="226">
        <f>133555+68793+41581+14968+8873</f>
        <v>267770</v>
      </c>
      <c r="O40" s="233">
        <f>M40/N40</f>
        <v>9.151279082794936</v>
      </c>
      <c r="P40" s="332">
        <v>1</v>
      </c>
    </row>
    <row r="41" spans="1:16" ht="15">
      <c r="A41" s="66">
        <v>39</v>
      </c>
      <c r="B41" s="234" t="s">
        <v>28</v>
      </c>
      <c r="C41" s="229">
        <v>39808</v>
      </c>
      <c r="D41" s="227" t="s">
        <v>132</v>
      </c>
      <c r="E41" s="227" t="s">
        <v>29</v>
      </c>
      <c r="F41" s="228">
        <v>89</v>
      </c>
      <c r="G41" s="228">
        <v>82</v>
      </c>
      <c r="H41" s="228">
        <v>3</v>
      </c>
      <c r="I41" s="309">
        <v>52183.5</v>
      </c>
      <c r="J41" s="310">
        <v>8100</v>
      </c>
      <c r="K41" s="223">
        <f>J41/G41</f>
        <v>98.78048780487805</v>
      </c>
      <c r="L41" s="224">
        <f>I41/J41</f>
        <v>6.442407407407408</v>
      </c>
      <c r="M41" s="231">
        <f>173290.5+101994+52183.5</f>
        <v>327468</v>
      </c>
      <c r="N41" s="222">
        <f>23989+15166+8100</f>
        <v>47255</v>
      </c>
      <c r="O41" s="233">
        <f>+M41/N41</f>
        <v>6.929806369696329</v>
      </c>
      <c r="P41" s="332"/>
    </row>
    <row r="42" spans="1:16" ht="15">
      <c r="A42" s="66">
        <v>40</v>
      </c>
      <c r="B42" s="281" t="s">
        <v>147</v>
      </c>
      <c r="C42" s="40">
        <v>39801</v>
      </c>
      <c r="D42" s="127" t="s">
        <v>134</v>
      </c>
      <c r="E42" s="261" t="s">
        <v>148</v>
      </c>
      <c r="F42" s="262">
        <v>42</v>
      </c>
      <c r="G42" s="262">
        <v>35</v>
      </c>
      <c r="H42" s="262">
        <v>6</v>
      </c>
      <c r="I42" s="273">
        <v>49984</v>
      </c>
      <c r="J42" s="274">
        <v>7567</v>
      </c>
      <c r="K42" s="275">
        <f>(J42/G42)</f>
        <v>216.2</v>
      </c>
      <c r="L42" s="159">
        <f>I42/J42</f>
        <v>6.605523985727501</v>
      </c>
      <c r="M42" s="276">
        <f>295344+204961.5+145464.5+116108.5+111972.5+49984</f>
        <v>923835</v>
      </c>
      <c r="N42" s="277">
        <f>36142+24747+19417+15404+14719+7567</f>
        <v>117996</v>
      </c>
      <c r="O42" s="105">
        <f>M42/N42</f>
        <v>7.82937557205329</v>
      </c>
      <c r="P42" s="332">
        <v>1</v>
      </c>
    </row>
    <row r="43" spans="1:16" ht="15">
      <c r="A43" s="66">
        <v>41</v>
      </c>
      <c r="B43" s="48" t="s">
        <v>145</v>
      </c>
      <c r="C43" s="39">
        <v>39801</v>
      </c>
      <c r="D43" s="42" t="s">
        <v>136</v>
      </c>
      <c r="E43" s="42" t="s">
        <v>146</v>
      </c>
      <c r="F43" s="54">
        <v>84</v>
      </c>
      <c r="G43" s="54">
        <v>48</v>
      </c>
      <c r="H43" s="54">
        <v>3</v>
      </c>
      <c r="I43" s="305">
        <v>43813</v>
      </c>
      <c r="J43" s="306">
        <v>6346</v>
      </c>
      <c r="K43" s="152">
        <f>IF(I43&lt;&gt;0,J43/G43,"")</f>
        <v>132.20833333333334</v>
      </c>
      <c r="L43" s="153">
        <f>IF(I43&lt;&gt;0,I43/J43,"")</f>
        <v>6.90403403718878</v>
      </c>
      <c r="M43" s="157">
        <f>369313.5+145108.5+43813</f>
        <v>558235</v>
      </c>
      <c r="N43" s="155">
        <f>41017+16460+6346</f>
        <v>63823</v>
      </c>
      <c r="O43" s="104">
        <f>IF(M43&lt;&gt;0,M43/N43,"")</f>
        <v>8.74661172304655</v>
      </c>
      <c r="P43" s="332">
        <v>1</v>
      </c>
    </row>
    <row r="44" spans="1:16" ht="15">
      <c r="A44" s="66">
        <v>42</v>
      </c>
      <c r="B44" s="48" t="s">
        <v>144</v>
      </c>
      <c r="C44" s="39">
        <v>39801</v>
      </c>
      <c r="D44" s="43" t="s">
        <v>130</v>
      </c>
      <c r="E44" s="42" t="s">
        <v>122</v>
      </c>
      <c r="F44" s="54">
        <v>69</v>
      </c>
      <c r="G44" s="54">
        <v>26</v>
      </c>
      <c r="H44" s="54">
        <v>5</v>
      </c>
      <c r="I44" s="303">
        <f>41441-111</f>
        <v>41330</v>
      </c>
      <c r="J44" s="304">
        <f>5722-11</f>
        <v>5711</v>
      </c>
      <c r="K44" s="158">
        <f>J44/G44</f>
        <v>219.65384615384616</v>
      </c>
      <c r="L44" s="159">
        <f>I44/J44</f>
        <v>7.236911223953774</v>
      </c>
      <c r="M44" s="150">
        <f>820286+588484+413907+112495+41441-111</f>
        <v>1976502</v>
      </c>
      <c r="N44" s="151">
        <f>83839+57678+42374+12212+5722-11</f>
        <v>201814</v>
      </c>
      <c r="O44" s="105">
        <f>+M44/N44</f>
        <v>9.79368131051364</v>
      </c>
      <c r="P44" s="332"/>
    </row>
    <row r="45" spans="1:16" ht="15">
      <c r="A45" s="66">
        <v>43</v>
      </c>
      <c r="B45" s="293" t="s">
        <v>64</v>
      </c>
      <c r="C45" s="286">
        <v>39759</v>
      </c>
      <c r="D45" s="285" t="s">
        <v>65</v>
      </c>
      <c r="E45" s="285" t="s">
        <v>66</v>
      </c>
      <c r="F45" s="287">
        <v>41</v>
      </c>
      <c r="G45" s="287">
        <v>41</v>
      </c>
      <c r="H45" s="287">
        <v>16</v>
      </c>
      <c r="I45" s="288">
        <v>38577</v>
      </c>
      <c r="J45" s="289">
        <v>6435</v>
      </c>
      <c r="K45" s="290">
        <f>J45/G45</f>
        <v>156.9512195121951</v>
      </c>
      <c r="L45" s="291">
        <f>I45/J45</f>
        <v>5.994871794871795</v>
      </c>
      <c r="M45" s="292">
        <v>23314058</v>
      </c>
      <c r="N45" s="290">
        <v>2770333</v>
      </c>
      <c r="O45" s="294">
        <f>+M45/N45</f>
        <v>8.415615740057243</v>
      </c>
      <c r="P45" s="332">
        <v>1</v>
      </c>
    </row>
    <row r="46" spans="1:16" ht="15">
      <c r="A46" s="66">
        <v>44</v>
      </c>
      <c r="B46" s="49" t="s">
        <v>142</v>
      </c>
      <c r="C46" s="40">
        <v>39794</v>
      </c>
      <c r="D46" s="45" t="s">
        <v>134</v>
      </c>
      <c r="E46" s="44" t="s">
        <v>133</v>
      </c>
      <c r="F46" s="41">
        <v>100</v>
      </c>
      <c r="G46" s="41">
        <v>25</v>
      </c>
      <c r="H46" s="41">
        <v>6</v>
      </c>
      <c r="I46" s="303">
        <v>36086</v>
      </c>
      <c r="J46" s="304">
        <v>6454</v>
      </c>
      <c r="K46" s="158">
        <f>(J46/G46)</f>
        <v>258.16</v>
      </c>
      <c r="L46" s="159">
        <f>I46/J46</f>
        <v>5.591261233343663</v>
      </c>
      <c r="M46" s="150">
        <f>1276778.5+626123+380324+112679.5+54533+36086</f>
        <v>2486524</v>
      </c>
      <c r="N46" s="151">
        <f>133555+68793+41581+14968+8873+6454</f>
        <v>274224</v>
      </c>
      <c r="O46" s="105">
        <f>M46/N46</f>
        <v>9.06749226909388</v>
      </c>
      <c r="P46" s="332">
        <v>1</v>
      </c>
    </row>
    <row r="47" spans="1:16" ht="15">
      <c r="A47" s="66">
        <v>45</v>
      </c>
      <c r="B47" s="281" t="s">
        <v>26</v>
      </c>
      <c r="C47" s="40">
        <v>39808</v>
      </c>
      <c r="D47" s="127" t="s">
        <v>134</v>
      </c>
      <c r="E47" s="261" t="s">
        <v>133</v>
      </c>
      <c r="F47" s="262">
        <v>75</v>
      </c>
      <c r="G47" s="262">
        <v>29</v>
      </c>
      <c r="H47" s="262">
        <v>5</v>
      </c>
      <c r="I47" s="273">
        <v>34373.5</v>
      </c>
      <c r="J47" s="274">
        <v>4655</v>
      </c>
      <c r="K47" s="275">
        <f>(J47/G47)</f>
        <v>160.51724137931035</v>
      </c>
      <c r="L47" s="159">
        <f>I47/J47</f>
        <v>7.38421052631579</v>
      </c>
      <c r="M47" s="276">
        <f>681566+578530+317284.5+141025.5+34373.5</f>
        <v>1752779.5</v>
      </c>
      <c r="N47" s="277">
        <f>64102+57106+32401+16644+4655</f>
        <v>174908</v>
      </c>
      <c r="O47" s="105">
        <f>M47/N47</f>
        <v>10.021151119445651</v>
      </c>
      <c r="P47" s="332"/>
    </row>
    <row r="48" spans="1:16" ht="15">
      <c r="A48" s="66">
        <v>46</v>
      </c>
      <c r="B48" s="49" t="s">
        <v>72</v>
      </c>
      <c r="C48" s="40">
        <v>39773</v>
      </c>
      <c r="D48" s="65" t="s">
        <v>131</v>
      </c>
      <c r="E48" s="44" t="s">
        <v>126</v>
      </c>
      <c r="F48" s="41">
        <v>204</v>
      </c>
      <c r="G48" s="41">
        <v>30</v>
      </c>
      <c r="H48" s="41">
        <v>7</v>
      </c>
      <c r="I48" s="307">
        <v>33453</v>
      </c>
      <c r="J48" s="308">
        <v>5727</v>
      </c>
      <c r="K48" s="155">
        <f>J48/G48</f>
        <v>190.9</v>
      </c>
      <c r="L48" s="156">
        <f>+I48/J48</f>
        <v>5.841278156102671</v>
      </c>
      <c r="M48" s="154">
        <v>11399323</v>
      </c>
      <c r="N48" s="155">
        <v>1407230</v>
      </c>
      <c r="O48" s="103">
        <f>+M48/N48</f>
        <v>8.100540068077002</v>
      </c>
      <c r="P48" s="332"/>
    </row>
    <row r="49" spans="1:16" ht="15">
      <c r="A49" s="66">
        <v>47</v>
      </c>
      <c r="B49" s="363" t="s">
        <v>58</v>
      </c>
      <c r="C49" s="39">
        <v>39745</v>
      </c>
      <c r="D49" s="44" t="s">
        <v>4</v>
      </c>
      <c r="E49" s="44" t="s">
        <v>59</v>
      </c>
      <c r="F49" s="41">
        <v>72</v>
      </c>
      <c r="G49" s="41">
        <v>37</v>
      </c>
      <c r="H49" s="41">
        <v>30</v>
      </c>
      <c r="I49" s="263">
        <v>32997</v>
      </c>
      <c r="J49" s="308">
        <v>4561</v>
      </c>
      <c r="K49" s="155">
        <f>+J49/G49</f>
        <v>123.27027027027027</v>
      </c>
      <c r="L49" s="356">
        <f>+I49/J49</f>
        <v>7.234597675948257</v>
      </c>
      <c r="M49" s="267">
        <v>1625970</v>
      </c>
      <c r="N49" s="155">
        <v>183149</v>
      </c>
      <c r="O49" s="357">
        <f>+M49/N49</f>
        <v>8.877853550933938</v>
      </c>
      <c r="P49" s="321">
        <v>1</v>
      </c>
    </row>
    <row r="50" spans="1:16" ht="15">
      <c r="A50" s="66">
        <v>48</v>
      </c>
      <c r="B50" s="293" t="s">
        <v>25</v>
      </c>
      <c r="C50" s="286">
        <v>39808</v>
      </c>
      <c r="D50" s="285" t="s">
        <v>131</v>
      </c>
      <c r="E50" s="285" t="s">
        <v>111</v>
      </c>
      <c r="F50" s="287">
        <v>112</v>
      </c>
      <c r="G50" s="287">
        <v>31</v>
      </c>
      <c r="H50" s="287">
        <v>7</v>
      </c>
      <c r="I50" s="288">
        <v>32857</v>
      </c>
      <c r="J50" s="289">
        <v>3082</v>
      </c>
      <c r="K50" s="290">
        <f>J50/G50</f>
        <v>99.41935483870968</v>
      </c>
      <c r="L50" s="291">
        <f>I50/J50</f>
        <v>10.660934458144062</v>
      </c>
      <c r="M50" s="292">
        <v>2028640</v>
      </c>
      <c r="N50" s="290">
        <v>207807</v>
      </c>
      <c r="O50" s="294">
        <f>+M50/N50</f>
        <v>9.762135058010557</v>
      </c>
      <c r="P50" s="332"/>
    </row>
    <row r="51" spans="1:16" ht="15">
      <c r="A51" s="66">
        <v>49</v>
      </c>
      <c r="B51" s="293" t="s">
        <v>147</v>
      </c>
      <c r="C51" s="286">
        <v>39801</v>
      </c>
      <c r="D51" s="285" t="s">
        <v>134</v>
      </c>
      <c r="E51" s="285" t="s">
        <v>148</v>
      </c>
      <c r="F51" s="287">
        <v>42</v>
      </c>
      <c r="G51" s="287">
        <v>28</v>
      </c>
      <c r="H51" s="287">
        <v>8</v>
      </c>
      <c r="I51" s="288">
        <v>32042</v>
      </c>
      <c r="J51" s="289">
        <v>5289</v>
      </c>
      <c r="K51" s="290">
        <f>(J51/G51)</f>
        <v>188.89285714285714</v>
      </c>
      <c r="L51" s="291">
        <f>I51/J51</f>
        <v>6.0582340707128</v>
      </c>
      <c r="M51" s="292">
        <f>295344+204961.5+145464.5+116108.5+111972.5+49984+26327+32042</f>
        <v>982204</v>
      </c>
      <c r="N51" s="290">
        <f>36142+24747+19417+15404+14719+7567+3314+5289</f>
        <v>126599</v>
      </c>
      <c r="O51" s="294">
        <f>M51/N51</f>
        <v>7.758386717114669</v>
      </c>
      <c r="P51" s="332">
        <v>1</v>
      </c>
    </row>
    <row r="52" spans="1:16" ht="15">
      <c r="A52" s="66">
        <v>50</v>
      </c>
      <c r="B52" s="232" t="s">
        <v>145</v>
      </c>
      <c r="C52" s="216">
        <v>39801</v>
      </c>
      <c r="D52" s="217" t="s">
        <v>136</v>
      </c>
      <c r="E52" s="217" t="s">
        <v>146</v>
      </c>
      <c r="F52" s="218">
        <v>84</v>
      </c>
      <c r="G52" s="218">
        <v>38</v>
      </c>
      <c r="H52" s="218">
        <v>4</v>
      </c>
      <c r="I52" s="311">
        <v>31258</v>
      </c>
      <c r="J52" s="312">
        <v>5364</v>
      </c>
      <c r="K52" s="219">
        <f>IF(I52&lt;&gt;0,J52/G52,"")</f>
        <v>141.1578947368421</v>
      </c>
      <c r="L52" s="220">
        <f>IF(I52&lt;&gt;0,I52/J52,"")</f>
        <v>5.827367636092468</v>
      </c>
      <c r="M52" s="221">
        <f>369313.5+145108.5+43813+31258</f>
        <v>589493</v>
      </c>
      <c r="N52" s="222">
        <f>41017+16460+6346+5364</f>
        <v>69187</v>
      </c>
      <c r="O52" s="237">
        <f>IF(M52&lt;&gt;0,M52/N52,"")</f>
        <v>8.52028560278665</v>
      </c>
      <c r="P52" s="332"/>
    </row>
    <row r="53" spans="1:16" ht="15">
      <c r="A53" s="66">
        <v>51</v>
      </c>
      <c r="B53" s="293" t="s">
        <v>147</v>
      </c>
      <c r="C53" s="286">
        <v>39801</v>
      </c>
      <c r="D53" s="285" t="s">
        <v>134</v>
      </c>
      <c r="E53" s="285" t="s">
        <v>148</v>
      </c>
      <c r="F53" s="287">
        <v>42</v>
      </c>
      <c r="G53" s="287">
        <v>20</v>
      </c>
      <c r="H53" s="287">
        <v>7</v>
      </c>
      <c r="I53" s="288">
        <v>26327</v>
      </c>
      <c r="J53" s="289">
        <v>3314</v>
      </c>
      <c r="K53" s="290">
        <f>(J53/G53)</f>
        <v>165.7</v>
      </c>
      <c r="L53" s="291">
        <f>I53/J53</f>
        <v>7.944176222088111</v>
      </c>
      <c r="M53" s="292">
        <f>295344+204961.5+145464.5+116108.5+111972.5+49984+26327</f>
        <v>950162</v>
      </c>
      <c r="N53" s="290">
        <f>36142+24747+19417+15404+14719+7567+3314</f>
        <v>121310</v>
      </c>
      <c r="O53" s="294">
        <f>+M53/N53</f>
        <v>7.832511746764488</v>
      </c>
      <c r="P53" s="332">
        <v>1</v>
      </c>
    </row>
    <row r="54" spans="1:16" ht="15">
      <c r="A54" s="66">
        <v>52</v>
      </c>
      <c r="B54" s="49" t="s">
        <v>44</v>
      </c>
      <c r="C54" s="40">
        <v>39780</v>
      </c>
      <c r="D54" s="65" t="s">
        <v>131</v>
      </c>
      <c r="E54" s="44" t="s">
        <v>127</v>
      </c>
      <c r="F54" s="41">
        <v>121</v>
      </c>
      <c r="G54" s="41">
        <v>34</v>
      </c>
      <c r="H54" s="41">
        <v>6</v>
      </c>
      <c r="I54" s="307">
        <v>24200</v>
      </c>
      <c r="J54" s="308">
        <v>4086</v>
      </c>
      <c r="K54" s="155">
        <f>J54/G54</f>
        <v>120.17647058823529</v>
      </c>
      <c r="L54" s="156">
        <f>+I54/J54</f>
        <v>5.922662750856584</v>
      </c>
      <c r="M54" s="154">
        <v>3379638</v>
      </c>
      <c r="N54" s="155">
        <v>389905</v>
      </c>
      <c r="O54" s="103">
        <f>+M54/N54</f>
        <v>8.667849860863544</v>
      </c>
      <c r="P54" s="332"/>
    </row>
    <row r="55" spans="1:16" ht="15">
      <c r="A55" s="66">
        <v>53</v>
      </c>
      <c r="B55" s="281" t="s">
        <v>139</v>
      </c>
      <c r="C55" s="286">
        <v>39787</v>
      </c>
      <c r="D55" s="285" t="s">
        <v>132</v>
      </c>
      <c r="E55" s="285" t="s">
        <v>140</v>
      </c>
      <c r="F55" s="287">
        <v>15</v>
      </c>
      <c r="G55" s="287">
        <v>15</v>
      </c>
      <c r="H55" s="287">
        <v>9</v>
      </c>
      <c r="I55" s="288">
        <v>23747.5</v>
      </c>
      <c r="J55" s="289">
        <v>4194</v>
      </c>
      <c r="K55" s="290">
        <f>J55/G55</f>
        <v>279.6</v>
      </c>
      <c r="L55" s="291">
        <f>I55/J55</f>
        <v>5.662255603242728</v>
      </c>
      <c r="M55" s="292">
        <f>9280968+4694050.5+1992628+1117778+528440.5+225948.5+100229.5+60712.5+23747.5</f>
        <v>18024503</v>
      </c>
      <c r="N55" s="290">
        <f>1147876+614752+261380+141495+73035+33259+17736+11735+4194</f>
        <v>2305462</v>
      </c>
      <c r="O55" s="294">
        <f>+M55/N55</f>
        <v>7.818173971204036</v>
      </c>
      <c r="P55" s="332"/>
    </row>
    <row r="56" spans="1:16" ht="15">
      <c r="A56" s="66">
        <v>54</v>
      </c>
      <c r="B56" s="245" t="s">
        <v>14</v>
      </c>
      <c r="C56" s="241">
        <v>39808</v>
      </c>
      <c r="D56" s="65" t="s">
        <v>131</v>
      </c>
      <c r="E56" s="242" t="s">
        <v>124</v>
      </c>
      <c r="F56" s="41">
        <v>34</v>
      </c>
      <c r="G56" s="41">
        <v>20</v>
      </c>
      <c r="H56" s="41">
        <v>4</v>
      </c>
      <c r="I56" s="307">
        <v>22932</v>
      </c>
      <c r="J56" s="308">
        <v>3741</v>
      </c>
      <c r="K56" s="155">
        <f>J56/G56</f>
        <v>187.05</v>
      </c>
      <c r="L56" s="156">
        <f>+I56/J56</f>
        <v>6.129911788291901</v>
      </c>
      <c r="M56" s="154">
        <v>765733</v>
      </c>
      <c r="N56" s="155">
        <v>83483</v>
      </c>
      <c r="O56" s="103">
        <f>+M56/N56</f>
        <v>9.172322508774242</v>
      </c>
      <c r="P56" s="332"/>
    </row>
    <row r="57" spans="1:16" ht="15">
      <c r="A57" s="66">
        <v>55</v>
      </c>
      <c r="B57" s="293" t="s">
        <v>147</v>
      </c>
      <c r="C57" s="286">
        <v>39801</v>
      </c>
      <c r="D57" s="285" t="s">
        <v>134</v>
      </c>
      <c r="E57" s="285" t="s">
        <v>148</v>
      </c>
      <c r="F57" s="287">
        <v>42</v>
      </c>
      <c r="G57" s="287">
        <v>12</v>
      </c>
      <c r="H57" s="287">
        <v>10</v>
      </c>
      <c r="I57" s="288">
        <v>20005</v>
      </c>
      <c r="J57" s="289">
        <v>3275</v>
      </c>
      <c r="K57" s="290">
        <f>(J57/G57)</f>
        <v>272.9166666666667</v>
      </c>
      <c r="L57" s="291">
        <f>I57/J57</f>
        <v>6.108396946564885</v>
      </c>
      <c r="M57" s="292">
        <f>295344+204961.5+145464.5+116108.5+111972.5+49984+26327+32042+18579+20005</f>
        <v>1020788</v>
      </c>
      <c r="N57" s="290">
        <f>36142+24747+19417+15404+14719+7567+3314+5289+3173+3275</f>
        <v>133047</v>
      </c>
      <c r="O57" s="294">
        <f>M57/N57</f>
        <v>7.672386449901163</v>
      </c>
      <c r="P57" s="332"/>
    </row>
    <row r="58" spans="1:16" ht="15">
      <c r="A58" s="66">
        <v>56</v>
      </c>
      <c r="B58" s="49" t="s">
        <v>70</v>
      </c>
      <c r="C58" s="40">
        <v>39766</v>
      </c>
      <c r="D58" s="44" t="s">
        <v>132</v>
      </c>
      <c r="E58" s="44" t="s">
        <v>71</v>
      </c>
      <c r="F58" s="41">
        <v>24</v>
      </c>
      <c r="G58" s="41">
        <v>5</v>
      </c>
      <c r="H58" s="41">
        <v>8</v>
      </c>
      <c r="I58" s="307">
        <v>19699.5</v>
      </c>
      <c r="J58" s="308">
        <v>2958</v>
      </c>
      <c r="K58" s="152">
        <f>+J58/G58</f>
        <v>591.6</v>
      </c>
      <c r="L58" s="153">
        <f>+I58/J58</f>
        <v>6.65973630831643</v>
      </c>
      <c r="M58" s="154">
        <f>191668+16358.5+8305+0.5+19699.5</f>
        <v>236031.5</v>
      </c>
      <c r="N58" s="155">
        <f>10324+8249+7871+7121+4755+3362+1751+2958</f>
        <v>46391</v>
      </c>
      <c r="O58" s="104">
        <f>+M58/N58</f>
        <v>5.087872647711841</v>
      </c>
      <c r="P58" s="332"/>
    </row>
    <row r="59" spans="1:16" ht="15">
      <c r="A59" s="66">
        <v>57</v>
      </c>
      <c r="B59" s="235" t="s">
        <v>44</v>
      </c>
      <c r="C59" s="229">
        <v>39780</v>
      </c>
      <c r="D59" s="227" t="s">
        <v>131</v>
      </c>
      <c r="E59" s="227" t="s">
        <v>127</v>
      </c>
      <c r="F59" s="228">
        <v>121</v>
      </c>
      <c r="G59" s="228">
        <v>32</v>
      </c>
      <c r="H59" s="228">
        <v>7</v>
      </c>
      <c r="I59" s="309">
        <v>19269</v>
      </c>
      <c r="J59" s="310">
        <v>3470</v>
      </c>
      <c r="K59" s="222">
        <f>J59/G59</f>
        <v>108.4375</v>
      </c>
      <c r="L59" s="230">
        <f>+I59/J59</f>
        <v>5.553025936599424</v>
      </c>
      <c r="M59" s="231">
        <v>3399520</v>
      </c>
      <c r="N59" s="222">
        <v>393715</v>
      </c>
      <c r="O59" s="236">
        <f>+M59/N59</f>
        <v>8.634469095665647</v>
      </c>
      <c r="P59" s="332"/>
    </row>
    <row r="60" spans="1:16" ht="15">
      <c r="A60" s="66">
        <v>58</v>
      </c>
      <c r="B60" s="293" t="s">
        <v>147</v>
      </c>
      <c r="C60" s="286">
        <v>39801</v>
      </c>
      <c r="D60" s="285" t="s">
        <v>134</v>
      </c>
      <c r="E60" s="285" t="s">
        <v>148</v>
      </c>
      <c r="F60" s="287">
        <v>42</v>
      </c>
      <c r="G60" s="287">
        <v>16</v>
      </c>
      <c r="H60" s="287">
        <v>11</v>
      </c>
      <c r="I60" s="288">
        <v>19180</v>
      </c>
      <c r="J60" s="289">
        <v>3534</v>
      </c>
      <c r="K60" s="290">
        <f>(J60/G60)</f>
        <v>220.875</v>
      </c>
      <c r="L60" s="291">
        <f>I60/J60</f>
        <v>5.427277872099604</v>
      </c>
      <c r="M60" s="292">
        <f>295344+204961.5+145464.5+116108.5+111972.5+49984+26327+32042+18579+20005+19180</f>
        <v>1039968</v>
      </c>
      <c r="N60" s="290">
        <f>36142+24747+19417+15404+14719+7567+3314+5289+3173+3275+3534</f>
        <v>136581</v>
      </c>
      <c r="O60" s="294">
        <f>M60/N60</f>
        <v>7.614294814066378</v>
      </c>
      <c r="P60" s="332"/>
    </row>
    <row r="61" spans="1:16" ht="15">
      <c r="A61" s="66">
        <v>59</v>
      </c>
      <c r="B61" s="293" t="s">
        <v>147</v>
      </c>
      <c r="C61" s="286">
        <v>39801</v>
      </c>
      <c r="D61" s="285" t="s">
        <v>134</v>
      </c>
      <c r="E61" s="285" t="s">
        <v>198</v>
      </c>
      <c r="F61" s="287">
        <v>42</v>
      </c>
      <c r="G61" s="287">
        <v>12</v>
      </c>
      <c r="H61" s="287">
        <v>9</v>
      </c>
      <c r="I61" s="288">
        <v>18579</v>
      </c>
      <c r="J61" s="289">
        <v>3173</v>
      </c>
      <c r="K61" s="290">
        <f>(J61/G61)</f>
        <v>264.4166666666667</v>
      </c>
      <c r="L61" s="291">
        <f>I61/J61</f>
        <v>5.855341947683581</v>
      </c>
      <c r="M61" s="292">
        <f>295344+204961.5+145464.5+116108.5+111972.5+49984+26327+32042+18579</f>
        <v>1000783</v>
      </c>
      <c r="N61" s="290">
        <f>36142+24747+19417+15404+14719+7567+3314+5289+3173</f>
        <v>129772</v>
      </c>
      <c r="O61" s="294">
        <f>+M61/N61</f>
        <v>7.711856178528496</v>
      </c>
      <c r="P61" s="332">
        <v>1</v>
      </c>
    </row>
    <row r="62" spans="1:16" ht="15">
      <c r="A62" s="66">
        <v>60</v>
      </c>
      <c r="B62" s="293" t="s">
        <v>139</v>
      </c>
      <c r="C62" s="286">
        <v>39787</v>
      </c>
      <c r="D62" s="285" t="s">
        <v>132</v>
      </c>
      <c r="E62" s="285" t="s">
        <v>140</v>
      </c>
      <c r="F62" s="287">
        <v>13</v>
      </c>
      <c r="G62" s="287">
        <v>13</v>
      </c>
      <c r="H62" s="287">
        <v>10</v>
      </c>
      <c r="I62" s="288">
        <v>18022</v>
      </c>
      <c r="J62" s="289">
        <v>3845</v>
      </c>
      <c r="K62" s="290">
        <f>J62/G62</f>
        <v>295.7692307692308</v>
      </c>
      <c r="L62" s="291">
        <f>I62/J62</f>
        <v>4.687126137841353</v>
      </c>
      <c r="M62" s="292">
        <f>9280968+4694050.5+1992628+1117778+528440.5+225948.5+100229.5+60712.5+23747.5+18022-1837</f>
        <v>18040688</v>
      </c>
      <c r="N62" s="290">
        <f>1147876+614752+261380+141495+73035+33259+17736+11735+4194+3845-458</f>
        <v>2308849</v>
      </c>
      <c r="O62" s="294">
        <f>+M62/N62</f>
        <v>7.813714972265402</v>
      </c>
      <c r="P62" s="332"/>
    </row>
    <row r="63" spans="1:16" ht="15">
      <c r="A63" s="66">
        <v>61</v>
      </c>
      <c r="B63" s="234" t="s">
        <v>70</v>
      </c>
      <c r="C63" s="229">
        <v>39766</v>
      </c>
      <c r="D63" s="227" t="s">
        <v>132</v>
      </c>
      <c r="E63" s="227" t="s">
        <v>71</v>
      </c>
      <c r="F63" s="228">
        <v>24</v>
      </c>
      <c r="G63" s="228">
        <v>8</v>
      </c>
      <c r="H63" s="228">
        <v>9</v>
      </c>
      <c r="I63" s="309">
        <v>16705.5</v>
      </c>
      <c r="J63" s="310">
        <v>2636</v>
      </c>
      <c r="K63" s="223">
        <f>J63/G63</f>
        <v>329.5</v>
      </c>
      <c r="L63" s="224">
        <f>I63/J63</f>
        <v>6.337443095599393</v>
      </c>
      <c r="M63" s="231">
        <f>191668+16358.5+8305+0.5+19699.5+16705.5</f>
        <v>252737</v>
      </c>
      <c r="N63" s="222">
        <f>10324+8249+7871+7121+4755+3362+1751+2958+2636</f>
        <v>49027</v>
      </c>
      <c r="O63" s="233">
        <f>+M63/N63</f>
        <v>5.155057417341465</v>
      </c>
      <c r="P63" s="332">
        <v>1</v>
      </c>
    </row>
    <row r="64" spans="1:16" ht="15">
      <c r="A64" s="66">
        <v>62</v>
      </c>
      <c r="B64" s="293" t="s">
        <v>139</v>
      </c>
      <c r="C64" s="286">
        <v>39787</v>
      </c>
      <c r="D64" s="285" t="s">
        <v>132</v>
      </c>
      <c r="E64" s="285" t="s">
        <v>140</v>
      </c>
      <c r="F64" s="287">
        <v>2</v>
      </c>
      <c r="G64" s="287">
        <v>2</v>
      </c>
      <c r="H64" s="287">
        <v>14</v>
      </c>
      <c r="I64" s="288">
        <v>16460.5</v>
      </c>
      <c r="J64" s="289">
        <v>3333</v>
      </c>
      <c r="K64" s="290">
        <f>J64/G64</f>
        <v>1666.5</v>
      </c>
      <c r="L64" s="291">
        <f>I64/J64</f>
        <v>4.938643864386439</v>
      </c>
      <c r="M64" s="292">
        <f>9280968+4694050.5+1992628+1117778+528440.5+225948.5+100229.5+60712.5+23747.5+18022-1837+3858+1591+1095+16460.5</f>
        <v>18063692.5</v>
      </c>
      <c r="N64" s="290">
        <f>1147876+614752+261380+141495+73035+33259+17736+11735+4194+3845-458+781+321+218+3333</f>
        <v>2313502</v>
      </c>
      <c r="O64" s="294">
        <f>+M64/N64</f>
        <v>7.80794332574599</v>
      </c>
      <c r="P64" s="332"/>
    </row>
    <row r="65" spans="1:16" ht="15">
      <c r="A65" s="66">
        <v>63</v>
      </c>
      <c r="B65" s="281" t="s">
        <v>44</v>
      </c>
      <c r="C65" s="40">
        <v>39780</v>
      </c>
      <c r="D65" s="261" t="s">
        <v>131</v>
      </c>
      <c r="E65" s="261" t="s">
        <v>127</v>
      </c>
      <c r="F65" s="262">
        <v>121</v>
      </c>
      <c r="G65" s="262">
        <v>16</v>
      </c>
      <c r="H65" s="262">
        <v>9</v>
      </c>
      <c r="I65" s="263">
        <v>16294</v>
      </c>
      <c r="J65" s="264">
        <v>3898</v>
      </c>
      <c r="K65" s="268">
        <f>J65/G65</f>
        <v>243.625</v>
      </c>
      <c r="L65" s="156">
        <f>+I65/J65</f>
        <v>4.1800923550538736</v>
      </c>
      <c r="M65" s="267">
        <v>3429888</v>
      </c>
      <c r="N65" s="268">
        <v>400341</v>
      </c>
      <c r="O65" s="103">
        <f>+M65/N65</f>
        <v>8.567416277623327</v>
      </c>
      <c r="P65" s="332"/>
    </row>
    <row r="66" spans="1:16" ht="15">
      <c r="A66" s="66">
        <v>64</v>
      </c>
      <c r="B66" s="293" t="s">
        <v>147</v>
      </c>
      <c r="C66" s="286">
        <v>39801</v>
      </c>
      <c r="D66" s="285" t="s">
        <v>134</v>
      </c>
      <c r="E66" s="285" t="s">
        <v>148</v>
      </c>
      <c r="F66" s="287">
        <v>42</v>
      </c>
      <c r="G66" s="287">
        <v>21</v>
      </c>
      <c r="H66" s="287">
        <v>12</v>
      </c>
      <c r="I66" s="288">
        <v>15980</v>
      </c>
      <c r="J66" s="289">
        <v>2826</v>
      </c>
      <c r="K66" s="290">
        <f>(J66/G66)</f>
        <v>134.57142857142858</v>
      </c>
      <c r="L66" s="291">
        <f>I66/J66</f>
        <v>5.654635527246993</v>
      </c>
      <c r="M66" s="292">
        <f>295344+204961.5+145464.5+116108.5+111972.5+49984+26327+32042+18579+20005+19180+15980</f>
        <v>1055948</v>
      </c>
      <c r="N66" s="290">
        <f>36142+24747+19417+15404+14719+7567+3314+5289+3173+3275+3534+2826</f>
        <v>139407</v>
      </c>
      <c r="O66" s="294">
        <f>M66/N66</f>
        <v>7.574569426212457</v>
      </c>
      <c r="P66" s="332"/>
    </row>
    <row r="67" spans="1:16" ht="15">
      <c r="A67" s="66">
        <v>65</v>
      </c>
      <c r="B67" s="293" t="s">
        <v>64</v>
      </c>
      <c r="C67" s="286">
        <v>39759</v>
      </c>
      <c r="D67" s="285" t="s">
        <v>65</v>
      </c>
      <c r="E67" s="285" t="s">
        <v>66</v>
      </c>
      <c r="F67" s="287">
        <v>23</v>
      </c>
      <c r="G67" s="287">
        <v>23</v>
      </c>
      <c r="H67" s="287">
        <v>18</v>
      </c>
      <c r="I67" s="288">
        <v>15900.5</v>
      </c>
      <c r="J67" s="289">
        <v>2635</v>
      </c>
      <c r="K67" s="290">
        <f>J67/G67</f>
        <v>114.56521739130434</v>
      </c>
      <c r="L67" s="291">
        <f>I67/J67</f>
        <v>6.034345351043643</v>
      </c>
      <c r="M67" s="292">
        <v>23356687.5</v>
      </c>
      <c r="N67" s="290">
        <v>2777253</v>
      </c>
      <c r="O67" s="294">
        <f>+M67/N67</f>
        <v>8.409996316504113</v>
      </c>
      <c r="P67" s="332">
        <v>1</v>
      </c>
    </row>
    <row r="68" spans="1:16" ht="15">
      <c r="A68" s="66">
        <v>66</v>
      </c>
      <c r="B68" s="293" t="s">
        <v>44</v>
      </c>
      <c r="C68" s="286">
        <v>39780</v>
      </c>
      <c r="D68" s="285" t="s">
        <v>131</v>
      </c>
      <c r="E68" s="285" t="s">
        <v>127</v>
      </c>
      <c r="F68" s="287">
        <v>121</v>
      </c>
      <c r="G68" s="287">
        <v>13</v>
      </c>
      <c r="H68" s="287">
        <v>10</v>
      </c>
      <c r="I68" s="288">
        <v>15819</v>
      </c>
      <c r="J68" s="289">
        <v>2946</v>
      </c>
      <c r="K68" s="290">
        <f>J68/G68</f>
        <v>226.6153846153846</v>
      </c>
      <c r="L68" s="291">
        <f>I68/J68</f>
        <v>5.369653767820774</v>
      </c>
      <c r="M68" s="292">
        <v>3445707</v>
      </c>
      <c r="N68" s="290">
        <v>403287</v>
      </c>
      <c r="O68" s="294">
        <f>+M68/N68</f>
        <v>8.54405671395309</v>
      </c>
      <c r="P68" s="332">
        <v>1</v>
      </c>
    </row>
    <row r="69" spans="1:16" ht="15">
      <c r="A69" s="66">
        <v>67</v>
      </c>
      <c r="B69" s="53" t="s">
        <v>23</v>
      </c>
      <c r="C69" s="39">
        <v>39808</v>
      </c>
      <c r="D69" s="127" t="s">
        <v>136</v>
      </c>
      <c r="E69" s="127" t="s">
        <v>24</v>
      </c>
      <c r="F69" s="50">
        <v>198</v>
      </c>
      <c r="G69" s="50">
        <v>30</v>
      </c>
      <c r="H69" s="50">
        <v>5</v>
      </c>
      <c r="I69" s="269">
        <v>15178.5</v>
      </c>
      <c r="J69" s="270">
        <v>3086</v>
      </c>
      <c r="K69" s="271">
        <f>IF(I69&lt;&gt;0,J69/G69,"")</f>
        <v>102.86666666666666</v>
      </c>
      <c r="L69" s="153">
        <f>IF(I69&lt;&gt;0,I69/J69,"")</f>
        <v>4.91850291639663</v>
      </c>
      <c r="M69" s="272">
        <f>909072+532572.5+214521.5+64908+15178.5</f>
        <v>1736252.5</v>
      </c>
      <c r="N69" s="268">
        <f>112486+67146+29772+10700+3086</f>
        <v>223190</v>
      </c>
      <c r="O69" s="104">
        <f>IF(M69&lt;&gt;0,M69/N69,"")</f>
        <v>7.779257583225055</v>
      </c>
      <c r="P69" s="332"/>
    </row>
    <row r="70" spans="1:16" ht="15">
      <c r="A70" s="66">
        <v>68</v>
      </c>
      <c r="B70" s="245" t="s">
        <v>44</v>
      </c>
      <c r="C70" s="241">
        <v>39780</v>
      </c>
      <c r="D70" s="65" t="s">
        <v>131</v>
      </c>
      <c r="E70" s="242" t="s">
        <v>127</v>
      </c>
      <c r="F70" s="41">
        <v>121</v>
      </c>
      <c r="G70" s="41">
        <v>23</v>
      </c>
      <c r="H70" s="41">
        <v>8</v>
      </c>
      <c r="I70" s="307">
        <v>13754</v>
      </c>
      <c r="J70" s="308">
        <v>2686</v>
      </c>
      <c r="K70" s="155">
        <f>J70/G70</f>
        <v>116.78260869565217</v>
      </c>
      <c r="L70" s="156">
        <f>+I70/J70</f>
        <v>5.1206254653760235</v>
      </c>
      <c r="M70" s="154">
        <v>3413274</v>
      </c>
      <c r="N70" s="155">
        <v>396401</v>
      </c>
      <c r="O70" s="103">
        <f>+M70/N70</f>
        <v>8.610659408023693</v>
      </c>
      <c r="P70" s="332"/>
    </row>
    <row r="71" spans="1:16" ht="15">
      <c r="A71" s="66">
        <v>69</v>
      </c>
      <c r="B71" s="293" t="s">
        <v>147</v>
      </c>
      <c r="C71" s="286">
        <v>39801</v>
      </c>
      <c r="D71" s="285" t="s">
        <v>134</v>
      </c>
      <c r="E71" s="285" t="s">
        <v>148</v>
      </c>
      <c r="F71" s="287">
        <v>42</v>
      </c>
      <c r="G71" s="287">
        <v>9</v>
      </c>
      <c r="H71" s="287">
        <v>16</v>
      </c>
      <c r="I71" s="292">
        <v>13433</v>
      </c>
      <c r="J71" s="290">
        <v>2536</v>
      </c>
      <c r="K71" s="290">
        <f>(J71/G71)</f>
        <v>281.77777777777777</v>
      </c>
      <c r="L71" s="291">
        <f>I71/J71</f>
        <v>5.2969242902208205</v>
      </c>
      <c r="M71" s="292">
        <f>295344+204961.5+145464.5+116108.5+111972.5+49984+26327+32042+18579+20005+19180+15980+2686.5+3166.5+366+13433</f>
        <v>1075600</v>
      </c>
      <c r="N71" s="290">
        <f>36142+24747+19417+15404+14719+7567+3314+5289+3173+3275+3534+2826+540+724+52+2536</f>
        <v>143259</v>
      </c>
      <c r="O71" s="294">
        <f>M71/N71</f>
        <v>7.508079771602482</v>
      </c>
      <c r="P71" s="332">
        <v>1</v>
      </c>
    </row>
    <row r="72" spans="1:16" ht="15">
      <c r="A72" s="66">
        <v>70</v>
      </c>
      <c r="B72" s="293" t="s">
        <v>14</v>
      </c>
      <c r="C72" s="286">
        <v>39808</v>
      </c>
      <c r="D72" s="285" t="s">
        <v>131</v>
      </c>
      <c r="E72" s="285" t="s">
        <v>124</v>
      </c>
      <c r="F72" s="287">
        <v>34</v>
      </c>
      <c r="G72" s="287">
        <v>12</v>
      </c>
      <c r="H72" s="287">
        <v>6</v>
      </c>
      <c r="I72" s="288">
        <v>13097</v>
      </c>
      <c r="J72" s="289">
        <v>2497</v>
      </c>
      <c r="K72" s="290">
        <f>J72/G72</f>
        <v>208.08333333333334</v>
      </c>
      <c r="L72" s="291">
        <f>I72/J72</f>
        <v>5.245094112935522</v>
      </c>
      <c r="M72" s="292">
        <v>791666</v>
      </c>
      <c r="N72" s="290">
        <v>88294</v>
      </c>
      <c r="O72" s="294">
        <f>+M72/N72</f>
        <v>8.966249122250662</v>
      </c>
      <c r="P72" s="332"/>
    </row>
    <row r="73" spans="1:16" ht="15">
      <c r="A73" s="66">
        <v>71</v>
      </c>
      <c r="B73" s="281" t="s">
        <v>14</v>
      </c>
      <c r="C73" s="40">
        <v>39808</v>
      </c>
      <c r="D73" s="261" t="s">
        <v>131</v>
      </c>
      <c r="E73" s="261" t="s">
        <v>124</v>
      </c>
      <c r="F73" s="262">
        <v>34</v>
      </c>
      <c r="G73" s="262">
        <v>14</v>
      </c>
      <c r="H73" s="262">
        <v>5</v>
      </c>
      <c r="I73" s="263">
        <v>12836</v>
      </c>
      <c r="J73" s="264">
        <v>2314</v>
      </c>
      <c r="K73" s="268">
        <f>J73/G73</f>
        <v>165.28571428571428</v>
      </c>
      <c r="L73" s="156">
        <f>+I73/J73</f>
        <v>5.547104580812446</v>
      </c>
      <c r="M73" s="267">
        <v>778569</v>
      </c>
      <c r="N73" s="268">
        <v>85797</v>
      </c>
      <c r="O73" s="103">
        <f>+M73/N73</f>
        <v>9.074548061121018</v>
      </c>
      <c r="P73" s="332">
        <v>1</v>
      </c>
    </row>
    <row r="74" spans="1:16" ht="15">
      <c r="A74" s="66">
        <v>72</v>
      </c>
      <c r="B74" s="363" t="s">
        <v>58</v>
      </c>
      <c r="C74" s="39">
        <v>39745</v>
      </c>
      <c r="D74" s="44" t="s">
        <v>4</v>
      </c>
      <c r="E74" s="44" t="s">
        <v>59</v>
      </c>
      <c r="F74" s="41">
        <v>72</v>
      </c>
      <c r="G74" s="41">
        <v>30</v>
      </c>
      <c r="H74" s="41">
        <v>31</v>
      </c>
      <c r="I74" s="267">
        <v>11994</v>
      </c>
      <c r="J74" s="155">
        <v>1754</v>
      </c>
      <c r="K74" s="155">
        <f>J74/G74</f>
        <v>58.46666666666667</v>
      </c>
      <c r="L74" s="356">
        <f>I74/J74</f>
        <v>6.838084378563284</v>
      </c>
      <c r="M74" s="267">
        <v>1637964</v>
      </c>
      <c r="N74" s="155">
        <v>184903</v>
      </c>
      <c r="O74" s="357">
        <f>+M74/N74</f>
        <v>8.858504188682716</v>
      </c>
      <c r="P74" s="321">
        <v>1</v>
      </c>
    </row>
    <row r="75" spans="1:16" ht="15">
      <c r="A75" s="66">
        <v>73</v>
      </c>
      <c r="B75" s="293" t="s">
        <v>23</v>
      </c>
      <c r="C75" s="286">
        <v>39808</v>
      </c>
      <c r="D75" s="285" t="s">
        <v>136</v>
      </c>
      <c r="E75" s="285" t="s">
        <v>24</v>
      </c>
      <c r="F75" s="287">
        <v>198</v>
      </c>
      <c r="G75" s="287">
        <v>3</v>
      </c>
      <c r="H75" s="287">
        <v>11</v>
      </c>
      <c r="I75" s="288">
        <v>11832</v>
      </c>
      <c r="J75" s="289">
        <v>2477</v>
      </c>
      <c r="K75" s="290">
        <f>J75/G75</f>
        <v>825.6666666666666</v>
      </c>
      <c r="L75" s="291">
        <f>I75/J75</f>
        <v>4.776746063786839</v>
      </c>
      <c r="M75" s="292">
        <v>1757395</v>
      </c>
      <c r="N75" s="290">
        <v>227473</v>
      </c>
      <c r="O75" s="294">
        <f>+M75/N75</f>
        <v>7.725730086647646</v>
      </c>
      <c r="P75" s="332"/>
    </row>
    <row r="76" spans="1:16" ht="15">
      <c r="A76" s="66">
        <v>74</v>
      </c>
      <c r="B76" s="48" t="s">
        <v>145</v>
      </c>
      <c r="C76" s="39">
        <v>39801</v>
      </c>
      <c r="D76" s="42" t="s">
        <v>136</v>
      </c>
      <c r="E76" s="240" t="s">
        <v>146</v>
      </c>
      <c r="F76" s="54">
        <v>84</v>
      </c>
      <c r="G76" s="54">
        <v>19</v>
      </c>
      <c r="H76" s="54">
        <v>5</v>
      </c>
      <c r="I76" s="305">
        <v>11772.5</v>
      </c>
      <c r="J76" s="306">
        <v>2357</v>
      </c>
      <c r="K76" s="152">
        <f>IF(I76&lt;&gt;0,J76/G76,"")</f>
        <v>124.05263157894737</v>
      </c>
      <c r="L76" s="153">
        <f>IF(I76&lt;&gt;0,I76/J76,"")</f>
        <v>4.994696648281714</v>
      </c>
      <c r="M76" s="157">
        <f>369313.5+145108.5+43813+31258+11772.5</f>
        <v>601265.5</v>
      </c>
      <c r="N76" s="155">
        <f>41017+16460+6346+5364+2357</f>
        <v>71544</v>
      </c>
      <c r="O76" s="104">
        <f>IF(M76&lt;&gt;0,M76/N76,"")</f>
        <v>8.404135916359163</v>
      </c>
      <c r="P76" s="332">
        <v>1</v>
      </c>
    </row>
    <row r="77" spans="1:16" ht="15">
      <c r="A77" s="66">
        <v>75</v>
      </c>
      <c r="B77" s="49" t="s">
        <v>28</v>
      </c>
      <c r="C77" s="40">
        <v>39808</v>
      </c>
      <c r="D77" s="44" t="s">
        <v>132</v>
      </c>
      <c r="E77" s="44" t="s">
        <v>29</v>
      </c>
      <c r="F77" s="41">
        <v>89</v>
      </c>
      <c r="G77" s="41">
        <v>12</v>
      </c>
      <c r="H77" s="41">
        <v>4</v>
      </c>
      <c r="I77" s="307">
        <v>11344</v>
      </c>
      <c r="J77" s="308">
        <v>1911</v>
      </c>
      <c r="K77" s="158">
        <f>(J77/G77)</f>
        <v>159.25</v>
      </c>
      <c r="L77" s="159">
        <f>I77/J77</f>
        <v>5.936159079016222</v>
      </c>
      <c r="M77" s="154">
        <f>173290.5+101994+52183.5+11344</f>
        <v>338812</v>
      </c>
      <c r="N77" s="155">
        <f>23989+15166+8100+1911</f>
        <v>49166</v>
      </c>
      <c r="O77" s="105">
        <f>M77/N77</f>
        <v>6.891184965219868</v>
      </c>
      <c r="P77" s="332"/>
    </row>
    <row r="78" spans="1:16" ht="15">
      <c r="A78" s="66">
        <v>76</v>
      </c>
      <c r="B78" s="245" t="s">
        <v>72</v>
      </c>
      <c r="C78" s="241">
        <v>39773</v>
      </c>
      <c r="D78" s="65" t="s">
        <v>131</v>
      </c>
      <c r="E78" s="242" t="s">
        <v>126</v>
      </c>
      <c r="F78" s="41">
        <v>204</v>
      </c>
      <c r="G78" s="41">
        <v>7</v>
      </c>
      <c r="H78" s="41">
        <v>9</v>
      </c>
      <c r="I78" s="307">
        <v>11114</v>
      </c>
      <c r="J78" s="308">
        <v>2009</v>
      </c>
      <c r="K78" s="155">
        <f>J78/G78</f>
        <v>287</v>
      </c>
      <c r="L78" s="156">
        <f>+I78/J78</f>
        <v>5.532105525136884</v>
      </c>
      <c r="M78" s="154">
        <v>11421502</v>
      </c>
      <c r="N78" s="155">
        <v>1411494</v>
      </c>
      <c r="O78" s="103">
        <f>+M78/N78</f>
        <v>8.09178218256684</v>
      </c>
      <c r="P78" s="332"/>
    </row>
    <row r="79" spans="1:16" ht="15">
      <c r="A79" s="66">
        <v>77</v>
      </c>
      <c r="B79" s="235" t="s">
        <v>72</v>
      </c>
      <c r="C79" s="229">
        <v>39773</v>
      </c>
      <c r="D79" s="227" t="s">
        <v>131</v>
      </c>
      <c r="E79" s="227" t="s">
        <v>126</v>
      </c>
      <c r="F79" s="228">
        <v>204</v>
      </c>
      <c r="G79" s="228">
        <v>14</v>
      </c>
      <c r="H79" s="228">
        <v>8</v>
      </c>
      <c r="I79" s="309">
        <v>11065</v>
      </c>
      <c r="J79" s="310">
        <v>2255</v>
      </c>
      <c r="K79" s="222">
        <f>J79/G79</f>
        <v>161.07142857142858</v>
      </c>
      <c r="L79" s="230">
        <f>+I79/J79</f>
        <v>4.906873614190688</v>
      </c>
      <c r="M79" s="231">
        <v>11410388</v>
      </c>
      <c r="N79" s="222">
        <v>1409485</v>
      </c>
      <c r="O79" s="236">
        <f>+M79/N79</f>
        <v>8.095430600538494</v>
      </c>
      <c r="P79" s="345"/>
    </row>
    <row r="80" spans="1:16" ht="15">
      <c r="A80" s="66">
        <v>78</v>
      </c>
      <c r="B80" s="293" t="s">
        <v>14</v>
      </c>
      <c r="C80" s="286">
        <v>39808</v>
      </c>
      <c r="D80" s="285" t="s">
        <v>131</v>
      </c>
      <c r="E80" s="285" t="s">
        <v>124</v>
      </c>
      <c r="F80" s="287">
        <v>34</v>
      </c>
      <c r="G80" s="287">
        <v>8</v>
      </c>
      <c r="H80" s="287">
        <v>7</v>
      </c>
      <c r="I80" s="288">
        <v>10308</v>
      </c>
      <c r="J80" s="289">
        <v>1735</v>
      </c>
      <c r="K80" s="290">
        <f>J80/G80</f>
        <v>216.875</v>
      </c>
      <c r="L80" s="291">
        <f>I80/J80</f>
        <v>5.94121037463977</v>
      </c>
      <c r="M80" s="292">
        <v>901974</v>
      </c>
      <c r="N80" s="290">
        <v>90029</v>
      </c>
      <c r="O80" s="294">
        <f>+M80/N80</f>
        <v>10.018705083917405</v>
      </c>
      <c r="P80" s="345">
        <v>1</v>
      </c>
    </row>
    <row r="81" spans="1:16" ht="15">
      <c r="A81" s="66">
        <v>79</v>
      </c>
      <c r="B81" s="281" t="s">
        <v>160</v>
      </c>
      <c r="C81" s="40">
        <v>39787</v>
      </c>
      <c r="D81" s="261" t="s">
        <v>131</v>
      </c>
      <c r="E81" s="261" t="s">
        <v>138</v>
      </c>
      <c r="F81" s="262">
        <v>406</v>
      </c>
      <c r="G81" s="262">
        <v>10</v>
      </c>
      <c r="H81" s="262">
        <v>8</v>
      </c>
      <c r="I81" s="263">
        <v>9717</v>
      </c>
      <c r="J81" s="264">
        <v>1459</v>
      </c>
      <c r="K81" s="268">
        <f>J81/G81</f>
        <v>145.9</v>
      </c>
      <c r="L81" s="156">
        <f>+I81/J81</f>
        <v>6.660041124057574</v>
      </c>
      <c r="M81" s="267">
        <v>30385549</v>
      </c>
      <c r="N81" s="268">
        <v>3699205</v>
      </c>
      <c r="O81" s="103">
        <f>+M81/N81</f>
        <v>8.214075456753546</v>
      </c>
      <c r="P81" s="345">
        <v>1</v>
      </c>
    </row>
    <row r="82" spans="1:16" ht="15">
      <c r="A82" s="66">
        <v>80</v>
      </c>
      <c r="B82" s="281" t="s">
        <v>53</v>
      </c>
      <c r="C82" s="40">
        <v>39738</v>
      </c>
      <c r="D82" s="127" t="s">
        <v>134</v>
      </c>
      <c r="E82" s="261" t="s">
        <v>54</v>
      </c>
      <c r="F82" s="262">
        <v>67</v>
      </c>
      <c r="G82" s="262">
        <v>11</v>
      </c>
      <c r="H82" s="262">
        <v>15</v>
      </c>
      <c r="I82" s="273">
        <v>9422</v>
      </c>
      <c r="J82" s="274">
        <v>2170</v>
      </c>
      <c r="K82" s="275">
        <f>(J82/G82)</f>
        <v>197.27272727272728</v>
      </c>
      <c r="L82" s="159">
        <f>I82/J82</f>
        <v>4.341935483870968</v>
      </c>
      <c r="M82" s="276">
        <f>167196+176809+54428+37340+38330.5+23467+11581+5867+4382+2577+3552+2137+545+4006+9422</f>
        <v>541639.5</v>
      </c>
      <c r="N82" s="277">
        <f>19168+21164+7719+6215+6404+4964+2339+1306+907+580+859+440+127+905+2170</f>
        <v>75267</v>
      </c>
      <c r="O82" s="105">
        <f>M82/N82</f>
        <v>7.1962413806847625</v>
      </c>
      <c r="P82" s="345"/>
    </row>
    <row r="83" spans="1:16" ht="15">
      <c r="A83" s="66">
        <v>81</v>
      </c>
      <c r="B83" s="49" t="s">
        <v>69</v>
      </c>
      <c r="C83" s="40">
        <v>39766</v>
      </c>
      <c r="D83" s="45" t="s">
        <v>134</v>
      </c>
      <c r="E83" s="44" t="s">
        <v>50</v>
      </c>
      <c r="F83" s="41">
        <v>20</v>
      </c>
      <c r="G83" s="41">
        <v>13</v>
      </c>
      <c r="H83" s="41">
        <v>8</v>
      </c>
      <c r="I83" s="303">
        <v>9410</v>
      </c>
      <c r="J83" s="304">
        <v>1542</v>
      </c>
      <c r="K83" s="158">
        <f>(J83/G83)</f>
        <v>118.61538461538461</v>
      </c>
      <c r="L83" s="159">
        <f>I83/J83</f>
        <v>6.102464332036316</v>
      </c>
      <c r="M83" s="150">
        <f>109364.5+38539+31287+12101+5368+8640.5+12331+9410</f>
        <v>227041</v>
      </c>
      <c r="N83" s="151">
        <f>11866+4674+4443+2133+1061+1670+2334+1542</f>
        <v>29723</v>
      </c>
      <c r="O83" s="105">
        <f>M83/N83</f>
        <v>7.638562729199609</v>
      </c>
      <c r="P83" s="345">
        <v>1</v>
      </c>
    </row>
    <row r="84" spans="1:16" ht="15">
      <c r="A84" s="66">
        <v>82</v>
      </c>
      <c r="B84" s="53" t="s">
        <v>144</v>
      </c>
      <c r="C84" s="39">
        <v>39801</v>
      </c>
      <c r="D84" s="127" t="s">
        <v>130</v>
      </c>
      <c r="E84" s="127" t="s">
        <v>122</v>
      </c>
      <c r="F84" s="50">
        <v>69</v>
      </c>
      <c r="G84" s="50">
        <v>12</v>
      </c>
      <c r="H84" s="50">
        <v>6</v>
      </c>
      <c r="I84" s="273">
        <v>9385</v>
      </c>
      <c r="J84" s="274">
        <v>2124</v>
      </c>
      <c r="K84" s="275">
        <f>J84/G84</f>
        <v>177</v>
      </c>
      <c r="L84" s="159">
        <f>I84/J84</f>
        <v>4.4185499058380415</v>
      </c>
      <c r="M84" s="276">
        <f>820286+588484+413907+112495+41441-111+9385</f>
        <v>1985887</v>
      </c>
      <c r="N84" s="277">
        <f>83839+57678+42374+12212+5722-11+2124</f>
        <v>203938</v>
      </c>
      <c r="O84" s="105">
        <f>+M84/N84</f>
        <v>9.737699693043965</v>
      </c>
      <c r="P84" s="345"/>
    </row>
    <row r="85" spans="1:16" ht="15">
      <c r="A85" s="66">
        <v>83</v>
      </c>
      <c r="B85" s="49" t="s">
        <v>73</v>
      </c>
      <c r="C85" s="40">
        <v>39772</v>
      </c>
      <c r="D85" s="45" t="s">
        <v>134</v>
      </c>
      <c r="E85" s="44" t="s">
        <v>105</v>
      </c>
      <c r="F85" s="41">
        <v>195</v>
      </c>
      <c r="G85" s="41">
        <v>8</v>
      </c>
      <c r="H85" s="41">
        <v>7</v>
      </c>
      <c r="I85" s="303">
        <v>9376.5</v>
      </c>
      <c r="J85" s="304">
        <v>2234</v>
      </c>
      <c r="K85" s="158">
        <f>(J85/G85)</f>
        <v>279.25</v>
      </c>
      <c r="L85" s="159">
        <f>I85/J85</f>
        <v>4.197179946284691</v>
      </c>
      <c r="M85" s="150">
        <f>1011017+512350.5+217314+64545+38656.5+8087+9376.5</f>
        <v>1861346.5</v>
      </c>
      <c r="N85" s="151">
        <f>136878+68007+31396+9807+8372+1564+2234</f>
        <v>258258</v>
      </c>
      <c r="O85" s="105">
        <f>M85/N85</f>
        <v>7.207314003825632</v>
      </c>
      <c r="P85" s="345">
        <v>1</v>
      </c>
    </row>
    <row r="86" spans="1:16" ht="15">
      <c r="A86" s="66">
        <v>84</v>
      </c>
      <c r="B86" s="293" t="s">
        <v>70</v>
      </c>
      <c r="C86" s="286">
        <v>39766</v>
      </c>
      <c r="D86" s="285" t="s">
        <v>132</v>
      </c>
      <c r="E86" s="285" t="s">
        <v>71</v>
      </c>
      <c r="F86" s="287">
        <v>3</v>
      </c>
      <c r="G86" s="287">
        <v>3</v>
      </c>
      <c r="H86" s="287">
        <v>16</v>
      </c>
      <c r="I86" s="288">
        <v>9273</v>
      </c>
      <c r="J86" s="289">
        <v>1648</v>
      </c>
      <c r="K86" s="290">
        <f>J86/G86</f>
        <v>549.3333333333334</v>
      </c>
      <c r="L86" s="291">
        <f>IF(I86&lt;&gt;0,I86/J86,"")</f>
        <v>5.626820388349515</v>
      </c>
      <c r="M86" s="292">
        <v>287689</v>
      </c>
      <c r="N86" s="290">
        <v>54922</v>
      </c>
      <c r="O86" s="294">
        <f>+M86/N86</f>
        <v>5.238137722588398</v>
      </c>
      <c r="P86" s="345">
        <v>1</v>
      </c>
    </row>
    <row r="87" spans="1:16" ht="15">
      <c r="A87" s="66">
        <v>85</v>
      </c>
      <c r="B87" s="234" t="s">
        <v>69</v>
      </c>
      <c r="C87" s="229">
        <v>39766</v>
      </c>
      <c r="D87" s="217" t="s">
        <v>134</v>
      </c>
      <c r="E87" s="227" t="s">
        <v>50</v>
      </c>
      <c r="F87" s="228">
        <v>20</v>
      </c>
      <c r="G87" s="228">
        <v>9</v>
      </c>
      <c r="H87" s="228">
        <v>9</v>
      </c>
      <c r="I87" s="297">
        <v>9143</v>
      </c>
      <c r="J87" s="298">
        <v>1728</v>
      </c>
      <c r="K87" s="223">
        <f>(J87/G87)</f>
        <v>192</v>
      </c>
      <c r="L87" s="224">
        <f aca="true" t="shared" si="2" ref="L87:L104">I87/J87</f>
        <v>5.291087962962963</v>
      </c>
      <c r="M87" s="225">
        <f>109364.5+38539+31287+12101+5368+8640.5+12331+9410+9143</f>
        <v>236184</v>
      </c>
      <c r="N87" s="226">
        <f>11866+4674+4443+2133+1061+1670+2334+1542+1728</f>
        <v>31451</v>
      </c>
      <c r="O87" s="233">
        <f>M87/N87</f>
        <v>7.509586340656895</v>
      </c>
      <c r="P87" s="345"/>
    </row>
    <row r="88" spans="1:16" ht="15">
      <c r="A88" s="66">
        <v>86</v>
      </c>
      <c r="B88" s="293" t="s">
        <v>144</v>
      </c>
      <c r="C88" s="286">
        <v>39801</v>
      </c>
      <c r="D88" s="285" t="s">
        <v>130</v>
      </c>
      <c r="E88" s="285" t="s">
        <v>122</v>
      </c>
      <c r="F88" s="287">
        <v>69</v>
      </c>
      <c r="G88" s="287">
        <v>5</v>
      </c>
      <c r="H88" s="287">
        <v>8</v>
      </c>
      <c r="I88" s="288">
        <v>8718</v>
      </c>
      <c r="J88" s="289">
        <v>1256</v>
      </c>
      <c r="K88" s="290">
        <f>J88/G88</f>
        <v>251.2</v>
      </c>
      <c r="L88" s="291">
        <f t="shared" si="2"/>
        <v>6.941082802547771</v>
      </c>
      <c r="M88" s="292">
        <f>820286+588484+413907+112495+41441-111+9385+4586+8718</f>
        <v>1999191</v>
      </c>
      <c r="N88" s="290">
        <f>83839+57678+42374+12212+5722-11+2124+1350+1256</f>
        <v>206544</v>
      </c>
      <c r="O88" s="294">
        <f>+M88/N88</f>
        <v>9.679249941900999</v>
      </c>
      <c r="P88" s="345"/>
    </row>
    <row r="89" spans="1:16" ht="15">
      <c r="A89" s="66">
        <v>87</v>
      </c>
      <c r="B89" s="293" t="s">
        <v>53</v>
      </c>
      <c r="C89" s="286">
        <v>39738</v>
      </c>
      <c r="D89" s="285" t="s">
        <v>134</v>
      </c>
      <c r="E89" s="285" t="s">
        <v>54</v>
      </c>
      <c r="F89" s="287">
        <v>67</v>
      </c>
      <c r="G89" s="287">
        <v>8</v>
      </c>
      <c r="H89" s="287">
        <v>16</v>
      </c>
      <c r="I89" s="288">
        <v>7992</v>
      </c>
      <c r="J89" s="289">
        <v>1822</v>
      </c>
      <c r="K89" s="290">
        <f>(J89/G89)</f>
        <v>227.75</v>
      </c>
      <c r="L89" s="291">
        <f t="shared" si="2"/>
        <v>4.386388583973655</v>
      </c>
      <c r="M89" s="292">
        <f>167196+176809+54428+37340+38330.5+23467+11581+5867+4382+2577+3552+2137+545+4006+9422+7992</f>
        <v>549631.5</v>
      </c>
      <c r="N89" s="290">
        <f>19168+21164+7719+6215+6404+4964+2339+1306+907+580+859+440+127+905+2170+1822</f>
        <v>77089</v>
      </c>
      <c r="O89" s="294">
        <f>+M89/N89</f>
        <v>7.12983045570704</v>
      </c>
      <c r="P89" s="345">
        <v>1</v>
      </c>
    </row>
    <row r="90" spans="1:16" ht="15">
      <c r="A90" s="66">
        <v>88</v>
      </c>
      <c r="B90" s="293" t="s">
        <v>64</v>
      </c>
      <c r="C90" s="286">
        <v>39759</v>
      </c>
      <c r="D90" s="285" t="s">
        <v>65</v>
      </c>
      <c r="E90" s="285" t="s">
        <v>66</v>
      </c>
      <c r="F90" s="287">
        <v>7</v>
      </c>
      <c r="G90" s="287">
        <v>7</v>
      </c>
      <c r="H90" s="287">
        <v>21</v>
      </c>
      <c r="I90" s="288">
        <v>7428.5</v>
      </c>
      <c r="J90" s="289">
        <v>1361</v>
      </c>
      <c r="K90" s="290">
        <f>J90/G90</f>
        <v>194.42857142857142</v>
      </c>
      <c r="L90" s="291">
        <f t="shared" si="2"/>
        <v>5.458119030124908</v>
      </c>
      <c r="M90" s="292">
        <v>23371346.5</v>
      </c>
      <c r="N90" s="290">
        <v>2779817</v>
      </c>
      <c r="O90" s="294">
        <f>+M90/N90</f>
        <v>8.407512616837726</v>
      </c>
      <c r="P90" s="332">
        <v>1</v>
      </c>
    </row>
    <row r="91" spans="1:16" ht="15">
      <c r="A91" s="66">
        <v>89</v>
      </c>
      <c r="B91" s="293" t="s">
        <v>26</v>
      </c>
      <c r="C91" s="286">
        <v>39808</v>
      </c>
      <c r="D91" s="285" t="s">
        <v>134</v>
      </c>
      <c r="E91" s="285" t="s">
        <v>133</v>
      </c>
      <c r="F91" s="287">
        <v>75</v>
      </c>
      <c r="G91" s="287">
        <v>6</v>
      </c>
      <c r="H91" s="287">
        <v>8</v>
      </c>
      <c r="I91" s="288">
        <v>7402.5</v>
      </c>
      <c r="J91" s="289">
        <v>1623</v>
      </c>
      <c r="K91" s="290">
        <f>(J91/G91)</f>
        <v>270.5</v>
      </c>
      <c r="L91" s="291">
        <f t="shared" si="2"/>
        <v>4.560998151571164</v>
      </c>
      <c r="M91" s="292">
        <f>681566+578530+317284.5+141025.5+34373.5+6375+4225+7402.5</f>
        <v>1770782</v>
      </c>
      <c r="N91" s="290">
        <f>64102+57106+32401+16644+4655+1030+644+1623</f>
        <v>178205</v>
      </c>
      <c r="O91" s="294">
        <f>+M91/N91</f>
        <v>9.936769450913275</v>
      </c>
      <c r="P91" s="332">
        <v>1</v>
      </c>
    </row>
    <row r="92" spans="1:16" ht="15">
      <c r="A92" s="66">
        <v>90</v>
      </c>
      <c r="B92" s="49" t="s">
        <v>70</v>
      </c>
      <c r="C92" s="40">
        <v>39766</v>
      </c>
      <c r="D92" s="44" t="s">
        <v>132</v>
      </c>
      <c r="E92" s="44" t="s">
        <v>71</v>
      </c>
      <c r="F92" s="41">
        <v>24</v>
      </c>
      <c r="G92" s="41">
        <v>6</v>
      </c>
      <c r="H92" s="41">
        <v>10</v>
      </c>
      <c r="I92" s="307">
        <v>7289</v>
      </c>
      <c r="J92" s="308">
        <v>1185</v>
      </c>
      <c r="K92" s="158">
        <f>(J92/G92)</f>
        <v>197.5</v>
      </c>
      <c r="L92" s="159">
        <f t="shared" si="2"/>
        <v>6.151054852320675</v>
      </c>
      <c r="M92" s="154">
        <f>191668+16358.5+8305+0.5+19699.5+16705.5+7289</f>
        <v>260026</v>
      </c>
      <c r="N92" s="155">
        <f>10324+8249+7871+7121+4755+3362+1751+2958+2636+1185</f>
        <v>50212</v>
      </c>
      <c r="O92" s="105">
        <f>M92/N92</f>
        <v>5.178562893332272</v>
      </c>
      <c r="P92" s="332">
        <v>1</v>
      </c>
    </row>
    <row r="93" spans="1:16" ht="15">
      <c r="A93" s="66">
        <v>91</v>
      </c>
      <c r="B93" s="293" t="s">
        <v>44</v>
      </c>
      <c r="C93" s="286">
        <v>39780</v>
      </c>
      <c r="D93" s="285" t="s">
        <v>131</v>
      </c>
      <c r="E93" s="285" t="s">
        <v>127</v>
      </c>
      <c r="F93" s="287">
        <v>121</v>
      </c>
      <c r="G93" s="287">
        <v>11</v>
      </c>
      <c r="H93" s="287">
        <v>11</v>
      </c>
      <c r="I93" s="288">
        <v>7142</v>
      </c>
      <c r="J93" s="289">
        <v>1658</v>
      </c>
      <c r="K93" s="290">
        <f>J93/G93</f>
        <v>150.72727272727272</v>
      </c>
      <c r="L93" s="291">
        <f t="shared" si="2"/>
        <v>4.307599517490953</v>
      </c>
      <c r="M93" s="292">
        <v>3452849</v>
      </c>
      <c r="N93" s="290">
        <v>404945</v>
      </c>
      <c r="O93" s="294">
        <f>+M93/N93</f>
        <v>8.52671103483189</v>
      </c>
      <c r="P93" s="332"/>
    </row>
    <row r="94" spans="1:16" ht="15">
      <c r="A94" s="66">
        <v>92</v>
      </c>
      <c r="B94" s="293" t="s">
        <v>188</v>
      </c>
      <c r="C94" s="286">
        <v>37995</v>
      </c>
      <c r="D94" s="285" t="s">
        <v>92</v>
      </c>
      <c r="E94" s="285" t="s">
        <v>93</v>
      </c>
      <c r="F94" s="287">
        <v>66</v>
      </c>
      <c r="G94" s="287">
        <v>3</v>
      </c>
      <c r="H94" s="287">
        <v>19</v>
      </c>
      <c r="I94" s="288">
        <v>7128</v>
      </c>
      <c r="J94" s="289">
        <v>1782</v>
      </c>
      <c r="K94" s="290">
        <f>J94/G94</f>
        <v>594</v>
      </c>
      <c r="L94" s="291">
        <f t="shared" si="2"/>
        <v>4</v>
      </c>
      <c r="M94" s="292">
        <v>514860</v>
      </c>
      <c r="N94" s="290">
        <v>80093</v>
      </c>
      <c r="O94" s="294">
        <f>+M94/N94</f>
        <v>6.4282771278388875</v>
      </c>
      <c r="P94" s="321"/>
    </row>
    <row r="95" spans="1:16" ht="15">
      <c r="A95" s="66">
        <v>93</v>
      </c>
      <c r="B95" s="293" t="s">
        <v>189</v>
      </c>
      <c r="C95" s="286">
        <v>38478</v>
      </c>
      <c r="D95" s="285" t="s">
        <v>92</v>
      </c>
      <c r="E95" s="285" t="s">
        <v>190</v>
      </c>
      <c r="F95" s="287">
        <v>11</v>
      </c>
      <c r="G95" s="287">
        <v>3</v>
      </c>
      <c r="H95" s="287">
        <v>18</v>
      </c>
      <c r="I95" s="288">
        <v>7128</v>
      </c>
      <c r="J95" s="289">
        <v>1782</v>
      </c>
      <c r="K95" s="290">
        <f>J95/G95</f>
        <v>594</v>
      </c>
      <c r="L95" s="291">
        <f t="shared" si="2"/>
        <v>4</v>
      </c>
      <c r="M95" s="292">
        <v>31473</v>
      </c>
      <c r="N95" s="290">
        <v>6183</v>
      </c>
      <c r="O95" s="294">
        <f>+M95/N95</f>
        <v>5.090247452692868</v>
      </c>
      <c r="P95" s="321"/>
    </row>
    <row r="96" spans="1:16" ht="15">
      <c r="A96" s="66">
        <v>94</v>
      </c>
      <c r="B96" s="293" t="s">
        <v>163</v>
      </c>
      <c r="C96" s="286">
        <v>39766</v>
      </c>
      <c r="D96" s="285" t="s">
        <v>199</v>
      </c>
      <c r="E96" s="285" t="s">
        <v>200</v>
      </c>
      <c r="F96" s="287">
        <v>50</v>
      </c>
      <c r="G96" s="287">
        <v>4</v>
      </c>
      <c r="H96" s="287">
        <v>17</v>
      </c>
      <c r="I96" s="288">
        <v>7116</v>
      </c>
      <c r="J96" s="289">
        <v>1424</v>
      </c>
      <c r="K96" s="290">
        <f>J96/G96</f>
        <v>356</v>
      </c>
      <c r="L96" s="291">
        <f t="shared" si="2"/>
        <v>4.997191011235955</v>
      </c>
      <c r="M96" s="292">
        <v>232653</v>
      </c>
      <c r="N96" s="290">
        <v>34366</v>
      </c>
      <c r="O96" s="294">
        <f>+M96/N96</f>
        <v>6.769859745096898</v>
      </c>
      <c r="P96" s="321"/>
    </row>
    <row r="97" spans="1:16" ht="15">
      <c r="A97" s="66">
        <v>95</v>
      </c>
      <c r="B97" s="293" t="s">
        <v>70</v>
      </c>
      <c r="C97" s="286">
        <v>39766</v>
      </c>
      <c r="D97" s="285" t="s">
        <v>132</v>
      </c>
      <c r="E97" s="285" t="s">
        <v>71</v>
      </c>
      <c r="F97" s="287">
        <v>4</v>
      </c>
      <c r="G97" s="287">
        <v>4</v>
      </c>
      <c r="H97" s="287">
        <v>15</v>
      </c>
      <c r="I97" s="288">
        <v>6536.5</v>
      </c>
      <c r="J97" s="289">
        <v>961</v>
      </c>
      <c r="K97" s="290">
        <f>(J97/G97)</f>
        <v>240.25</v>
      </c>
      <c r="L97" s="291">
        <f t="shared" si="2"/>
        <v>6.801768990634756</v>
      </c>
      <c r="M97" s="292">
        <f>191668+16358.5+8305+0.5+19699.5+16705.5+7289+4467+3138+2267+1882+6536</f>
        <v>278316</v>
      </c>
      <c r="N97" s="290">
        <f>10324+8249+7871+7121+4755+3362+1751+2958+2636+1185+800+596+440+265+961</f>
        <v>53274</v>
      </c>
      <c r="O97" s="294">
        <f>M97/N97</f>
        <v>5.22423696362203</v>
      </c>
      <c r="P97" s="321">
        <v>1</v>
      </c>
    </row>
    <row r="98" spans="1:16" ht="15">
      <c r="A98" s="66">
        <v>96</v>
      </c>
      <c r="B98" s="293" t="s">
        <v>26</v>
      </c>
      <c r="C98" s="286">
        <v>39808</v>
      </c>
      <c r="D98" s="285" t="s">
        <v>134</v>
      </c>
      <c r="E98" s="285" t="s">
        <v>133</v>
      </c>
      <c r="F98" s="287">
        <v>75</v>
      </c>
      <c r="G98" s="287">
        <v>8</v>
      </c>
      <c r="H98" s="287">
        <v>6</v>
      </c>
      <c r="I98" s="288">
        <v>6375</v>
      </c>
      <c r="J98" s="289">
        <v>1030</v>
      </c>
      <c r="K98" s="290">
        <f>(J98/G98)</f>
        <v>128.75</v>
      </c>
      <c r="L98" s="291">
        <f t="shared" si="2"/>
        <v>6.189320388349515</v>
      </c>
      <c r="M98" s="292">
        <f>681566+578530+317284.5+141025.5+34373.5+6375</f>
        <v>1759154.5</v>
      </c>
      <c r="N98" s="290">
        <f>64102+57106+32401+16644+4655+1030</f>
        <v>175938</v>
      </c>
      <c r="O98" s="294">
        <f>+M98/N98</f>
        <v>9.998718298491514</v>
      </c>
      <c r="P98" s="321"/>
    </row>
    <row r="99" spans="1:16" ht="15">
      <c r="A99" s="66">
        <v>97</v>
      </c>
      <c r="B99" s="293" t="s">
        <v>72</v>
      </c>
      <c r="C99" s="286">
        <v>39773</v>
      </c>
      <c r="D99" s="285" t="s">
        <v>131</v>
      </c>
      <c r="E99" s="285" t="s">
        <v>126</v>
      </c>
      <c r="F99" s="287">
        <v>204</v>
      </c>
      <c r="G99" s="287">
        <v>6</v>
      </c>
      <c r="H99" s="287">
        <v>12</v>
      </c>
      <c r="I99" s="288">
        <v>6238</v>
      </c>
      <c r="J99" s="289">
        <v>2271</v>
      </c>
      <c r="K99" s="290">
        <f>J99/G99</f>
        <v>378.5</v>
      </c>
      <c r="L99" s="291">
        <f t="shared" si="2"/>
        <v>2.7468075737560547</v>
      </c>
      <c r="M99" s="292">
        <v>11437045</v>
      </c>
      <c r="N99" s="290">
        <v>1416123</v>
      </c>
      <c r="O99" s="294">
        <f>+M99/N99</f>
        <v>8.076307637119092</v>
      </c>
      <c r="P99" s="321"/>
    </row>
    <row r="100" spans="1:16" ht="15">
      <c r="A100" s="66">
        <v>98</v>
      </c>
      <c r="B100" s="49" t="s">
        <v>47</v>
      </c>
      <c r="C100" s="40">
        <v>39780</v>
      </c>
      <c r="D100" s="45" t="s">
        <v>134</v>
      </c>
      <c r="E100" s="44" t="s">
        <v>33</v>
      </c>
      <c r="F100" s="41">
        <v>6</v>
      </c>
      <c r="G100" s="41">
        <v>2</v>
      </c>
      <c r="H100" s="41">
        <v>7</v>
      </c>
      <c r="I100" s="303">
        <v>6202</v>
      </c>
      <c r="J100" s="304">
        <v>1523</v>
      </c>
      <c r="K100" s="158">
        <f>(J100/G100)</f>
        <v>761.5</v>
      </c>
      <c r="L100" s="159">
        <f t="shared" si="2"/>
        <v>4.072225869993434</v>
      </c>
      <c r="M100" s="150">
        <f>25457+3030+1123+7370+430+997+6202</f>
        <v>44609</v>
      </c>
      <c r="N100" s="151">
        <f>2151+404+165+1079+59+230+1523</f>
        <v>5611</v>
      </c>
      <c r="O100" s="105">
        <f>M100/N100</f>
        <v>7.9502762430939224</v>
      </c>
      <c r="P100" s="321">
        <v>1</v>
      </c>
    </row>
    <row r="101" spans="1:16" ht="15">
      <c r="A101" s="66">
        <v>99</v>
      </c>
      <c r="B101" s="318" t="s">
        <v>139</v>
      </c>
      <c r="C101" s="286">
        <v>39787</v>
      </c>
      <c r="D101" s="285" t="s">
        <v>132</v>
      </c>
      <c r="E101" s="285" t="s">
        <v>140</v>
      </c>
      <c r="F101" s="287">
        <v>242</v>
      </c>
      <c r="G101" s="287">
        <v>1</v>
      </c>
      <c r="H101" s="287">
        <v>17</v>
      </c>
      <c r="I101" s="292">
        <v>6035</v>
      </c>
      <c r="J101" s="290">
        <v>1509</v>
      </c>
      <c r="K101" s="290">
        <f>J101/G101</f>
        <v>1509</v>
      </c>
      <c r="L101" s="291">
        <f t="shared" si="2"/>
        <v>3.9993373094764744</v>
      </c>
      <c r="M101" s="292">
        <f>9280968+4694050.5+1992628+1117778+528440.5+225948.5+100229.5+60712.5+23747.5+18022-1837+3858+1591+1095+16460.5+3147+260+6035</f>
        <v>18073134.5</v>
      </c>
      <c r="N101" s="290">
        <f>1147876+614752+261380+141495+73035+33259+17736+11735+4194+3845-458+781+321+218+3333+770+49+1509</f>
        <v>2315830</v>
      </c>
      <c r="O101" s="294">
        <f>+M101/N101</f>
        <v>7.80417150654409</v>
      </c>
      <c r="P101" s="321"/>
    </row>
    <row r="102" spans="1:16" ht="15">
      <c r="A102" s="66">
        <v>100</v>
      </c>
      <c r="B102" s="293" t="s">
        <v>142</v>
      </c>
      <c r="C102" s="286">
        <v>39794</v>
      </c>
      <c r="D102" s="285" t="s">
        <v>134</v>
      </c>
      <c r="E102" s="285" t="s">
        <v>133</v>
      </c>
      <c r="F102" s="287">
        <v>100</v>
      </c>
      <c r="G102" s="287">
        <v>2</v>
      </c>
      <c r="H102" s="287">
        <v>14</v>
      </c>
      <c r="I102" s="288">
        <v>5940</v>
      </c>
      <c r="J102" s="289">
        <v>1485</v>
      </c>
      <c r="K102" s="290">
        <f>(J102/G102)</f>
        <v>742.5</v>
      </c>
      <c r="L102" s="291">
        <f t="shared" si="2"/>
        <v>4</v>
      </c>
      <c r="M102" s="292">
        <f>1276778.5+626123+380324+112679.5+54533+36086+4129+3620.5+4348+1030+1904+420+1049+5940</f>
        <v>2508964.5</v>
      </c>
      <c r="N102" s="290">
        <f>133555+68793+41581+14968+8873+6454+539+324+976+204+524+65+169+1485</f>
        <v>278510</v>
      </c>
      <c r="O102" s="294">
        <f>M102/N102</f>
        <v>9.008525726185775</v>
      </c>
      <c r="P102" s="321">
        <v>1</v>
      </c>
    </row>
    <row r="103" spans="1:16" ht="15">
      <c r="A103" s="66">
        <v>101</v>
      </c>
      <c r="B103" s="234" t="s">
        <v>73</v>
      </c>
      <c r="C103" s="229">
        <v>39772</v>
      </c>
      <c r="D103" s="217" t="s">
        <v>134</v>
      </c>
      <c r="E103" s="227" t="s">
        <v>105</v>
      </c>
      <c r="F103" s="228">
        <v>195</v>
      </c>
      <c r="G103" s="228">
        <v>7</v>
      </c>
      <c r="H103" s="228">
        <v>8</v>
      </c>
      <c r="I103" s="297">
        <v>5786</v>
      </c>
      <c r="J103" s="298">
        <v>1216</v>
      </c>
      <c r="K103" s="223">
        <f>(J103/G103)</f>
        <v>173.71428571428572</v>
      </c>
      <c r="L103" s="224">
        <f t="shared" si="2"/>
        <v>4.7582236842105265</v>
      </c>
      <c r="M103" s="225">
        <f>1011017+512350.5+217314+64545+38656.5+8087+9376.5+5786</f>
        <v>1867132.5</v>
      </c>
      <c r="N103" s="226">
        <f>136878+68007+31396+9807+8372+1564+2234+1216</f>
        <v>259474</v>
      </c>
      <c r="O103" s="233">
        <f>M103/N103</f>
        <v>7.19583657707516</v>
      </c>
      <c r="P103" s="321">
        <v>1</v>
      </c>
    </row>
    <row r="104" spans="1:16" ht="15">
      <c r="A104" s="66">
        <v>102</v>
      </c>
      <c r="B104" s="49" t="s">
        <v>69</v>
      </c>
      <c r="C104" s="40">
        <v>39766</v>
      </c>
      <c r="D104" s="45" t="s">
        <v>134</v>
      </c>
      <c r="E104" s="44" t="s">
        <v>50</v>
      </c>
      <c r="F104" s="41">
        <v>20</v>
      </c>
      <c r="G104" s="41">
        <v>5</v>
      </c>
      <c r="H104" s="41">
        <v>10</v>
      </c>
      <c r="I104" s="303">
        <v>5719</v>
      </c>
      <c r="J104" s="304">
        <v>1224</v>
      </c>
      <c r="K104" s="158">
        <f>(J104/G104)</f>
        <v>244.8</v>
      </c>
      <c r="L104" s="159">
        <f t="shared" si="2"/>
        <v>4.6723856209150325</v>
      </c>
      <c r="M104" s="150">
        <f>109364.5+38539+31287+12101+5368+8640.5+12331+9410+9143+5719</f>
        <v>241903</v>
      </c>
      <c r="N104" s="151">
        <f>11866+4674+4443+2133+1061+1670+2334+1542+1728+1224</f>
        <v>32675</v>
      </c>
      <c r="O104" s="105">
        <f>M104/N104</f>
        <v>7.403305279265494</v>
      </c>
      <c r="P104" s="321">
        <v>1</v>
      </c>
    </row>
    <row r="105" spans="1:16" ht="15">
      <c r="A105" s="66">
        <v>103</v>
      </c>
      <c r="B105" s="281" t="s">
        <v>72</v>
      </c>
      <c r="C105" s="40">
        <v>39773</v>
      </c>
      <c r="D105" s="261" t="s">
        <v>131</v>
      </c>
      <c r="E105" s="261" t="s">
        <v>161</v>
      </c>
      <c r="F105" s="262">
        <v>204</v>
      </c>
      <c r="G105" s="262">
        <v>7</v>
      </c>
      <c r="H105" s="262">
        <v>10</v>
      </c>
      <c r="I105" s="263">
        <v>5694</v>
      </c>
      <c r="J105" s="264">
        <v>1248</v>
      </c>
      <c r="K105" s="268">
        <f>J105/G105</f>
        <v>178.28571428571428</v>
      </c>
      <c r="L105" s="156">
        <f>+I105/J105</f>
        <v>4.5625</v>
      </c>
      <c r="M105" s="267">
        <v>11427196</v>
      </c>
      <c r="N105" s="268">
        <v>1412742</v>
      </c>
      <c r="O105" s="103">
        <f>+M105/N105</f>
        <v>8.088664455364107</v>
      </c>
      <c r="P105" s="321">
        <v>1</v>
      </c>
    </row>
    <row r="106" spans="1:16" ht="15">
      <c r="A106" s="66">
        <v>104</v>
      </c>
      <c r="B106" s="293" t="s">
        <v>25</v>
      </c>
      <c r="C106" s="286">
        <v>39808</v>
      </c>
      <c r="D106" s="285" t="s">
        <v>131</v>
      </c>
      <c r="E106" s="285" t="s">
        <v>111</v>
      </c>
      <c r="F106" s="287">
        <v>112</v>
      </c>
      <c r="G106" s="287">
        <v>6</v>
      </c>
      <c r="H106" s="287">
        <v>14</v>
      </c>
      <c r="I106" s="288">
        <v>5668</v>
      </c>
      <c r="J106" s="289">
        <v>957</v>
      </c>
      <c r="K106" s="290">
        <f>J106/G106</f>
        <v>159.5</v>
      </c>
      <c r="L106" s="291">
        <f>+I106/J106</f>
        <v>5.922675026123302</v>
      </c>
      <c r="M106" s="292">
        <v>2048337</v>
      </c>
      <c r="N106" s="290">
        <v>211629</v>
      </c>
      <c r="O106" s="294">
        <f>+M106/N106</f>
        <v>9.678905064995819</v>
      </c>
      <c r="P106" s="321">
        <v>1</v>
      </c>
    </row>
    <row r="107" spans="1:16" ht="15">
      <c r="A107" s="66">
        <v>105</v>
      </c>
      <c r="B107" s="293" t="s">
        <v>69</v>
      </c>
      <c r="C107" s="286">
        <v>39766</v>
      </c>
      <c r="D107" s="285" t="s">
        <v>134</v>
      </c>
      <c r="E107" s="285" t="s">
        <v>50</v>
      </c>
      <c r="F107" s="287">
        <v>20</v>
      </c>
      <c r="G107" s="287">
        <v>6</v>
      </c>
      <c r="H107" s="287">
        <v>16</v>
      </c>
      <c r="I107" s="292">
        <v>5587</v>
      </c>
      <c r="J107" s="290">
        <v>749</v>
      </c>
      <c r="K107" s="290">
        <f>(J107/G107)</f>
        <v>124.83333333333333</v>
      </c>
      <c r="L107" s="291">
        <f>I107/J107</f>
        <v>7.459279038718291</v>
      </c>
      <c r="M107" s="292">
        <f>109364.5+38539+31287+12101+5368+8640.5+12331+9410+9143+5719+2775+1424+1017+338+1223+1447+5587</f>
        <v>255714</v>
      </c>
      <c r="N107" s="290">
        <f>11866+4674+4443+2133+1061+1670+2334+1542+1728+1224+544+356+207+68+185+229+749</f>
        <v>35013</v>
      </c>
      <c r="O107" s="294">
        <f>M107/N107</f>
        <v>7.303401593693771</v>
      </c>
      <c r="P107" s="321"/>
    </row>
    <row r="108" spans="1:16" ht="15">
      <c r="A108" s="66">
        <v>106</v>
      </c>
      <c r="B108" s="53" t="s">
        <v>145</v>
      </c>
      <c r="C108" s="39">
        <v>39801</v>
      </c>
      <c r="D108" s="127" t="s">
        <v>136</v>
      </c>
      <c r="E108" s="127" t="s">
        <v>146</v>
      </c>
      <c r="F108" s="50">
        <v>84</v>
      </c>
      <c r="G108" s="50">
        <v>10</v>
      </c>
      <c r="H108" s="50">
        <v>6</v>
      </c>
      <c r="I108" s="269">
        <v>5392.5</v>
      </c>
      <c r="J108" s="270">
        <v>1094</v>
      </c>
      <c r="K108" s="271">
        <f>IF(I108&lt;&gt;0,J108/G108,"")</f>
        <v>109.4</v>
      </c>
      <c r="L108" s="153">
        <f>IF(I108&lt;&gt;0,I108/J108,"")</f>
        <v>4.9291590493601465</v>
      </c>
      <c r="M108" s="272">
        <f>369313.5+145108.5+43813+31258+11772.5+5392.5</f>
        <v>606658</v>
      </c>
      <c r="N108" s="268">
        <f>41017+16460+6346+5364+2357+1094</f>
        <v>72638</v>
      </c>
      <c r="O108" s="104">
        <f>IF(M108&lt;&gt;0,M108/N108,"")</f>
        <v>8.351799333682095</v>
      </c>
      <c r="P108" s="321"/>
    </row>
    <row r="109" spans="1:16" ht="15">
      <c r="A109" s="66">
        <v>107</v>
      </c>
      <c r="B109" s="49" t="s">
        <v>67</v>
      </c>
      <c r="C109" s="40">
        <v>39759</v>
      </c>
      <c r="D109" s="45" t="s">
        <v>134</v>
      </c>
      <c r="E109" s="44" t="s">
        <v>143</v>
      </c>
      <c r="F109" s="41">
        <v>93</v>
      </c>
      <c r="G109" s="41">
        <v>4</v>
      </c>
      <c r="H109" s="41">
        <v>9</v>
      </c>
      <c r="I109" s="303">
        <v>5279</v>
      </c>
      <c r="J109" s="304">
        <v>685</v>
      </c>
      <c r="K109" s="158">
        <f>(J109/G109)</f>
        <v>171.25</v>
      </c>
      <c r="L109" s="159">
        <f>I109/J109</f>
        <v>7.706569343065693</v>
      </c>
      <c r="M109" s="150">
        <f>224223+136351+27895+24212+1274+3482+7147+2804+5279</f>
        <v>432667</v>
      </c>
      <c r="N109" s="151">
        <f>27969+18593+4268+4646+311+857+1472+745+685</f>
        <v>59546</v>
      </c>
      <c r="O109" s="105">
        <f>M109/N109</f>
        <v>7.26609679911329</v>
      </c>
      <c r="P109" s="321"/>
    </row>
    <row r="110" spans="1:16" ht="15">
      <c r="A110" s="66">
        <v>108</v>
      </c>
      <c r="B110" s="53" t="s">
        <v>58</v>
      </c>
      <c r="C110" s="39">
        <v>39745</v>
      </c>
      <c r="D110" s="45" t="s">
        <v>4</v>
      </c>
      <c r="E110" s="45" t="s">
        <v>59</v>
      </c>
      <c r="F110" s="50">
        <v>72</v>
      </c>
      <c r="G110" s="50">
        <v>14</v>
      </c>
      <c r="H110" s="50">
        <v>33</v>
      </c>
      <c r="I110" s="303">
        <v>5244</v>
      </c>
      <c r="J110" s="304">
        <v>1024</v>
      </c>
      <c r="K110" s="152">
        <f>+J110/G110</f>
        <v>73.14285714285714</v>
      </c>
      <c r="L110" s="153">
        <f>+I110/J110</f>
        <v>5.12109375</v>
      </c>
      <c r="M110" s="150">
        <v>1646541</v>
      </c>
      <c r="N110" s="151">
        <v>186404</v>
      </c>
      <c r="O110" s="104">
        <f>+M110/N110</f>
        <v>8.83318491019506</v>
      </c>
      <c r="P110" s="332">
        <v>1</v>
      </c>
    </row>
    <row r="111" spans="1:16" ht="15">
      <c r="A111" s="66">
        <v>109</v>
      </c>
      <c r="B111" s="293" t="s">
        <v>53</v>
      </c>
      <c r="C111" s="286">
        <v>39738</v>
      </c>
      <c r="D111" s="285" t="s">
        <v>134</v>
      </c>
      <c r="E111" s="285" t="s">
        <v>54</v>
      </c>
      <c r="F111" s="287">
        <v>67</v>
      </c>
      <c r="G111" s="287">
        <v>7</v>
      </c>
      <c r="H111" s="287">
        <v>17</v>
      </c>
      <c r="I111" s="288">
        <v>4936</v>
      </c>
      <c r="J111" s="289">
        <v>1050</v>
      </c>
      <c r="K111" s="290">
        <f>(J111/G111)</f>
        <v>150</v>
      </c>
      <c r="L111" s="291">
        <f>I111/J111</f>
        <v>4.700952380952381</v>
      </c>
      <c r="M111" s="292">
        <f>167196+176809+54428+37340+38330.5+23467+11581+5867+4382+2577+3552+2137+545+4006+9422+7992+4936</f>
        <v>554567.5</v>
      </c>
      <c r="N111" s="290">
        <f>19168+21164+7719+6215+6404+4964+2339+1306+907+580+859+440+127+905+2170+1822+1050</f>
        <v>78139</v>
      </c>
      <c r="O111" s="294">
        <f>M111/N111</f>
        <v>7.097192183160778</v>
      </c>
      <c r="P111" s="321">
        <v>1</v>
      </c>
    </row>
    <row r="112" spans="1:16" ht="15">
      <c r="A112" s="66">
        <v>110</v>
      </c>
      <c r="B112" s="53" t="s">
        <v>149</v>
      </c>
      <c r="C112" s="39">
        <v>39801</v>
      </c>
      <c r="D112" s="45" t="s">
        <v>4</v>
      </c>
      <c r="E112" s="45" t="s">
        <v>77</v>
      </c>
      <c r="F112" s="50">
        <v>19</v>
      </c>
      <c r="G112" s="50">
        <v>9</v>
      </c>
      <c r="H112" s="50">
        <v>3</v>
      </c>
      <c r="I112" s="303">
        <v>4887</v>
      </c>
      <c r="J112" s="304">
        <v>751</v>
      </c>
      <c r="K112" s="152">
        <f>+J112/G112</f>
        <v>83.44444444444444</v>
      </c>
      <c r="L112" s="153">
        <f>+I112/J112</f>
        <v>6.507323568575233</v>
      </c>
      <c r="M112" s="150">
        <v>136638</v>
      </c>
      <c r="N112" s="151">
        <v>12656</v>
      </c>
      <c r="O112" s="104">
        <f>+M112/N112</f>
        <v>10.796302149178256</v>
      </c>
      <c r="P112" s="321"/>
    </row>
    <row r="113" spans="1:16" ht="15">
      <c r="A113" s="66">
        <v>111</v>
      </c>
      <c r="B113" s="49" t="s">
        <v>45</v>
      </c>
      <c r="C113" s="40">
        <v>39780</v>
      </c>
      <c r="D113" s="45" t="s">
        <v>134</v>
      </c>
      <c r="E113" s="44" t="s">
        <v>78</v>
      </c>
      <c r="F113" s="41">
        <v>61</v>
      </c>
      <c r="G113" s="41">
        <v>8</v>
      </c>
      <c r="H113" s="41">
        <v>6</v>
      </c>
      <c r="I113" s="303">
        <v>4772</v>
      </c>
      <c r="J113" s="304">
        <v>944</v>
      </c>
      <c r="K113" s="158">
        <f>(J113/G113)</f>
        <v>118</v>
      </c>
      <c r="L113" s="159">
        <f aca="true" t="shared" si="3" ref="L113:L120">I113/J113</f>
        <v>5.055084745762712</v>
      </c>
      <c r="M113" s="150">
        <f>499000.5+313125.5+89561.5+27980+2002.5+4772</f>
        <v>936442</v>
      </c>
      <c r="N113" s="151">
        <f>48458+27725+9315+4737+330+944</f>
        <v>91509</v>
      </c>
      <c r="O113" s="105">
        <f>M113/N113</f>
        <v>10.233332240544646</v>
      </c>
      <c r="P113" s="321">
        <v>1</v>
      </c>
    </row>
    <row r="114" spans="1:16" ht="15">
      <c r="A114" s="66">
        <v>112</v>
      </c>
      <c r="B114" s="293" t="s">
        <v>144</v>
      </c>
      <c r="C114" s="286">
        <v>39801</v>
      </c>
      <c r="D114" s="285" t="s">
        <v>130</v>
      </c>
      <c r="E114" s="285" t="s">
        <v>122</v>
      </c>
      <c r="F114" s="287">
        <v>69</v>
      </c>
      <c r="G114" s="287">
        <v>6</v>
      </c>
      <c r="H114" s="287">
        <v>7</v>
      </c>
      <c r="I114" s="288">
        <v>4586</v>
      </c>
      <c r="J114" s="289">
        <v>1350</v>
      </c>
      <c r="K114" s="290">
        <f>J114/G114</f>
        <v>225</v>
      </c>
      <c r="L114" s="291">
        <f t="shared" si="3"/>
        <v>3.397037037037037</v>
      </c>
      <c r="M114" s="292">
        <f>820286+588484+413907+112495+41441-111+9385+4586</f>
        <v>1990473</v>
      </c>
      <c r="N114" s="290">
        <f>83839+57678+42374+12212+5722-11+2124+1350</f>
        <v>205288</v>
      </c>
      <c r="O114" s="294">
        <f>+M114/N114</f>
        <v>9.696002688905343</v>
      </c>
      <c r="P114" s="321">
        <v>1</v>
      </c>
    </row>
    <row r="115" spans="1:16" ht="15">
      <c r="A115" s="66">
        <v>113</v>
      </c>
      <c r="B115" s="49" t="s">
        <v>147</v>
      </c>
      <c r="C115" s="39">
        <v>39801</v>
      </c>
      <c r="D115" s="44" t="s">
        <v>134</v>
      </c>
      <c r="E115" s="44" t="s">
        <v>148</v>
      </c>
      <c r="F115" s="41">
        <v>42</v>
      </c>
      <c r="G115" s="41">
        <v>4</v>
      </c>
      <c r="H115" s="41">
        <v>17</v>
      </c>
      <c r="I115" s="307">
        <v>4493</v>
      </c>
      <c r="J115" s="308">
        <v>882</v>
      </c>
      <c r="K115" s="155">
        <f>(J115/G115)</f>
        <v>220.5</v>
      </c>
      <c r="L115" s="156">
        <f t="shared" si="3"/>
        <v>5.094104308390023</v>
      </c>
      <c r="M115" s="154">
        <f>295344+204961.5+145464.5+116108.5+111972.5+49984+26327+32042+18579+20005+19180+15980+2686.5+3166.5+366+13433+4493</f>
        <v>1080093</v>
      </c>
      <c r="N115" s="155">
        <f>36142+24747+19417+15404+14719+7567+3314+5289+3173+3275+3534+2826+540+724+52+2536+882</f>
        <v>144141</v>
      </c>
      <c r="O115" s="103">
        <f>M115/N115</f>
        <v>7.493308635294607</v>
      </c>
      <c r="P115" s="321"/>
    </row>
    <row r="116" spans="1:16" ht="15">
      <c r="A116" s="66">
        <v>114</v>
      </c>
      <c r="B116" s="293" t="s">
        <v>26</v>
      </c>
      <c r="C116" s="286">
        <v>39808</v>
      </c>
      <c r="D116" s="285" t="s">
        <v>134</v>
      </c>
      <c r="E116" s="285" t="s">
        <v>133</v>
      </c>
      <c r="F116" s="287">
        <v>75</v>
      </c>
      <c r="G116" s="287">
        <v>5</v>
      </c>
      <c r="H116" s="287">
        <v>10</v>
      </c>
      <c r="I116" s="288">
        <v>4479</v>
      </c>
      <c r="J116" s="289">
        <v>828</v>
      </c>
      <c r="K116" s="290">
        <f>(J116/G116)</f>
        <v>165.6</v>
      </c>
      <c r="L116" s="291">
        <f t="shared" si="3"/>
        <v>5.409420289855072</v>
      </c>
      <c r="M116" s="292">
        <f>681566+578530+317284.5+141025.5+34373.5+6375+4225+7402.5+1014+4479</f>
        <v>1776275</v>
      </c>
      <c r="N116" s="290">
        <f>64102+57106+32401+16644+4655+1030+644+1623+143+828</f>
        <v>179176</v>
      </c>
      <c r="O116" s="294">
        <f>M116/N116</f>
        <v>9.913576595079698</v>
      </c>
      <c r="P116" s="321"/>
    </row>
    <row r="117" spans="1:16" ht="15">
      <c r="A117" s="66">
        <v>115</v>
      </c>
      <c r="B117" s="281" t="s">
        <v>70</v>
      </c>
      <c r="C117" s="40">
        <v>39766</v>
      </c>
      <c r="D117" s="261" t="s">
        <v>132</v>
      </c>
      <c r="E117" s="261" t="s">
        <v>71</v>
      </c>
      <c r="F117" s="262">
        <v>5</v>
      </c>
      <c r="G117" s="262">
        <v>5</v>
      </c>
      <c r="H117" s="262">
        <v>11</v>
      </c>
      <c r="I117" s="263">
        <v>4467</v>
      </c>
      <c r="J117" s="264">
        <v>800</v>
      </c>
      <c r="K117" s="265">
        <f>J117/G117</f>
        <v>160</v>
      </c>
      <c r="L117" s="266">
        <f t="shared" si="3"/>
        <v>5.58375</v>
      </c>
      <c r="M117" s="267">
        <f>191668+16358.5+8305+0.5+19699.5+16705.5+7289+4467</f>
        <v>264493</v>
      </c>
      <c r="N117" s="268">
        <f>10324+8249+7871+7121+4755+3362+1751+2958+2636+1185+800</f>
        <v>51012</v>
      </c>
      <c r="O117" s="282">
        <f>M117/N117</f>
        <v>5.184917274366816</v>
      </c>
      <c r="P117" s="321">
        <v>1</v>
      </c>
    </row>
    <row r="118" spans="1:16" ht="15">
      <c r="A118" s="66">
        <v>116</v>
      </c>
      <c r="B118" s="293" t="s">
        <v>233</v>
      </c>
      <c r="C118" s="286">
        <v>38800</v>
      </c>
      <c r="D118" s="285" t="s">
        <v>136</v>
      </c>
      <c r="E118" s="285" t="s">
        <v>232</v>
      </c>
      <c r="F118" s="287">
        <v>58</v>
      </c>
      <c r="G118" s="287">
        <v>1</v>
      </c>
      <c r="H118" s="287">
        <v>35</v>
      </c>
      <c r="I118" s="288">
        <v>4398</v>
      </c>
      <c r="J118" s="289">
        <v>880</v>
      </c>
      <c r="K118" s="290">
        <f>J118/G118</f>
        <v>880</v>
      </c>
      <c r="L118" s="291">
        <f t="shared" si="3"/>
        <v>4.997727272727273</v>
      </c>
      <c r="M118" s="292">
        <v>887325.4</v>
      </c>
      <c r="N118" s="290">
        <v>136390</v>
      </c>
      <c r="O118" s="294">
        <f>+M118/N118</f>
        <v>6.505795146271721</v>
      </c>
      <c r="P118" s="321"/>
    </row>
    <row r="119" spans="1:16" ht="15">
      <c r="A119" s="66">
        <v>117</v>
      </c>
      <c r="B119" s="293" t="s">
        <v>231</v>
      </c>
      <c r="C119" s="286">
        <v>39164</v>
      </c>
      <c r="D119" s="285" t="s">
        <v>136</v>
      </c>
      <c r="E119" s="285" t="s">
        <v>232</v>
      </c>
      <c r="F119" s="287">
        <v>118</v>
      </c>
      <c r="G119" s="287">
        <v>1</v>
      </c>
      <c r="H119" s="287">
        <v>31</v>
      </c>
      <c r="I119" s="288">
        <v>4398</v>
      </c>
      <c r="J119" s="289">
        <v>880</v>
      </c>
      <c r="K119" s="290">
        <f>J119/G119</f>
        <v>880</v>
      </c>
      <c r="L119" s="291">
        <f t="shared" si="3"/>
        <v>4.997727272727273</v>
      </c>
      <c r="M119" s="292">
        <v>1513399.5</v>
      </c>
      <c r="N119" s="290">
        <v>202459</v>
      </c>
      <c r="O119" s="294">
        <f>+M119/N119</f>
        <v>7.475091253043826</v>
      </c>
      <c r="P119" s="321"/>
    </row>
    <row r="120" spans="1:16" ht="15">
      <c r="A120" s="66">
        <v>118</v>
      </c>
      <c r="B120" s="293" t="s">
        <v>142</v>
      </c>
      <c r="C120" s="286">
        <v>39794</v>
      </c>
      <c r="D120" s="285" t="s">
        <v>134</v>
      </c>
      <c r="E120" s="285" t="s">
        <v>133</v>
      </c>
      <c r="F120" s="287">
        <v>100</v>
      </c>
      <c r="G120" s="287">
        <v>5</v>
      </c>
      <c r="H120" s="287">
        <v>9</v>
      </c>
      <c r="I120" s="288">
        <v>4348</v>
      </c>
      <c r="J120" s="289">
        <v>976</v>
      </c>
      <c r="K120" s="290">
        <f>(J120/G120)</f>
        <v>195.2</v>
      </c>
      <c r="L120" s="291">
        <f t="shared" si="3"/>
        <v>4.454918032786885</v>
      </c>
      <c r="M120" s="292">
        <f>1276778.5+626123+380324+112679.5+54533+36086+4129+3620.5+4348</f>
        <v>2498621.5</v>
      </c>
      <c r="N120" s="290">
        <f>133555+68793+41581+14968+8873+6454+539+324+976</f>
        <v>276063</v>
      </c>
      <c r="O120" s="294">
        <f>M120/N120</f>
        <v>9.05091048057871</v>
      </c>
      <c r="P120" s="321">
        <v>1</v>
      </c>
    </row>
    <row r="121" spans="1:16" ht="15">
      <c r="A121" s="66">
        <v>119</v>
      </c>
      <c r="B121" s="48" t="s">
        <v>56</v>
      </c>
      <c r="C121" s="39">
        <v>39745</v>
      </c>
      <c r="D121" s="42" t="s">
        <v>136</v>
      </c>
      <c r="E121" s="42" t="s">
        <v>46</v>
      </c>
      <c r="F121" s="54">
        <v>104</v>
      </c>
      <c r="G121" s="54">
        <v>6</v>
      </c>
      <c r="H121" s="54">
        <v>11</v>
      </c>
      <c r="I121" s="305">
        <v>4346</v>
      </c>
      <c r="J121" s="306">
        <v>1003</v>
      </c>
      <c r="K121" s="152">
        <f>IF(I121&lt;&gt;0,J121/G121,"")</f>
        <v>167.16666666666666</v>
      </c>
      <c r="L121" s="153">
        <f>IF(I121&lt;&gt;0,I121/J121,"")</f>
        <v>4.333000997008973</v>
      </c>
      <c r="M121" s="157">
        <f>821522+622841.5+494230+434015.5+185757.5+145248.5+16130+16159+2033+6489+4346</f>
        <v>2748772</v>
      </c>
      <c r="N121" s="155">
        <f>99216+78381+65128+58419+30420+24530+3077+3918+431+1704+1003</f>
        <v>366227</v>
      </c>
      <c r="O121" s="104">
        <f>IF(M121&lt;&gt;0,M121/N121,"")</f>
        <v>7.505650866812114</v>
      </c>
      <c r="P121" s="321"/>
    </row>
    <row r="122" spans="1:16" ht="15">
      <c r="A122" s="66">
        <v>120</v>
      </c>
      <c r="B122" s="363" t="s">
        <v>167</v>
      </c>
      <c r="C122" s="39">
        <v>39766</v>
      </c>
      <c r="D122" s="44" t="s">
        <v>282</v>
      </c>
      <c r="E122" s="44" t="s">
        <v>168</v>
      </c>
      <c r="F122" s="41">
        <v>17</v>
      </c>
      <c r="G122" s="41">
        <v>3</v>
      </c>
      <c r="H122" s="41">
        <v>20</v>
      </c>
      <c r="I122" s="267">
        <v>4306</v>
      </c>
      <c r="J122" s="155">
        <v>837</v>
      </c>
      <c r="K122" s="155">
        <f>J122/G122</f>
        <v>279</v>
      </c>
      <c r="L122" s="356">
        <f aca="true" t="shared" si="4" ref="L122:L127">I122/J122</f>
        <v>5.144563918757467</v>
      </c>
      <c r="M122" s="267">
        <v>83743</v>
      </c>
      <c r="N122" s="155">
        <v>11888</v>
      </c>
      <c r="O122" s="357">
        <f>+M122/N122</f>
        <v>7.044330417227457</v>
      </c>
      <c r="P122" s="332">
        <v>1</v>
      </c>
    </row>
    <row r="123" spans="1:16" ht="15">
      <c r="A123" s="66">
        <v>121</v>
      </c>
      <c r="B123" s="293" t="s">
        <v>26</v>
      </c>
      <c r="C123" s="286">
        <v>39808</v>
      </c>
      <c r="D123" s="285" t="s">
        <v>134</v>
      </c>
      <c r="E123" s="285" t="s">
        <v>133</v>
      </c>
      <c r="F123" s="287">
        <v>75</v>
      </c>
      <c r="G123" s="287">
        <v>8</v>
      </c>
      <c r="H123" s="287">
        <v>7</v>
      </c>
      <c r="I123" s="288">
        <v>4225</v>
      </c>
      <c r="J123" s="289">
        <v>644</v>
      </c>
      <c r="K123" s="290">
        <f>(J123/G123)</f>
        <v>80.5</v>
      </c>
      <c r="L123" s="291">
        <f t="shared" si="4"/>
        <v>6.5605590062111805</v>
      </c>
      <c r="M123" s="292">
        <f>681566+578530+317284.5+141025.5+34373.5+6375+4225</f>
        <v>1763379.5</v>
      </c>
      <c r="N123" s="290">
        <f>64102+57106+32401+16644+4655+1030+644</f>
        <v>176582</v>
      </c>
      <c r="O123" s="294">
        <f>M123/N123</f>
        <v>9.986179225515624</v>
      </c>
      <c r="P123" s="332">
        <v>1</v>
      </c>
    </row>
    <row r="124" spans="1:16" ht="15">
      <c r="A124" s="66">
        <v>122</v>
      </c>
      <c r="B124" s="281" t="s">
        <v>142</v>
      </c>
      <c r="C124" s="40">
        <v>39794</v>
      </c>
      <c r="D124" s="127" t="s">
        <v>134</v>
      </c>
      <c r="E124" s="261" t="s">
        <v>133</v>
      </c>
      <c r="F124" s="262">
        <v>100</v>
      </c>
      <c r="G124" s="262">
        <v>9</v>
      </c>
      <c r="H124" s="262">
        <v>7</v>
      </c>
      <c r="I124" s="273">
        <v>4129</v>
      </c>
      <c r="J124" s="274">
        <v>539</v>
      </c>
      <c r="K124" s="275">
        <f>(J124/G124)</f>
        <v>59.888888888888886</v>
      </c>
      <c r="L124" s="159">
        <f t="shared" si="4"/>
        <v>7.6604823747680895</v>
      </c>
      <c r="M124" s="276">
        <f>1276778.5+626123+380324+112679.5+54533+36086+4129</f>
        <v>2490653</v>
      </c>
      <c r="N124" s="277">
        <f>133555+68793+41581+14968+8873+6454+539</f>
        <v>274763</v>
      </c>
      <c r="O124" s="105">
        <f>M124/N124</f>
        <v>9.064732150981028</v>
      </c>
      <c r="P124" s="332">
        <v>1</v>
      </c>
    </row>
    <row r="125" spans="1:16" ht="15">
      <c r="A125" s="66">
        <v>123</v>
      </c>
      <c r="B125" s="49" t="s">
        <v>53</v>
      </c>
      <c r="C125" s="40">
        <v>39738</v>
      </c>
      <c r="D125" s="45" t="s">
        <v>134</v>
      </c>
      <c r="E125" s="44" t="s">
        <v>54</v>
      </c>
      <c r="F125" s="41">
        <v>67</v>
      </c>
      <c r="G125" s="41">
        <v>10</v>
      </c>
      <c r="H125" s="41">
        <v>14</v>
      </c>
      <c r="I125" s="303">
        <v>4006</v>
      </c>
      <c r="J125" s="304">
        <v>905</v>
      </c>
      <c r="K125" s="158">
        <f>(J125/G125)</f>
        <v>90.5</v>
      </c>
      <c r="L125" s="159">
        <f t="shared" si="4"/>
        <v>4.4265193370165745</v>
      </c>
      <c r="M125" s="150">
        <f>167196+176809+54428+37340+38330.5+23467+11581+5867+4382+2577+3552+2137+545+4006</f>
        <v>532217.5</v>
      </c>
      <c r="N125" s="151">
        <f>19168+21164+7719+6215+6404+4964+2339+1306+907+580+859+440+127+905</f>
        <v>73097</v>
      </c>
      <c r="O125" s="105">
        <f>M125/N125</f>
        <v>7.280975963445832</v>
      </c>
      <c r="P125" s="332"/>
    </row>
    <row r="126" spans="1:16" ht="15">
      <c r="A126" s="66">
        <v>124</v>
      </c>
      <c r="B126" s="293" t="s">
        <v>64</v>
      </c>
      <c r="C126" s="286">
        <v>39759</v>
      </c>
      <c r="D126" s="285" t="s">
        <v>65</v>
      </c>
      <c r="E126" s="285" t="s">
        <v>66</v>
      </c>
      <c r="F126" s="287">
        <v>5</v>
      </c>
      <c r="G126" s="287">
        <v>5</v>
      </c>
      <c r="H126" s="287">
        <v>20</v>
      </c>
      <c r="I126" s="288">
        <v>3980.5</v>
      </c>
      <c r="J126" s="289">
        <v>760</v>
      </c>
      <c r="K126" s="290">
        <f>J126/G126</f>
        <v>152</v>
      </c>
      <c r="L126" s="291">
        <f t="shared" si="4"/>
        <v>5.2375</v>
      </c>
      <c r="M126" s="292">
        <v>23363918</v>
      </c>
      <c r="N126" s="290">
        <v>2778456</v>
      </c>
      <c r="O126" s="294">
        <f>+M126/N126</f>
        <v>8.408957348973674</v>
      </c>
      <c r="P126" s="332">
        <v>1</v>
      </c>
    </row>
    <row r="127" spans="1:16" ht="15">
      <c r="A127" s="66">
        <v>125</v>
      </c>
      <c r="B127" s="293" t="s">
        <v>139</v>
      </c>
      <c r="C127" s="286">
        <v>39787</v>
      </c>
      <c r="D127" s="285" t="s">
        <v>132</v>
      </c>
      <c r="E127" s="285" t="s">
        <v>140</v>
      </c>
      <c r="F127" s="287">
        <v>2</v>
      </c>
      <c r="G127" s="287">
        <v>2</v>
      </c>
      <c r="H127" s="287">
        <v>11</v>
      </c>
      <c r="I127" s="288">
        <v>3858</v>
      </c>
      <c r="J127" s="289">
        <v>781</v>
      </c>
      <c r="K127" s="290">
        <f>(J127/G127)</f>
        <v>390.5</v>
      </c>
      <c r="L127" s="291">
        <f t="shared" si="4"/>
        <v>4.939820742637644</v>
      </c>
      <c r="M127" s="292">
        <f>9280968+4694050.5+1992628+1117778+528440.5+225948.5+100229.5+60712.5+23747.5+18022-1837+3858</f>
        <v>18044546</v>
      </c>
      <c r="N127" s="290">
        <f>1147876+614752+261380+141495+73035+33259+17736+11735+4194+3845-458+781</f>
        <v>2309630</v>
      </c>
      <c r="O127" s="294">
        <f>+M127/N127</f>
        <v>7.812743166654399</v>
      </c>
      <c r="P127" s="332">
        <v>1</v>
      </c>
    </row>
    <row r="128" spans="1:16" ht="15">
      <c r="A128" s="66">
        <v>126</v>
      </c>
      <c r="B128" s="53" t="s">
        <v>58</v>
      </c>
      <c r="C128" s="39">
        <v>39745</v>
      </c>
      <c r="D128" s="45" t="s">
        <v>4</v>
      </c>
      <c r="E128" s="45" t="s">
        <v>59</v>
      </c>
      <c r="F128" s="50">
        <v>72</v>
      </c>
      <c r="G128" s="50">
        <v>1</v>
      </c>
      <c r="H128" s="50">
        <v>13</v>
      </c>
      <c r="I128" s="303">
        <v>3795</v>
      </c>
      <c r="J128" s="304">
        <v>578</v>
      </c>
      <c r="K128" s="152">
        <f>+J128/G128</f>
        <v>578</v>
      </c>
      <c r="L128" s="153">
        <f>+I128/J128</f>
        <v>6.5657439446366785</v>
      </c>
      <c r="M128" s="150">
        <v>1288149</v>
      </c>
      <c r="N128" s="151">
        <v>145860</v>
      </c>
      <c r="O128" s="104">
        <f>+M128/N128</f>
        <v>8.831406828465653</v>
      </c>
      <c r="P128" s="332"/>
    </row>
    <row r="129" spans="1:16" ht="15">
      <c r="A129" s="66">
        <v>127</v>
      </c>
      <c r="B129" s="48" t="s">
        <v>68</v>
      </c>
      <c r="C129" s="39">
        <v>39759</v>
      </c>
      <c r="D129" s="42" t="s">
        <v>136</v>
      </c>
      <c r="E129" s="240" t="s">
        <v>31</v>
      </c>
      <c r="F129" s="54">
        <v>40</v>
      </c>
      <c r="G129" s="54">
        <v>3</v>
      </c>
      <c r="H129" s="54">
        <v>11</v>
      </c>
      <c r="I129" s="305">
        <v>3725</v>
      </c>
      <c r="J129" s="306">
        <v>659</v>
      </c>
      <c r="K129" s="152">
        <f>IF(I129&lt;&gt;0,J129/G129,"")</f>
        <v>219.66666666666666</v>
      </c>
      <c r="L129" s="153">
        <f>IF(I129&lt;&gt;0,I129/J129,"")</f>
        <v>5.652503793626707</v>
      </c>
      <c r="M129" s="157">
        <f>84918+52341+11404+7823+3207+2014+937+2034+556+1450+3725</f>
        <v>170409</v>
      </c>
      <c r="N129" s="155">
        <f>10694+7043+2046+1560+538+345+174+389+77+318+659</f>
        <v>23843</v>
      </c>
      <c r="O129" s="104">
        <f>IF(M129&lt;&gt;0,M129/N129,"")</f>
        <v>7.147129136434174</v>
      </c>
      <c r="P129" s="332">
        <v>1</v>
      </c>
    </row>
    <row r="130" spans="1:16" ht="15">
      <c r="A130" s="66">
        <v>128</v>
      </c>
      <c r="B130" s="293" t="s">
        <v>49</v>
      </c>
      <c r="C130" s="286">
        <v>39710</v>
      </c>
      <c r="D130" s="285" t="s">
        <v>132</v>
      </c>
      <c r="E130" s="285" t="s">
        <v>179</v>
      </c>
      <c r="F130" s="287">
        <v>1</v>
      </c>
      <c r="G130" s="287">
        <v>1</v>
      </c>
      <c r="H130" s="287">
        <v>19</v>
      </c>
      <c r="I130" s="288">
        <v>3655</v>
      </c>
      <c r="J130" s="289">
        <v>1215</v>
      </c>
      <c r="K130" s="290">
        <f>J130/G130</f>
        <v>1215</v>
      </c>
      <c r="L130" s="291">
        <f>I130/J130</f>
        <v>3.0082304526748973</v>
      </c>
      <c r="M130" s="292">
        <f>152576+127511+68854.5+21974+10111.5+7103+7290+0.5+1014+3149+989+3524+0.5+3768+138+2528+257+351.5+573.5+184+3655</f>
        <v>415552</v>
      </c>
      <c r="N130" s="290">
        <f>50018+825+47+65+137+67+1215</f>
        <v>52374</v>
      </c>
      <c r="O130" s="294">
        <f>+M130/N130</f>
        <v>7.93431855500821</v>
      </c>
      <c r="P130" s="332"/>
    </row>
    <row r="131" spans="1:16" ht="15">
      <c r="A131" s="66">
        <v>129</v>
      </c>
      <c r="B131" s="293" t="s">
        <v>142</v>
      </c>
      <c r="C131" s="286">
        <v>39794</v>
      </c>
      <c r="D131" s="285" t="s">
        <v>134</v>
      </c>
      <c r="E131" s="285" t="s">
        <v>133</v>
      </c>
      <c r="F131" s="287">
        <v>100</v>
      </c>
      <c r="G131" s="287">
        <v>4</v>
      </c>
      <c r="H131" s="287">
        <v>8</v>
      </c>
      <c r="I131" s="288">
        <v>3620.5</v>
      </c>
      <c r="J131" s="289">
        <v>324</v>
      </c>
      <c r="K131" s="290">
        <f>(J131/G131)</f>
        <v>81</v>
      </c>
      <c r="L131" s="291">
        <f>I131/J131</f>
        <v>11.174382716049383</v>
      </c>
      <c r="M131" s="292">
        <f>1276778.5+626123+380324+112679.5+54533+36086+4129+3620.5</f>
        <v>2494273.5</v>
      </c>
      <c r="N131" s="290">
        <f>133555+68793+41581+14968+8873+6454+539+324</f>
        <v>275087</v>
      </c>
      <c r="O131" s="294">
        <f>+M131/N131</f>
        <v>9.067216916829949</v>
      </c>
      <c r="P131" s="332">
        <v>1</v>
      </c>
    </row>
    <row r="132" spans="1:16" ht="15">
      <c r="A132" s="66">
        <v>130</v>
      </c>
      <c r="B132" s="293" t="s">
        <v>72</v>
      </c>
      <c r="C132" s="286">
        <v>39773</v>
      </c>
      <c r="D132" s="285" t="s">
        <v>131</v>
      </c>
      <c r="E132" s="285" t="s">
        <v>126</v>
      </c>
      <c r="F132" s="287">
        <v>204</v>
      </c>
      <c r="G132" s="287">
        <v>4</v>
      </c>
      <c r="H132" s="287">
        <v>11</v>
      </c>
      <c r="I132" s="288">
        <v>3611</v>
      </c>
      <c r="J132" s="289">
        <v>1110</v>
      </c>
      <c r="K132" s="290">
        <f>J132/G132</f>
        <v>277.5</v>
      </c>
      <c r="L132" s="291">
        <f>I132/J132</f>
        <v>3.253153153153153</v>
      </c>
      <c r="M132" s="292">
        <v>11430807</v>
      </c>
      <c r="N132" s="290">
        <v>1413852</v>
      </c>
      <c r="O132" s="294">
        <f>+M132/N132</f>
        <v>8.084868147444004</v>
      </c>
      <c r="P132" s="332"/>
    </row>
    <row r="133" spans="1:16" ht="15">
      <c r="A133" s="66">
        <v>131</v>
      </c>
      <c r="B133" s="363" t="s">
        <v>20</v>
      </c>
      <c r="C133" s="39">
        <v>39773</v>
      </c>
      <c r="D133" s="44" t="s">
        <v>132</v>
      </c>
      <c r="E133" s="44" t="s">
        <v>21</v>
      </c>
      <c r="F133" s="41">
        <v>10</v>
      </c>
      <c r="G133" s="41">
        <v>1</v>
      </c>
      <c r="H133" s="41">
        <v>8</v>
      </c>
      <c r="I133" s="263">
        <v>3597</v>
      </c>
      <c r="J133" s="308">
        <v>600</v>
      </c>
      <c r="K133" s="155">
        <f>(J133/G133)</f>
        <v>600</v>
      </c>
      <c r="L133" s="356">
        <f>I133/J133</f>
        <v>5.995</v>
      </c>
      <c r="M133" s="267">
        <f>43532.5+13875+1400+341+344+969+42+3597</f>
        <v>64100.5</v>
      </c>
      <c r="N133" s="155">
        <f>3969+1359+251+52+61+210+7+600</f>
        <v>6509</v>
      </c>
      <c r="O133" s="357">
        <f>M133/N133</f>
        <v>9.847979720387157</v>
      </c>
      <c r="P133" s="332"/>
    </row>
    <row r="134" spans="1:16" ht="15">
      <c r="A134" s="66">
        <v>132</v>
      </c>
      <c r="B134" s="232" t="s">
        <v>56</v>
      </c>
      <c r="C134" s="216">
        <v>39745</v>
      </c>
      <c r="D134" s="217" t="s">
        <v>136</v>
      </c>
      <c r="E134" s="217" t="s">
        <v>46</v>
      </c>
      <c r="F134" s="218">
        <v>104</v>
      </c>
      <c r="G134" s="218">
        <v>6</v>
      </c>
      <c r="H134" s="218">
        <v>12</v>
      </c>
      <c r="I134" s="311">
        <v>3565</v>
      </c>
      <c r="J134" s="312">
        <v>785</v>
      </c>
      <c r="K134" s="219">
        <f>IF(I134&lt;&gt;0,J134/G134,"")</f>
        <v>130.83333333333334</v>
      </c>
      <c r="L134" s="220">
        <f>IF(I134&lt;&gt;0,I134/J134,"")</f>
        <v>4.54140127388535</v>
      </c>
      <c r="M134" s="221">
        <f>821522+622841.5+494230+434015.5+185757.5+145248.5+16130+16159+2033+6489+4346+3565</f>
        <v>2752337</v>
      </c>
      <c r="N134" s="222">
        <f>99216+78381+65128+58419+30420+24530+3077+3918+431+1704+1003+785</f>
        <v>367012</v>
      </c>
      <c r="O134" s="237">
        <f>IF(M134&lt;&gt;0,M134/N134,"")</f>
        <v>7.4993106492430766</v>
      </c>
      <c r="P134" s="332"/>
    </row>
    <row r="135" spans="1:16" ht="15">
      <c r="A135" s="66">
        <v>133</v>
      </c>
      <c r="B135" s="281" t="s">
        <v>22</v>
      </c>
      <c r="C135" s="286">
        <v>39787</v>
      </c>
      <c r="D135" s="285" t="s">
        <v>131</v>
      </c>
      <c r="E135" s="261" t="s">
        <v>138</v>
      </c>
      <c r="F135" s="287">
        <v>406</v>
      </c>
      <c r="G135" s="287">
        <v>7</v>
      </c>
      <c r="H135" s="287">
        <v>9</v>
      </c>
      <c r="I135" s="288">
        <v>3565</v>
      </c>
      <c r="J135" s="289">
        <v>541</v>
      </c>
      <c r="K135" s="290">
        <f>J135/G135</f>
        <v>77.28571428571429</v>
      </c>
      <c r="L135" s="291">
        <f>I135/J135</f>
        <v>6.589648798521257</v>
      </c>
      <c r="M135" s="292">
        <v>30389114</v>
      </c>
      <c r="N135" s="290">
        <v>3699746</v>
      </c>
      <c r="O135" s="294">
        <f aca="true" t="shared" si="5" ref="O135:O142">+M135/N135</f>
        <v>8.213837922927683</v>
      </c>
      <c r="P135" s="332"/>
    </row>
    <row r="136" spans="1:16" ht="15">
      <c r="A136" s="66">
        <v>134</v>
      </c>
      <c r="B136" s="293" t="s">
        <v>44</v>
      </c>
      <c r="C136" s="286">
        <v>39780</v>
      </c>
      <c r="D136" s="285" t="s">
        <v>131</v>
      </c>
      <c r="E136" s="285" t="s">
        <v>127</v>
      </c>
      <c r="F136" s="287">
        <v>121</v>
      </c>
      <c r="G136" s="287">
        <v>4</v>
      </c>
      <c r="H136" s="287">
        <v>18</v>
      </c>
      <c r="I136" s="288">
        <v>3563</v>
      </c>
      <c r="J136" s="289">
        <v>697</v>
      </c>
      <c r="K136" s="290">
        <f>J136/G136</f>
        <v>174.25</v>
      </c>
      <c r="L136" s="291">
        <f>+I136/J136</f>
        <v>5.111908177905309</v>
      </c>
      <c r="M136" s="292">
        <v>3461806</v>
      </c>
      <c r="N136" s="290">
        <v>407238</v>
      </c>
      <c r="O136" s="294">
        <f t="shared" si="5"/>
        <v>8.500694925326222</v>
      </c>
      <c r="P136" s="332"/>
    </row>
    <row r="137" spans="1:16" ht="15">
      <c r="A137" s="66">
        <v>135</v>
      </c>
      <c r="B137" s="53" t="s">
        <v>62</v>
      </c>
      <c r="C137" s="39">
        <v>39689</v>
      </c>
      <c r="D137" s="127" t="s">
        <v>130</v>
      </c>
      <c r="E137" s="127" t="s">
        <v>63</v>
      </c>
      <c r="F137" s="50">
        <v>100</v>
      </c>
      <c r="G137" s="50">
        <v>4</v>
      </c>
      <c r="H137" s="50">
        <v>12</v>
      </c>
      <c r="I137" s="273">
        <v>3423</v>
      </c>
      <c r="J137" s="274">
        <v>1037</v>
      </c>
      <c r="K137" s="275">
        <f>J137/G137</f>
        <v>259.25</v>
      </c>
      <c r="L137" s="159">
        <f>I137/J137</f>
        <v>3.3008678881388622</v>
      </c>
      <c r="M137" s="276">
        <f>17818+1364876+864151+384239+240974+16635+2871+5064-50+5187+276+2654+1278+3423</f>
        <v>2909396</v>
      </c>
      <c r="N137" s="277">
        <f>1487+139515+89937+39711+26370+2302+499+787-9+1471+55+1243+206+1037</f>
        <v>304611</v>
      </c>
      <c r="O137" s="105">
        <f t="shared" si="5"/>
        <v>9.551184953924842</v>
      </c>
      <c r="P137" s="330">
        <v>1</v>
      </c>
    </row>
    <row r="138" spans="1:16" ht="15">
      <c r="A138" s="66">
        <v>136</v>
      </c>
      <c r="B138" s="293" t="s">
        <v>202</v>
      </c>
      <c r="C138" s="286">
        <v>39808</v>
      </c>
      <c r="D138" s="285" t="s">
        <v>131</v>
      </c>
      <c r="E138" s="285" t="s">
        <v>111</v>
      </c>
      <c r="F138" s="287">
        <v>112</v>
      </c>
      <c r="G138" s="287">
        <v>2</v>
      </c>
      <c r="H138" s="287">
        <v>12</v>
      </c>
      <c r="I138" s="288">
        <v>3376</v>
      </c>
      <c r="J138" s="289">
        <v>555</v>
      </c>
      <c r="K138" s="290">
        <f>J138/G138</f>
        <v>277.5</v>
      </c>
      <c r="L138" s="291">
        <f>+I138/J138</f>
        <v>6.082882882882883</v>
      </c>
      <c r="M138" s="292">
        <v>2041864</v>
      </c>
      <c r="N138" s="290">
        <v>210512</v>
      </c>
      <c r="O138" s="294">
        <f t="shared" si="5"/>
        <v>9.699513566922551</v>
      </c>
      <c r="P138" s="332">
        <v>1</v>
      </c>
    </row>
    <row r="139" spans="1:16" ht="15">
      <c r="A139" s="66">
        <v>137</v>
      </c>
      <c r="B139" s="363" t="s">
        <v>58</v>
      </c>
      <c r="C139" s="39">
        <v>39745</v>
      </c>
      <c r="D139" s="44" t="s">
        <v>4</v>
      </c>
      <c r="E139" s="44" t="s">
        <v>59</v>
      </c>
      <c r="F139" s="41">
        <v>72</v>
      </c>
      <c r="G139" s="41">
        <v>16</v>
      </c>
      <c r="H139" s="41">
        <v>32</v>
      </c>
      <c r="I139" s="267">
        <v>3333</v>
      </c>
      <c r="J139" s="155">
        <v>477</v>
      </c>
      <c r="K139" s="155">
        <f>+J139/G139</f>
        <v>29.8125</v>
      </c>
      <c r="L139" s="356">
        <f>+I139/J139</f>
        <v>6.987421383647798</v>
      </c>
      <c r="M139" s="267">
        <v>1641297</v>
      </c>
      <c r="N139" s="155">
        <v>185380</v>
      </c>
      <c r="O139" s="357">
        <f t="shared" si="5"/>
        <v>8.853689718416225</v>
      </c>
      <c r="P139" s="332">
        <v>1</v>
      </c>
    </row>
    <row r="140" spans="1:16" ht="15">
      <c r="A140" s="66">
        <v>138</v>
      </c>
      <c r="B140" s="293" t="s">
        <v>25</v>
      </c>
      <c r="C140" s="286">
        <v>39808</v>
      </c>
      <c r="D140" s="285" t="s">
        <v>131</v>
      </c>
      <c r="E140" s="285" t="s">
        <v>111</v>
      </c>
      <c r="F140" s="287">
        <v>112</v>
      </c>
      <c r="G140" s="287">
        <v>5</v>
      </c>
      <c r="H140" s="287">
        <v>10</v>
      </c>
      <c r="I140" s="288">
        <v>3272</v>
      </c>
      <c r="J140" s="289">
        <v>611</v>
      </c>
      <c r="K140" s="290">
        <f>J140/G140</f>
        <v>122.2</v>
      </c>
      <c r="L140" s="291">
        <f>+I140/J140</f>
        <v>5.355155482815057</v>
      </c>
      <c r="M140" s="292">
        <v>2035193</v>
      </c>
      <c r="N140" s="290">
        <v>209290</v>
      </c>
      <c r="O140" s="294">
        <f t="shared" si="5"/>
        <v>9.72427254049405</v>
      </c>
      <c r="P140" s="333"/>
    </row>
    <row r="141" spans="1:16" ht="15">
      <c r="A141" s="66">
        <v>139</v>
      </c>
      <c r="B141" s="293" t="s">
        <v>145</v>
      </c>
      <c r="C141" s="286">
        <v>39801</v>
      </c>
      <c r="D141" s="285" t="s">
        <v>136</v>
      </c>
      <c r="E141" s="285" t="s">
        <v>146</v>
      </c>
      <c r="F141" s="287">
        <v>84</v>
      </c>
      <c r="G141" s="287">
        <v>2</v>
      </c>
      <c r="H141" s="287">
        <v>12</v>
      </c>
      <c r="I141" s="288">
        <v>3267</v>
      </c>
      <c r="J141" s="289">
        <v>653</v>
      </c>
      <c r="K141" s="290">
        <f>J141/G141</f>
        <v>326.5</v>
      </c>
      <c r="L141" s="291">
        <f>I141/J141</f>
        <v>5.003062787136294</v>
      </c>
      <c r="M141" s="292">
        <v>616632</v>
      </c>
      <c r="N141" s="290">
        <v>74493</v>
      </c>
      <c r="O141" s="294">
        <f t="shared" si="5"/>
        <v>8.27771736941726</v>
      </c>
      <c r="P141" s="333"/>
    </row>
    <row r="142" spans="1:16" ht="15">
      <c r="A142" s="66">
        <v>140</v>
      </c>
      <c r="B142" s="293" t="s">
        <v>145</v>
      </c>
      <c r="C142" s="286">
        <v>39801</v>
      </c>
      <c r="D142" s="285" t="s">
        <v>136</v>
      </c>
      <c r="E142" s="285" t="s">
        <v>146</v>
      </c>
      <c r="F142" s="287">
        <v>84</v>
      </c>
      <c r="G142" s="287">
        <v>8</v>
      </c>
      <c r="H142" s="287">
        <v>8</v>
      </c>
      <c r="I142" s="288">
        <v>3225</v>
      </c>
      <c r="J142" s="289">
        <v>545</v>
      </c>
      <c r="K142" s="290">
        <f>IF(I142&lt;&gt;0,J142/G142,"")</f>
        <v>68.125</v>
      </c>
      <c r="L142" s="291">
        <f>I142/J142</f>
        <v>5.91743119266055</v>
      </c>
      <c r="M142" s="292">
        <f>369313.5+145108.5+43813+31258+11772.5+5392.5+2080+3225</f>
        <v>611963</v>
      </c>
      <c r="N142" s="290">
        <f>41017+16460+6346+5364+2357+1094+419+545</f>
        <v>73602</v>
      </c>
      <c r="O142" s="294">
        <f t="shared" si="5"/>
        <v>8.314488736719111</v>
      </c>
      <c r="P142" s="333">
        <v>1</v>
      </c>
    </row>
    <row r="143" spans="1:16" ht="15">
      <c r="A143" s="66">
        <v>141</v>
      </c>
      <c r="B143" s="293" t="s">
        <v>147</v>
      </c>
      <c r="C143" s="286">
        <v>39801</v>
      </c>
      <c r="D143" s="285" t="s">
        <v>134</v>
      </c>
      <c r="E143" s="285" t="s">
        <v>148</v>
      </c>
      <c r="F143" s="287">
        <v>42</v>
      </c>
      <c r="G143" s="287">
        <v>4</v>
      </c>
      <c r="H143" s="287">
        <v>14</v>
      </c>
      <c r="I143" s="288">
        <v>3166.5</v>
      </c>
      <c r="J143" s="289">
        <v>724</v>
      </c>
      <c r="K143" s="290">
        <f>(J143/G143)</f>
        <v>181</v>
      </c>
      <c r="L143" s="291">
        <f>I143/J143</f>
        <v>4.373618784530387</v>
      </c>
      <c r="M143" s="292">
        <f>295344+204961.5+145464.5+116108.5+111972.5+49984+26327+32042+18579+20005+19180+15980+2686.5+3166.5</f>
        <v>1061801</v>
      </c>
      <c r="N143" s="290">
        <f>36142+24747+19417+15404+14719+7567+3314+5289+3173+3275+3534+2826+540+724</f>
        <v>140671</v>
      </c>
      <c r="O143" s="294">
        <f>M143/N143</f>
        <v>7.548115816337411</v>
      </c>
      <c r="P143" s="333"/>
    </row>
    <row r="144" spans="1:16" ht="15">
      <c r="A144" s="66">
        <v>142</v>
      </c>
      <c r="B144" s="318" t="s">
        <v>139</v>
      </c>
      <c r="C144" s="286">
        <v>39787</v>
      </c>
      <c r="D144" s="285" t="s">
        <v>132</v>
      </c>
      <c r="E144" s="285" t="s">
        <v>140</v>
      </c>
      <c r="F144" s="287">
        <v>2</v>
      </c>
      <c r="G144" s="287">
        <v>2</v>
      </c>
      <c r="H144" s="287">
        <v>15</v>
      </c>
      <c r="I144" s="288">
        <v>3147</v>
      </c>
      <c r="J144" s="289">
        <v>770</v>
      </c>
      <c r="K144" s="290">
        <f>J144/G144</f>
        <v>385</v>
      </c>
      <c r="L144" s="291">
        <f>I144/J144</f>
        <v>4.087012987012987</v>
      </c>
      <c r="M144" s="292">
        <f>9280968+4694050.5+1992628+1117778+528440.5+225948.5+100229.5+60712.5+23747.5+18022-1837+3858+1591+1095+16460.5+3147</f>
        <v>18066839.5</v>
      </c>
      <c r="N144" s="290">
        <f>1147876+614752+261380+141495+73035+33259+17736+11735+4194+3845-458+781+321+218+3333+770</f>
        <v>2314272</v>
      </c>
      <c r="O144" s="294">
        <f>+M144/N144</f>
        <v>7.806705305167241</v>
      </c>
      <c r="P144" s="333"/>
    </row>
    <row r="145" spans="1:16" ht="15">
      <c r="A145" s="66">
        <v>143</v>
      </c>
      <c r="B145" s="293" t="s">
        <v>70</v>
      </c>
      <c r="C145" s="286">
        <v>39766</v>
      </c>
      <c r="D145" s="285" t="s">
        <v>132</v>
      </c>
      <c r="E145" s="285" t="s">
        <v>71</v>
      </c>
      <c r="F145" s="287">
        <v>3</v>
      </c>
      <c r="G145" s="287">
        <v>3</v>
      </c>
      <c r="H145" s="287">
        <v>12</v>
      </c>
      <c r="I145" s="288">
        <v>3138</v>
      </c>
      <c r="J145" s="289">
        <v>596</v>
      </c>
      <c r="K145" s="290">
        <f>J145/G145</f>
        <v>198.66666666666666</v>
      </c>
      <c r="L145" s="291">
        <f>I145/J145</f>
        <v>5.26510067114094</v>
      </c>
      <c r="M145" s="292">
        <f>191668+16358.5+8305+0.5+19699.5+16705.5+7289+4467+3138</f>
        <v>267631</v>
      </c>
      <c r="N145" s="290">
        <f>10324+8249+7871+7121+4755+3362+1751+2958+2636+1185+800+596</f>
        <v>51608</v>
      </c>
      <c r="O145" s="294">
        <f>+M145/N145</f>
        <v>5.1858432801116106</v>
      </c>
      <c r="P145" s="333"/>
    </row>
    <row r="146" spans="1:16" ht="15">
      <c r="A146" s="66">
        <v>144</v>
      </c>
      <c r="B146" s="293" t="s">
        <v>72</v>
      </c>
      <c r="C146" s="286">
        <v>39773</v>
      </c>
      <c r="D146" s="285" t="s">
        <v>131</v>
      </c>
      <c r="E146" s="285" t="s">
        <v>126</v>
      </c>
      <c r="F146" s="287">
        <v>204</v>
      </c>
      <c r="G146" s="287">
        <v>2</v>
      </c>
      <c r="H146" s="287">
        <v>13</v>
      </c>
      <c r="I146" s="288">
        <v>3039</v>
      </c>
      <c r="J146" s="289">
        <v>1034</v>
      </c>
      <c r="K146" s="290">
        <f>J146/G146</f>
        <v>517</v>
      </c>
      <c r="L146" s="291">
        <f>+I146/J146</f>
        <v>2.9390715667311413</v>
      </c>
      <c r="M146" s="292">
        <v>11440084</v>
      </c>
      <c r="N146" s="290">
        <v>1417157</v>
      </c>
      <c r="O146" s="294">
        <f>+M146/N146</f>
        <v>8.072559356514486</v>
      </c>
      <c r="P146" s="332">
        <v>1</v>
      </c>
    </row>
    <row r="147" spans="1:16" ht="15">
      <c r="A147" s="66">
        <v>145</v>
      </c>
      <c r="B147" s="53" t="s">
        <v>141</v>
      </c>
      <c r="C147" s="39">
        <v>39780</v>
      </c>
      <c r="D147" s="127" t="s">
        <v>79</v>
      </c>
      <c r="E147" s="127" t="s">
        <v>48</v>
      </c>
      <c r="F147" s="54">
        <v>3</v>
      </c>
      <c r="G147" s="54">
        <v>3</v>
      </c>
      <c r="H147" s="54">
        <v>6</v>
      </c>
      <c r="I147" s="314">
        <v>2890</v>
      </c>
      <c r="J147" s="315">
        <v>437</v>
      </c>
      <c r="K147" s="158">
        <f>(J147/G147)</f>
        <v>145.66666666666666</v>
      </c>
      <c r="L147" s="159">
        <f>I147/J147</f>
        <v>6.613272311212815</v>
      </c>
      <c r="M147" s="160">
        <v>45175.5</v>
      </c>
      <c r="N147" s="161">
        <v>4356</v>
      </c>
      <c r="O147" s="105">
        <f>M147/N147</f>
        <v>10.37086776859504</v>
      </c>
      <c r="P147" s="333">
        <v>1</v>
      </c>
    </row>
    <row r="148" spans="1:16" ht="15">
      <c r="A148" s="66">
        <v>146</v>
      </c>
      <c r="B148" s="293" t="s">
        <v>53</v>
      </c>
      <c r="C148" s="286">
        <v>39738</v>
      </c>
      <c r="D148" s="285" t="s">
        <v>134</v>
      </c>
      <c r="E148" s="285" t="s">
        <v>54</v>
      </c>
      <c r="F148" s="287">
        <v>67</v>
      </c>
      <c r="G148" s="287">
        <v>3</v>
      </c>
      <c r="H148" s="287">
        <v>22</v>
      </c>
      <c r="I148" s="292">
        <v>2842</v>
      </c>
      <c r="J148" s="290">
        <v>734</v>
      </c>
      <c r="K148" s="290">
        <f>(J148/G148)</f>
        <v>244.66666666666666</v>
      </c>
      <c r="L148" s="291">
        <f>I148/J148</f>
        <v>3.871934604904632</v>
      </c>
      <c r="M148" s="292">
        <f>167196+176809+54428+37340+38330.5+23467+11581+5867+4382+2577+3552+2137+545+4006+9422+7992+4936+1547+1147+288+371+2842</f>
        <v>560762.5</v>
      </c>
      <c r="N148" s="290">
        <f>19168+21164+7719+6215+6404+4964+2339+1306+907+580+859+440+127+905+2170+1822+1050+392+333+56+73+734</f>
        <v>79727</v>
      </c>
      <c r="O148" s="294">
        <f>M148/N148</f>
        <v>7.033533181983519</v>
      </c>
      <c r="P148" s="333"/>
    </row>
    <row r="149" spans="1:16" ht="15">
      <c r="A149" s="66">
        <v>147</v>
      </c>
      <c r="B149" s="232" t="s">
        <v>55</v>
      </c>
      <c r="C149" s="216">
        <v>39750</v>
      </c>
      <c r="D149" s="217" t="s">
        <v>130</v>
      </c>
      <c r="E149" s="217" t="s">
        <v>30</v>
      </c>
      <c r="F149" s="218">
        <v>198</v>
      </c>
      <c r="G149" s="218">
        <v>2</v>
      </c>
      <c r="H149" s="218">
        <v>12</v>
      </c>
      <c r="I149" s="297">
        <v>2787</v>
      </c>
      <c r="J149" s="298">
        <v>717</v>
      </c>
      <c r="K149" s="223">
        <f>J149/G149</f>
        <v>358.5</v>
      </c>
      <c r="L149" s="224">
        <f>I149/J149</f>
        <v>3.8870292887029287</v>
      </c>
      <c r="M149" s="225">
        <f>4975832+1882135+1034271+412191+151618-1635+10999+12408+14293+6423+2375+2787</f>
        <v>8503697</v>
      </c>
      <c r="N149" s="226">
        <f>642956+245951+129523+51207+21082-161+1623+2391+2711+1404+495+717</f>
        <v>1099899</v>
      </c>
      <c r="O149" s="233">
        <f>+M149/N149</f>
        <v>7.731343514268128</v>
      </c>
      <c r="P149" s="333">
        <v>1</v>
      </c>
    </row>
    <row r="150" spans="1:16" ht="15">
      <c r="A150" s="66">
        <v>148</v>
      </c>
      <c r="B150" s="281" t="s">
        <v>69</v>
      </c>
      <c r="C150" s="40">
        <v>39766</v>
      </c>
      <c r="D150" s="127" t="s">
        <v>134</v>
      </c>
      <c r="E150" s="261" t="s">
        <v>50</v>
      </c>
      <c r="F150" s="262">
        <v>20</v>
      </c>
      <c r="G150" s="262">
        <v>4</v>
      </c>
      <c r="H150" s="262">
        <v>11</v>
      </c>
      <c r="I150" s="273">
        <v>2775</v>
      </c>
      <c r="J150" s="274">
        <v>544</v>
      </c>
      <c r="K150" s="275">
        <f>(J150/G150)</f>
        <v>136</v>
      </c>
      <c r="L150" s="159">
        <f>I150/J150</f>
        <v>5.101102941176471</v>
      </c>
      <c r="M150" s="276">
        <f>109364.5+38539+31287+12101+5368+8640.5+12331+9410+9143+5719+2775</f>
        <v>244678</v>
      </c>
      <c r="N150" s="277">
        <f>11866+4674+4443+2133+1061+1670+2334+1542+1728+1224+544</f>
        <v>33219</v>
      </c>
      <c r="O150" s="105">
        <f>M150/N150</f>
        <v>7.365604021794756</v>
      </c>
      <c r="P150" s="332"/>
    </row>
    <row r="151" spans="1:16" ht="15">
      <c r="A151" s="66">
        <v>149</v>
      </c>
      <c r="B151" s="49" t="s">
        <v>73</v>
      </c>
      <c r="C151" s="40">
        <v>39772</v>
      </c>
      <c r="D151" s="45" t="s">
        <v>134</v>
      </c>
      <c r="E151" s="44" t="s">
        <v>105</v>
      </c>
      <c r="F151" s="41">
        <v>195</v>
      </c>
      <c r="G151" s="41">
        <v>5</v>
      </c>
      <c r="H151" s="41">
        <v>9</v>
      </c>
      <c r="I151" s="303">
        <v>2692</v>
      </c>
      <c r="J151" s="304">
        <v>553</v>
      </c>
      <c r="K151" s="158">
        <f>(J151/G151)</f>
        <v>110.6</v>
      </c>
      <c r="L151" s="159">
        <f>I151/J151</f>
        <v>4.867992766726944</v>
      </c>
      <c r="M151" s="150">
        <f>1011017+512350.5+217314+64545+38656.5+8087+9376.5+5786+2692</f>
        <v>1869824.5</v>
      </c>
      <c r="N151" s="151">
        <f>136878+68007+31396+9807+8372+1564+2234+1216+553</f>
        <v>260027</v>
      </c>
      <c r="O151" s="105">
        <f>M151/N151</f>
        <v>7.190885946459406</v>
      </c>
      <c r="P151" s="332">
        <v>1</v>
      </c>
    </row>
    <row r="152" spans="1:16" ht="15">
      <c r="A152" s="66">
        <v>150</v>
      </c>
      <c r="B152" s="293" t="s">
        <v>149</v>
      </c>
      <c r="C152" s="286">
        <v>39801</v>
      </c>
      <c r="D152" s="285" t="s">
        <v>4</v>
      </c>
      <c r="E152" s="285" t="s">
        <v>77</v>
      </c>
      <c r="F152" s="287">
        <v>19</v>
      </c>
      <c r="G152" s="287">
        <v>5</v>
      </c>
      <c r="H152" s="287">
        <v>16</v>
      </c>
      <c r="I152" s="292">
        <v>2689</v>
      </c>
      <c r="J152" s="290">
        <v>388</v>
      </c>
      <c r="K152" s="290">
        <f>+J152/G152</f>
        <v>77.6</v>
      </c>
      <c r="L152" s="291">
        <f>+I152/J152</f>
        <v>6.930412371134021</v>
      </c>
      <c r="M152" s="292">
        <v>147629</v>
      </c>
      <c r="N152" s="290">
        <v>14511</v>
      </c>
      <c r="O152" s="294">
        <f>+M152/N152</f>
        <v>10.17359244710909</v>
      </c>
      <c r="P152" s="333">
        <v>1</v>
      </c>
    </row>
    <row r="153" spans="1:16" ht="15">
      <c r="A153" s="66">
        <v>151</v>
      </c>
      <c r="B153" s="293" t="s">
        <v>26</v>
      </c>
      <c r="C153" s="286">
        <v>39808</v>
      </c>
      <c r="D153" s="285" t="s">
        <v>134</v>
      </c>
      <c r="E153" s="285" t="s">
        <v>133</v>
      </c>
      <c r="F153" s="287">
        <v>75</v>
      </c>
      <c r="G153" s="287">
        <v>3</v>
      </c>
      <c r="H153" s="287">
        <v>11</v>
      </c>
      <c r="I153" s="288">
        <v>2688</v>
      </c>
      <c r="J153" s="289">
        <v>480</v>
      </c>
      <c r="K153" s="290">
        <f>(J153/G153)</f>
        <v>160</v>
      </c>
      <c r="L153" s="291">
        <f>I153/J153</f>
        <v>5.6</v>
      </c>
      <c r="M153" s="292">
        <f>681566+578530+317284.5+141025.5+34373.5+6375+4225+7402.5+1014+4479+2688</f>
        <v>1778963</v>
      </c>
      <c r="N153" s="290">
        <f>64102+57106+32401+16644+4655+1030+644+1623+143+828+480</f>
        <v>179656</v>
      </c>
      <c r="O153" s="294">
        <f>M153/N153</f>
        <v>9.902051698802156</v>
      </c>
      <c r="P153" s="333">
        <v>1</v>
      </c>
    </row>
    <row r="154" spans="1:16" ht="15">
      <c r="A154" s="66">
        <v>152</v>
      </c>
      <c r="B154" s="49" t="s">
        <v>58</v>
      </c>
      <c r="C154" s="39">
        <v>39745</v>
      </c>
      <c r="D154" s="44" t="s">
        <v>4</v>
      </c>
      <c r="E154" s="44" t="s">
        <v>59</v>
      </c>
      <c r="F154" s="41">
        <v>72</v>
      </c>
      <c r="G154" s="41">
        <v>10</v>
      </c>
      <c r="H154" s="41">
        <v>34</v>
      </c>
      <c r="I154" s="154">
        <v>2669</v>
      </c>
      <c r="J154" s="155">
        <v>425</v>
      </c>
      <c r="K154" s="155">
        <f>J154/G154</f>
        <v>42.5</v>
      </c>
      <c r="L154" s="156">
        <f>I154/J154</f>
        <v>6.28</v>
      </c>
      <c r="M154" s="154">
        <v>1649210</v>
      </c>
      <c r="N154" s="155">
        <v>186829</v>
      </c>
      <c r="O154" s="103">
        <f>+M154/N154</f>
        <v>8.827376906154827</v>
      </c>
      <c r="P154" s="321">
        <v>1</v>
      </c>
    </row>
    <row r="155" spans="1:16" ht="15">
      <c r="A155" s="66">
        <v>153</v>
      </c>
      <c r="B155" s="232" t="s">
        <v>62</v>
      </c>
      <c r="C155" s="216">
        <v>39689</v>
      </c>
      <c r="D155" s="217" t="s">
        <v>130</v>
      </c>
      <c r="E155" s="217" t="s">
        <v>63</v>
      </c>
      <c r="F155" s="218">
        <v>100</v>
      </c>
      <c r="G155" s="218">
        <v>2</v>
      </c>
      <c r="H155" s="218">
        <v>10</v>
      </c>
      <c r="I155" s="297">
        <v>2654</v>
      </c>
      <c r="J155" s="298">
        <v>1243</v>
      </c>
      <c r="K155" s="223">
        <f>J155/G155</f>
        <v>621.5</v>
      </c>
      <c r="L155" s="224">
        <f>I155/J155</f>
        <v>2.1351568785197106</v>
      </c>
      <c r="M155" s="225">
        <f>17818+1364876+864151+384239+240974+16635+2871+5064-50+5187+276+2654</f>
        <v>2904695</v>
      </c>
      <c r="N155" s="226">
        <f>1487+139515+89937+39711+26370+2302+499+787-9+1471+55+1243</f>
        <v>303368</v>
      </c>
      <c r="O155" s="233">
        <f>+M155/N155</f>
        <v>9.574823316895651</v>
      </c>
      <c r="P155" s="333">
        <v>1</v>
      </c>
    </row>
    <row r="156" spans="1:16" ht="15">
      <c r="A156" s="66">
        <v>154</v>
      </c>
      <c r="B156" s="49" t="s">
        <v>67</v>
      </c>
      <c r="C156" s="40">
        <v>39759</v>
      </c>
      <c r="D156" s="45" t="s">
        <v>134</v>
      </c>
      <c r="E156" s="44" t="s">
        <v>143</v>
      </c>
      <c r="F156" s="41">
        <v>93</v>
      </c>
      <c r="G156" s="41">
        <v>3</v>
      </c>
      <c r="H156" s="41">
        <v>11</v>
      </c>
      <c r="I156" s="303">
        <v>2635</v>
      </c>
      <c r="J156" s="304">
        <v>636</v>
      </c>
      <c r="K156" s="158">
        <f>(J156/G156)</f>
        <v>212</v>
      </c>
      <c r="L156" s="159">
        <f>I156/J156</f>
        <v>4.1430817610062896</v>
      </c>
      <c r="M156" s="150">
        <f>224223+136351+27895+24212+1274+3482+7147+2804+5279+2025+2635</f>
        <v>437327</v>
      </c>
      <c r="N156" s="151">
        <f>27969+18593+4268+4646+311+857+1472+745+1285+386+636</f>
        <v>61168</v>
      </c>
      <c r="O156" s="105">
        <f>M156/N156</f>
        <v>7.149604368297148</v>
      </c>
      <c r="P156" s="333">
        <v>1</v>
      </c>
    </row>
    <row r="157" spans="1:16" ht="15">
      <c r="A157" s="66">
        <v>155</v>
      </c>
      <c r="B157" s="293" t="s">
        <v>25</v>
      </c>
      <c r="C157" s="286">
        <v>39808</v>
      </c>
      <c r="D157" s="285" t="s">
        <v>131</v>
      </c>
      <c r="E157" s="285" t="s">
        <v>111</v>
      </c>
      <c r="F157" s="287">
        <v>112</v>
      </c>
      <c r="G157" s="287">
        <v>6</v>
      </c>
      <c r="H157" s="287">
        <v>11</v>
      </c>
      <c r="I157" s="288">
        <v>2596</v>
      </c>
      <c r="J157" s="289">
        <v>528</v>
      </c>
      <c r="K157" s="290">
        <f>J157/G157</f>
        <v>88</v>
      </c>
      <c r="L157" s="291">
        <f>+I157/J157</f>
        <v>4.916666666666667</v>
      </c>
      <c r="M157" s="292">
        <v>2037789</v>
      </c>
      <c r="N157" s="290">
        <v>209818</v>
      </c>
      <c r="O157" s="294">
        <f>+M157/N157</f>
        <v>9.71217436063636</v>
      </c>
      <c r="P157" s="332"/>
    </row>
    <row r="158" spans="1:16" ht="15">
      <c r="A158" s="66">
        <v>156</v>
      </c>
      <c r="B158" s="363" t="s">
        <v>25</v>
      </c>
      <c r="C158" s="39">
        <v>39808</v>
      </c>
      <c r="D158" s="44" t="s">
        <v>131</v>
      </c>
      <c r="E158" s="44" t="s">
        <v>111</v>
      </c>
      <c r="F158" s="41">
        <v>112</v>
      </c>
      <c r="G158" s="41">
        <v>4</v>
      </c>
      <c r="H158" s="41">
        <v>18</v>
      </c>
      <c r="I158" s="263">
        <v>2578</v>
      </c>
      <c r="J158" s="308">
        <v>687</v>
      </c>
      <c r="K158" s="155">
        <f>J158/G158</f>
        <v>171.75</v>
      </c>
      <c r="L158" s="356">
        <f>+I158/J158</f>
        <v>3.7525473071324598</v>
      </c>
      <c r="M158" s="267">
        <v>2058265</v>
      </c>
      <c r="N158" s="155">
        <v>214631</v>
      </c>
      <c r="O158" s="357">
        <f>+M158/N158</f>
        <v>9.589784327520256</v>
      </c>
      <c r="P158" s="333"/>
    </row>
    <row r="159" spans="1:16" ht="15">
      <c r="A159" s="66">
        <v>157</v>
      </c>
      <c r="B159" s="48" t="s">
        <v>56</v>
      </c>
      <c r="C159" s="39">
        <v>39745</v>
      </c>
      <c r="D159" s="42" t="s">
        <v>136</v>
      </c>
      <c r="E159" s="240" t="s">
        <v>46</v>
      </c>
      <c r="F159" s="54">
        <v>104</v>
      </c>
      <c r="G159" s="54">
        <v>4</v>
      </c>
      <c r="H159" s="54">
        <v>13</v>
      </c>
      <c r="I159" s="305">
        <v>2540</v>
      </c>
      <c r="J159" s="306">
        <v>507</v>
      </c>
      <c r="K159" s="152">
        <f>IF(I159&lt;&gt;0,J159/G159,"")</f>
        <v>126.75</v>
      </c>
      <c r="L159" s="153">
        <f>IF(I159&lt;&gt;0,I159/J159,"")</f>
        <v>5.009861932938856</v>
      </c>
      <c r="M159" s="157">
        <f>821522+622841.5+494230+434015.5+185757.5+145248.5+16130+16159+2033+6489+4346+3565+2540</f>
        <v>2754877</v>
      </c>
      <c r="N159" s="155">
        <f>99216+78381+65128+58419+30420+24530+3077+3918+431+1704+1003+785+507</f>
        <v>367519</v>
      </c>
      <c r="O159" s="104">
        <f>IF(M159&lt;&gt;0,M159/N159,"")</f>
        <v>7.495876403668926</v>
      </c>
      <c r="P159" s="332">
        <v>1</v>
      </c>
    </row>
    <row r="160" spans="1:16" ht="15">
      <c r="A160" s="66">
        <v>158</v>
      </c>
      <c r="B160" s="363" t="s">
        <v>147</v>
      </c>
      <c r="C160" s="39">
        <v>39801</v>
      </c>
      <c r="D160" s="44" t="s">
        <v>134</v>
      </c>
      <c r="E160" s="44" t="s">
        <v>148</v>
      </c>
      <c r="F160" s="41">
        <v>42</v>
      </c>
      <c r="G160" s="41">
        <v>3</v>
      </c>
      <c r="H160" s="41">
        <v>20</v>
      </c>
      <c r="I160" s="267">
        <v>2481</v>
      </c>
      <c r="J160" s="155">
        <v>605</v>
      </c>
      <c r="K160" s="155">
        <f>(J160/G160)</f>
        <v>201.66666666666666</v>
      </c>
      <c r="L160" s="356">
        <f>I160/J160</f>
        <v>4.100826446280991</v>
      </c>
      <c r="M160" s="267">
        <f>295344+204961.5+145464.5+116108.5+111972.5+49984+26327+32042+18579+20005+19180+15980+2686.5+3166.5+366+13433+4493+735.5+607.5+2481</f>
        <v>1083917</v>
      </c>
      <c r="N160" s="155">
        <f>36142+24747+19417+15404+14719+7567+3314+5289+3173+3275+3534+2826+540+724+52+2536+882+130+150+605</f>
        <v>145026</v>
      </c>
      <c r="O160" s="357">
        <f>M160/N160</f>
        <v>7.473949498710576</v>
      </c>
      <c r="P160" s="332">
        <v>1</v>
      </c>
    </row>
    <row r="161" spans="1:16" ht="15">
      <c r="A161" s="66">
        <v>159</v>
      </c>
      <c r="B161" s="49" t="s">
        <v>70</v>
      </c>
      <c r="C161" s="39">
        <v>39766</v>
      </c>
      <c r="D161" s="44" t="s">
        <v>132</v>
      </c>
      <c r="E161" s="44" t="s">
        <v>71</v>
      </c>
      <c r="F161" s="41">
        <v>1</v>
      </c>
      <c r="G161" s="41">
        <v>1</v>
      </c>
      <c r="H161" s="41">
        <v>20</v>
      </c>
      <c r="I161" s="307">
        <v>2416</v>
      </c>
      <c r="J161" s="308">
        <v>528</v>
      </c>
      <c r="K161" s="155">
        <f>J161/G161</f>
        <v>528</v>
      </c>
      <c r="L161" s="156">
        <f>I161/J161</f>
        <v>4.575757575757576</v>
      </c>
      <c r="M161" s="154">
        <f>191668+16358.5+8305+0.5+19699.5+16705.5+7289+4467+3138+2267+1882+6536+9273+1289+852+1124+2416</f>
        <v>293270</v>
      </c>
      <c r="N161" s="155">
        <f>10324+8249+7871+7121+4755+3362+1751+2958+2636+1185+800+596+440+265+961+1648+202+172+213+528</f>
        <v>56037</v>
      </c>
      <c r="O161" s="103">
        <f>+M161/N161</f>
        <v>5.2335064332494605</v>
      </c>
      <c r="P161" s="333">
        <v>1</v>
      </c>
    </row>
    <row r="162" spans="1:16" ht="15">
      <c r="A162" s="66">
        <v>160</v>
      </c>
      <c r="B162" s="281" t="s">
        <v>162</v>
      </c>
      <c r="C162" s="40">
        <v>39717</v>
      </c>
      <c r="D162" s="261" t="s">
        <v>132</v>
      </c>
      <c r="E162" s="261" t="s">
        <v>9</v>
      </c>
      <c r="F162" s="262">
        <v>1</v>
      </c>
      <c r="G162" s="262">
        <v>1</v>
      </c>
      <c r="H162" s="262">
        <v>12</v>
      </c>
      <c r="I162" s="263">
        <v>2408.5</v>
      </c>
      <c r="J162" s="264">
        <v>602</v>
      </c>
      <c r="K162" s="275">
        <f>J162/G162</f>
        <v>602</v>
      </c>
      <c r="L162" s="159">
        <f>I162/J162</f>
        <v>4.000830564784053</v>
      </c>
      <c r="M162" s="267">
        <f>2923050.5+2408+0.5</f>
        <v>2925459</v>
      </c>
      <c r="N162" s="268">
        <f>394197+602</f>
        <v>394799</v>
      </c>
      <c r="O162" s="105">
        <f>+M162/N162</f>
        <v>7.409995972634176</v>
      </c>
      <c r="P162" s="333">
        <v>1</v>
      </c>
    </row>
    <row r="163" spans="1:16" ht="15">
      <c r="A163" s="66">
        <v>161</v>
      </c>
      <c r="B163" s="49" t="s">
        <v>55</v>
      </c>
      <c r="C163" s="39">
        <v>39750</v>
      </c>
      <c r="D163" s="44" t="s">
        <v>130</v>
      </c>
      <c r="E163" s="44" t="s">
        <v>30</v>
      </c>
      <c r="F163" s="41">
        <v>198</v>
      </c>
      <c r="G163" s="41">
        <v>1</v>
      </c>
      <c r="H163" s="41">
        <v>14</v>
      </c>
      <c r="I163" s="307">
        <v>2380</v>
      </c>
      <c r="J163" s="308">
        <v>793</v>
      </c>
      <c r="K163" s="155">
        <f>J163/G163</f>
        <v>793</v>
      </c>
      <c r="L163" s="156">
        <f>I163/J163</f>
        <v>3.001261034047919</v>
      </c>
      <c r="M163" s="154">
        <v>8506941</v>
      </c>
      <c r="N163" s="155">
        <v>1101014</v>
      </c>
      <c r="O163" s="103">
        <f>+M163/N163</f>
        <v>7.726460335654224</v>
      </c>
      <c r="P163" s="332">
        <v>1</v>
      </c>
    </row>
    <row r="164" spans="1:16" ht="15">
      <c r="A164" s="66">
        <v>162</v>
      </c>
      <c r="B164" s="48" t="s">
        <v>55</v>
      </c>
      <c r="C164" s="39">
        <v>39750</v>
      </c>
      <c r="D164" s="43" t="s">
        <v>130</v>
      </c>
      <c r="E164" s="42" t="s">
        <v>30</v>
      </c>
      <c r="F164" s="54">
        <v>198</v>
      </c>
      <c r="G164" s="54">
        <v>6</v>
      </c>
      <c r="H164" s="54">
        <v>11</v>
      </c>
      <c r="I164" s="303">
        <v>2375</v>
      </c>
      <c r="J164" s="304">
        <v>495</v>
      </c>
      <c r="K164" s="158">
        <f>J164/G164</f>
        <v>82.5</v>
      </c>
      <c r="L164" s="159">
        <f>I164/J164</f>
        <v>4.797979797979798</v>
      </c>
      <c r="M164" s="150">
        <f>4975832+1882135+1034271+412191+151618-1635+10999+12408+14293+6423+2375</f>
        <v>8500910</v>
      </c>
      <c r="N164" s="151">
        <f>642956+245951+129523+51207+21082-161+1623+2391+2711+1404+495</f>
        <v>1099182</v>
      </c>
      <c r="O164" s="105">
        <f>+M164/N164</f>
        <v>7.733851172963167</v>
      </c>
      <c r="P164" s="332">
        <v>1</v>
      </c>
    </row>
    <row r="165" spans="1:16" ht="15">
      <c r="A165" s="66">
        <v>163</v>
      </c>
      <c r="B165" s="293" t="s">
        <v>25</v>
      </c>
      <c r="C165" s="286">
        <v>39808</v>
      </c>
      <c r="D165" s="285" t="s">
        <v>131</v>
      </c>
      <c r="E165" s="285" t="s">
        <v>111</v>
      </c>
      <c r="F165" s="287">
        <v>112</v>
      </c>
      <c r="G165" s="287">
        <v>6</v>
      </c>
      <c r="H165" s="287">
        <v>15</v>
      </c>
      <c r="I165" s="292">
        <v>2352</v>
      </c>
      <c r="J165" s="290">
        <v>433</v>
      </c>
      <c r="K165" s="290">
        <f>J165/G165</f>
        <v>72.16666666666667</v>
      </c>
      <c r="L165" s="291">
        <f>+I165/J165</f>
        <v>5.431870669745958</v>
      </c>
      <c r="M165" s="292">
        <v>2050689</v>
      </c>
      <c r="N165" s="290">
        <v>212062</v>
      </c>
      <c r="O165" s="294">
        <f>+M165/N165</f>
        <v>9.670233233676944</v>
      </c>
      <c r="P165" s="332">
        <v>1</v>
      </c>
    </row>
    <row r="166" spans="1:16" ht="15">
      <c r="A166" s="66">
        <v>164</v>
      </c>
      <c r="B166" s="49" t="s">
        <v>147</v>
      </c>
      <c r="C166" s="39">
        <v>39801</v>
      </c>
      <c r="D166" s="44" t="s">
        <v>134</v>
      </c>
      <c r="E166" s="44" t="s">
        <v>148</v>
      </c>
      <c r="F166" s="41">
        <v>42</v>
      </c>
      <c r="G166" s="41">
        <v>3</v>
      </c>
      <c r="H166" s="41">
        <v>24</v>
      </c>
      <c r="I166" s="154">
        <v>2348</v>
      </c>
      <c r="J166" s="155">
        <v>497</v>
      </c>
      <c r="K166" s="155">
        <f>(J166/G166)</f>
        <v>165.66666666666666</v>
      </c>
      <c r="L166" s="156">
        <f>I166/J166</f>
        <v>4.724346076458753</v>
      </c>
      <c r="M166" s="154">
        <f>295344+204961.5+145464.5+116108.5+111972.5+49984+26327+32042+18579+20005+19180+15980+2686.5+3166.5+366+13433+4493+735.5+607.5+2528+83+198+248+2348</f>
        <v>1086841</v>
      </c>
      <c r="N166" s="155">
        <f>36142+24747+19417+15404+14719+7567+3314+5289+3173+3275+3534+2826+540+724+52+2536+882+130+150+615+21+66+51+497</f>
        <v>145671</v>
      </c>
      <c r="O166" s="103">
        <f>M166/N166</f>
        <v>7.460929079912955</v>
      </c>
      <c r="P166" s="321">
        <v>1</v>
      </c>
    </row>
    <row r="167" spans="1:16" ht="15">
      <c r="A167" s="66">
        <v>165</v>
      </c>
      <c r="B167" s="293" t="s">
        <v>56</v>
      </c>
      <c r="C167" s="286">
        <v>39745</v>
      </c>
      <c r="D167" s="285" t="s">
        <v>136</v>
      </c>
      <c r="E167" s="285" t="s">
        <v>46</v>
      </c>
      <c r="F167" s="287">
        <v>104</v>
      </c>
      <c r="G167" s="287">
        <v>2</v>
      </c>
      <c r="H167" s="287">
        <v>17</v>
      </c>
      <c r="I167" s="288">
        <v>2328</v>
      </c>
      <c r="J167" s="289">
        <v>426</v>
      </c>
      <c r="K167" s="290">
        <f>IF(I167&lt;&gt;0,J167/G167,"")</f>
        <v>213</v>
      </c>
      <c r="L167" s="291">
        <f>IF(I167&lt;&gt;0,I167/J167,"")</f>
        <v>5.464788732394366</v>
      </c>
      <c r="M167" s="292">
        <f>821522+622841.5+494230+434015.5+185757.5+145248.5+16130+16159+2033+6489+4346+3565+2540+1323+139+686+2328</f>
        <v>2759353</v>
      </c>
      <c r="N167" s="290">
        <f>99216+78381+65128+58419+30420+24530+3077+3918+431+1704+1003+785+507+195+19+106+426</f>
        <v>368265</v>
      </c>
      <c r="O167" s="294">
        <f>+M167/N167</f>
        <v>7.492846184133708</v>
      </c>
      <c r="P167" s="333">
        <v>1</v>
      </c>
    </row>
    <row r="168" spans="1:16" ht="15">
      <c r="A168" s="66">
        <v>166</v>
      </c>
      <c r="B168" s="293" t="s">
        <v>167</v>
      </c>
      <c r="C168" s="286">
        <v>39703</v>
      </c>
      <c r="D168" s="285" t="s">
        <v>199</v>
      </c>
      <c r="E168" s="285" t="s">
        <v>168</v>
      </c>
      <c r="F168" s="287">
        <v>16</v>
      </c>
      <c r="G168" s="287">
        <v>2</v>
      </c>
      <c r="H168" s="287">
        <v>14</v>
      </c>
      <c r="I168" s="288">
        <v>2287</v>
      </c>
      <c r="J168" s="289">
        <v>374</v>
      </c>
      <c r="K168" s="290">
        <f>J168/G168</f>
        <v>187</v>
      </c>
      <c r="L168" s="291">
        <f>I168/J168</f>
        <v>6.114973262032086</v>
      </c>
      <c r="M168" s="292">
        <v>76575</v>
      </c>
      <c r="N168" s="290">
        <v>10553</v>
      </c>
      <c r="O168" s="294">
        <f>+M168/N168</f>
        <v>7.256230455794561</v>
      </c>
      <c r="P168" s="333">
        <v>1</v>
      </c>
    </row>
    <row r="169" spans="1:16" ht="15">
      <c r="A169" s="66">
        <v>167</v>
      </c>
      <c r="B169" s="293" t="s">
        <v>163</v>
      </c>
      <c r="C169" s="286">
        <v>39766</v>
      </c>
      <c r="D169" s="285" t="s">
        <v>282</v>
      </c>
      <c r="E169" s="285" t="s">
        <v>165</v>
      </c>
      <c r="F169" s="287">
        <v>50</v>
      </c>
      <c r="G169" s="287">
        <v>2</v>
      </c>
      <c r="H169" s="287">
        <v>20</v>
      </c>
      <c r="I169" s="292">
        <v>2279</v>
      </c>
      <c r="J169" s="290">
        <v>456</v>
      </c>
      <c r="K169" s="290">
        <f>J169/G169</f>
        <v>228</v>
      </c>
      <c r="L169" s="291">
        <f>I169/J169</f>
        <v>4.99780701754386</v>
      </c>
      <c r="M169" s="292">
        <v>239346</v>
      </c>
      <c r="N169" s="290">
        <v>35789</v>
      </c>
      <c r="O169" s="294">
        <f>+M169/N169</f>
        <v>6.687697337170639</v>
      </c>
      <c r="P169" s="333"/>
    </row>
    <row r="170" spans="1:16" ht="15">
      <c r="A170" s="66">
        <v>168</v>
      </c>
      <c r="B170" s="293" t="s">
        <v>26</v>
      </c>
      <c r="C170" s="286">
        <v>39808</v>
      </c>
      <c r="D170" s="285" t="s">
        <v>134</v>
      </c>
      <c r="E170" s="285" t="s">
        <v>133</v>
      </c>
      <c r="F170" s="287">
        <v>75</v>
      </c>
      <c r="G170" s="287">
        <v>4</v>
      </c>
      <c r="H170" s="287">
        <v>12</v>
      </c>
      <c r="I170" s="288">
        <v>2267</v>
      </c>
      <c r="J170" s="289">
        <v>469</v>
      </c>
      <c r="K170" s="290">
        <f>(J170/G170)</f>
        <v>117.25</v>
      </c>
      <c r="L170" s="291">
        <f>I170/J170</f>
        <v>4.833688699360341</v>
      </c>
      <c r="M170" s="292">
        <f>681566+578530+317284.5+141025.5+34373.5+6375+4225+7402.5+1014+4479+2688+2267</f>
        <v>1781230</v>
      </c>
      <c r="N170" s="290">
        <f>64102+57106+32401+16644+4655+1030+644+1623+143+828+480+469</f>
        <v>180125</v>
      </c>
      <c r="O170" s="294">
        <f>M170/N170</f>
        <v>9.888854961832061</v>
      </c>
      <c r="P170" s="333"/>
    </row>
    <row r="171" spans="1:16" ht="15">
      <c r="A171" s="66">
        <v>169</v>
      </c>
      <c r="B171" s="293" t="s">
        <v>70</v>
      </c>
      <c r="C171" s="286">
        <v>39766</v>
      </c>
      <c r="D171" s="285" t="s">
        <v>132</v>
      </c>
      <c r="E171" s="285" t="s">
        <v>71</v>
      </c>
      <c r="F171" s="287">
        <v>3</v>
      </c>
      <c r="G171" s="287">
        <v>3</v>
      </c>
      <c r="H171" s="287">
        <v>13</v>
      </c>
      <c r="I171" s="288">
        <v>2267</v>
      </c>
      <c r="J171" s="289">
        <v>440</v>
      </c>
      <c r="K171" s="290">
        <f>J171/G171</f>
        <v>146.66666666666666</v>
      </c>
      <c r="L171" s="291">
        <f>I171/J171</f>
        <v>5.152272727272727</v>
      </c>
      <c r="M171" s="292">
        <f>191668+16358.5+8305+0.5+19699.5+16705.5+7289+4467+3138+2267</f>
        <v>269898</v>
      </c>
      <c r="N171" s="290">
        <f>10324+8249+7871+7121+4755+3362+1751+2958+2636+1185+800+596+440</f>
        <v>52048</v>
      </c>
      <c r="O171" s="294">
        <f>+M171/N171</f>
        <v>5.185559483553643</v>
      </c>
      <c r="P171" s="333"/>
    </row>
    <row r="172" spans="1:16" ht="15">
      <c r="A172" s="66">
        <v>170</v>
      </c>
      <c r="B172" s="293" t="s">
        <v>142</v>
      </c>
      <c r="C172" s="286">
        <v>39794</v>
      </c>
      <c r="D172" s="285" t="s">
        <v>134</v>
      </c>
      <c r="E172" s="285" t="s">
        <v>133</v>
      </c>
      <c r="F172" s="287">
        <v>100</v>
      </c>
      <c r="G172" s="287">
        <v>3</v>
      </c>
      <c r="H172" s="287">
        <v>15</v>
      </c>
      <c r="I172" s="292">
        <v>2263</v>
      </c>
      <c r="J172" s="290">
        <v>444</v>
      </c>
      <c r="K172" s="290">
        <f>(J172/G172)</f>
        <v>148</v>
      </c>
      <c r="L172" s="291">
        <f>I172/J172</f>
        <v>5.096846846846847</v>
      </c>
      <c r="M172" s="292">
        <f>1276778.5+626123+380324+112679.5+54533+36086+4129+3620.5+4348+1030+1904+420+1049+5940+2263</f>
        <v>2511227.5</v>
      </c>
      <c r="N172" s="290">
        <f>133555+68793+41581+14968+8873+6454+539+324+976+204+524+65+169+1485+444</f>
        <v>278954</v>
      </c>
      <c r="O172" s="294">
        <f>M172/N172</f>
        <v>9.002299662309914</v>
      </c>
      <c r="P172" s="333"/>
    </row>
    <row r="173" spans="1:16" ht="15">
      <c r="A173" s="66">
        <v>171</v>
      </c>
      <c r="B173" s="293" t="s">
        <v>44</v>
      </c>
      <c r="C173" s="286">
        <v>39780</v>
      </c>
      <c r="D173" s="285" t="s">
        <v>131</v>
      </c>
      <c r="E173" s="285" t="s">
        <v>127</v>
      </c>
      <c r="F173" s="287">
        <v>121</v>
      </c>
      <c r="G173" s="287">
        <v>6</v>
      </c>
      <c r="H173" s="287">
        <v>12</v>
      </c>
      <c r="I173" s="288">
        <v>2217</v>
      </c>
      <c r="J173" s="289">
        <v>602</v>
      </c>
      <c r="K173" s="290">
        <f>J173/G173</f>
        <v>100.33333333333333</v>
      </c>
      <c r="L173" s="291">
        <f>+I173/J173</f>
        <v>3.6827242524916945</v>
      </c>
      <c r="M173" s="292">
        <v>3455066</v>
      </c>
      <c r="N173" s="290">
        <v>405547</v>
      </c>
      <c r="O173" s="294">
        <f>+M173/N173</f>
        <v>8.519520548789659</v>
      </c>
      <c r="P173" s="333">
        <v>1</v>
      </c>
    </row>
    <row r="174" spans="1:16" ht="15">
      <c r="A174" s="66">
        <v>172</v>
      </c>
      <c r="B174" s="281" t="s">
        <v>67</v>
      </c>
      <c r="C174" s="40">
        <v>39759</v>
      </c>
      <c r="D174" s="127" t="s">
        <v>134</v>
      </c>
      <c r="E174" s="261" t="s">
        <v>143</v>
      </c>
      <c r="F174" s="262">
        <v>93</v>
      </c>
      <c r="G174" s="262">
        <v>2</v>
      </c>
      <c r="H174" s="262">
        <v>12</v>
      </c>
      <c r="I174" s="273">
        <v>2196</v>
      </c>
      <c r="J174" s="274">
        <v>549</v>
      </c>
      <c r="K174" s="275">
        <f>(J174/G174)</f>
        <v>274.5</v>
      </c>
      <c r="L174" s="159">
        <f aca="true" t="shared" si="6" ref="L174:L180">I174/J174</f>
        <v>4</v>
      </c>
      <c r="M174" s="276">
        <f>224223+136351+27895+24212+1274+3482+7147+2804+5279+2025+2635+2196</f>
        <v>439523</v>
      </c>
      <c r="N174" s="277">
        <f>27969+18593+4268+4646+311+857+1472+745+1285+386+636+549</f>
        <v>61717</v>
      </c>
      <c r="O174" s="105">
        <f>M174/N174</f>
        <v>7.121587245005428</v>
      </c>
      <c r="P174" s="333">
        <v>1</v>
      </c>
    </row>
    <row r="175" spans="1:16" ht="15">
      <c r="A175" s="66">
        <v>173</v>
      </c>
      <c r="B175" s="232" t="s">
        <v>41</v>
      </c>
      <c r="C175" s="216">
        <v>39745</v>
      </c>
      <c r="D175" s="217" t="s">
        <v>130</v>
      </c>
      <c r="E175" s="217" t="s">
        <v>35</v>
      </c>
      <c r="F175" s="218">
        <v>202</v>
      </c>
      <c r="G175" s="218">
        <v>2</v>
      </c>
      <c r="H175" s="218">
        <v>11</v>
      </c>
      <c r="I175" s="297">
        <v>2189</v>
      </c>
      <c r="J175" s="298">
        <v>433</v>
      </c>
      <c r="K175" s="223">
        <f>J175/G175</f>
        <v>216.5</v>
      </c>
      <c r="L175" s="224">
        <f t="shared" si="6"/>
        <v>5.055427251732102</v>
      </c>
      <c r="M175" s="225">
        <f>2979211+551475+289248+35506+23768+5044+549+3932+1192+2189</f>
        <v>3892114</v>
      </c>
      <c r="N175" s="226">
        <f>374252+72341+40702+5164+4326+1290+108+783+296+433</f>
        <v>499695</v>
      </c>
      <c r="O175" s="233">
        <f>+M175/N175</f>
        <v>7.788979277359189</v>
      </c>
      <c r="P175" s="333"/>
    </row>
    <row r="176" spans="1:16" ht="15">
      <c r="A176" s="66">
        <v>174</v>
      </c>
      <c r="B176" s="293" t="s">
        <v>64</v>
      </c>
      <c r="C176" s="286">
        <v>39759</v>
      </c>
      <c r="D176" s="285" t="s">
        <v>65</v>
      </c>
      <c r="E176" s="285" t="s">
        <v>66</v>
      </c>
      <c r="F176" s="287">
        <v>6</v>
      </c>
      <c r="G176" s="287">
        <v>6</v>
      </c>
      <c r="H176" s="287">
        <v>19</v>
      </c>
      <c r="I176" s="288">
        <v>2175</v>
      </c>
      <c r="J176" s="289">
        <v>333</v>
      </c>
      <c r="K176" s="290">
        <f>J176/G176</f>
        <v>55.5</v>
      </c>
      <c r="L176" s="291">
        <f t="shared" si="6"/>
        <v>6.531531531531532</v>
      </c>
      <c r="M176" s="292">
        <v>23358862.5</v>
      </c>
      <c r="N176" s="290">
        <v>2777586</v>
      </c>
      <c r="O176" s="294">
        <f>+M176/N176</f>
        <v>8.409771110597475</v>
      </c>
      <c r="P176" s="332"/>
    </row>
    <row r="177" spans="1:16" ht="15">
      <c r="A177" s="66">
        <v>175</v>
      </c>
      <c r="B177" s="363" t="s">
        <v>213</v>
      </c>
      <c r="C177" s="39">
        <v>39668</v>
      </c>
      <c r="D177" s="44" t="s">
        <v>134</v>
      </c>
      <c r="E177" s="44" t="s">
        <v>214</v>
      </c>
      <c r="F177" s="41">
        <v>1</v>
      </c>
      <c r="G177" s="41">
        <v>1</v>
      </c>
      <c r="H177" s="41">
        <v>7</v>
      </c>
      <c r="I177" s="267">
        <v>2140</v>
      </c>
      <c r="J177" s="155">
        <v>535</v>
      </c>
      <c r="K177" s="155">
        <f>(J177/G177)</f>
        <v>535</v>
      </c>
      <c r="L177" s="356">
        <f t="shared" si="6"/>
        <v>4</v>
      </c>
      <c r="M177" s="267">
        <f>3110+2328+234+98+1424+1544+2140</f>
        <v>10878</v>
      </c>
      <c r="N177" s="155">
        <f>365+272+41+14+356+386+535</f>
        <v>1969</v>
      </c>
      <c r="O177" s="357">
        <f>M177/N177</f>
        <v>5.524631792788218</v>
      </c>
      <c r="P177" s="332">
        <v>1</v>
      </c>
    </row>
    <row r="178" spans="1:16" ht="15">
      <c r="A178" s="66">
        <v>176</v>
      </c>
      <c r="B178" s="363" t="s">
        <v>67</v>
      </c>
      <c r="C178" s="39">
        <v>39759</v>
      </c>
      <c r="D178" s="44" t="s">
        <v>134</v>
      </c>
      <c r="E178" s="44" t="s">
        <v>143</v>
      </c>
      <c r="F178" s="41">
        <v>93</v>
      </c>
      <c r="G178" s="41">
        <v>1</v>
      </c>
      <c r="H178" s="41">
        <v>15</v>
      </c>
      <c r="I178" s="267">
        <v>2140</v>
      </c>
      <c r="J178" s="155">
        <v>535</v>
      </c>
      <c r="K178" s="155">
        <f>(J178/G178)</f>
        <v>535</v>
      </c>
      <c r="L178" s="356">
        <f t="shared" si="6"/>
        <v>4</v>
      </c>
      <c r="M178" s="267">
        <f>224223+136351+27895+24212+1274+3482+7147+2804+5279+2025+2635+2196+1188+832+2140</f>
        <v>443683</v>
      </c>
      <c r="N178" s="155">
        <f>27969+18593+4268+4646+311+857+1472+745+1285+386+636+549+297+208+535</f>
        <v>62757</v>
      </c>
      <c r="O178" s="357">
        <f>M178/N178</f>
        <v>7.069856749047915</v>
      </c>
      <c r="P178" s="332"/>
    </row>
    <row r="179" spans="1:16" ht="15">
      <c r="A179" s="66">
        <v>177</v>
      </c>
      <c r="B179" s="363" t="s">
        <v>69</v>
      </c>
      <c r="C179" s="39">
        <v>39766</v>
      </c>
      <c r="D179" s="44" t="s">
        <v>134</v>
      </c>
      <c r="E179" s="44" t="s">
        <v>50</v>
      </c>
      <c r="F179" s="41">
        <v>20</v>
      </c>
      <c r="G179" s="41">
        <v>1</v>
      </c>
      <c r="H179" s="41">
        <v>19</v>
      </c>
      <c r="I179" s="267">
        <v>2140</v>
      </c>
      <c r="J179" s="155">
        <v>535</v>
      </c>
      <c r="K179" s="155">
        <f>(J179/G179)</f>
        <v>535</v>
      </c>
      <c r="L179" s="356">
        <f t="shared" si="6"/>
        <v>4</v>
      </c>
      <c r="M179" s="267">
        <f>109364.5+38539+31287+12101+5368+8640.5+12331+9410+9143+5719+2775+1424+1017+338+1223+1447+5587+2013+2140</f>
        <v>259867</v>
      </c>
      <c r="N179" s="155">
        <f>11866+4674+4443+2133+1061+1670+2334+1542+1728+1224+544+356+207+68+185+229+749+298+535</f>
        <v>35846</v>
      </c>
      <c r="O179" s="357">
        <f>M179/N179</f>
        <v>7.249539697595269</v>
      </c>
      <c r="P179" s="333">
        <v>1</v>
      </c>
    </row>
    <row r="180" spans="1:16" ht="15">
      <c r="A180" s="66">
        <v>178</v>
      </c>
      <c r="B180" s="49" t="s">
        <v>53</v>
      </c>
      <c r="C180" s="40">
        <v>39738</v>
      </c>
      <c r="D180" s="45" t="s">
        <v>134</v>
      </c>
      <c r="E180" s="44" t="s">
        <v>54</v>
      </c>
      <c r="F180" s="41">
        <v>67</v>
      </c>
      <c r="G180" s="41">
        <v>6</v>
      </c>
      <c r="H180" s="41">
        <v>12</v>
      </c>
      <c r="I180" s="303">
        <v>2137</v>
      </c>
      <c r="J180" s="304">
        <v>440</v>
      </c>
      <c r="K180" s="158">
        <f>(J180/G180)</f>
        <v>73.33333333333333</v>
      </c>
      <c r="L180" s="159">
        <f t="shared" si="6"/>
        <v>4.8568181818181815</v>
      </c>
      <c r="M180" s="150">
        <f>167196+176809+54428+37340+38330.5+23467+11581+5867+4382+2577+3552+2137</f>
        <v>527666.5</v>
      </c>
      <c r="N180" s="151">
        <f>19168+21164+7719+6215+6404+4964+2339+1306+907+580+859+440</f>
        <v>72065</v>
      </c>
      <c r="O180" s="105">
        <f>M180/N180</f>
        <v>7.32209116769583</v>
      </c>
      <c r="P180" s="333"/>
    </row>
    <row r="181" spans="1:16" ht="15">
      <c r="A181" s="66">
        <v>179</v>
      </c>
      <c r="B181" s="293" t="s">
        <v>145</v>
      </c>
      <c r="C181" s="286">
        <v>39801</v>
      </c>
      <c r="D181" s="285" t="s">
        <v>136</v>
      </c>
      <c r="E181" s="285" t="s">
        <v>146</v>
      </c>
      <c r="F181" s="287">
        <v>84</v>
      </c>
      <c r="G181" s="287">
        <v>2</v>
      </c>
      <c r="H181" s="287">
        <v>13</v>
      </c>
      <c r="I181" s="288">
        <v>2130</v>
      </c>
      <c r="J181" s="289">
        <v>426</v>
      </c>
      <c r="K181" s="290">
        <f>J181/G181</f>
        <v>213</v>
      </c>
      <c r="L181" s="291">
        <f>IF(I181&lt;&gt;0,I181/J181,"")</f>
        <v>5</v>
      </c>
      <c r="M181" s="292">
        <v>618762</v>
      </c>
      <c r="N181" s="290">
        <v>74919</v>
      </c>
      <c r="O181" s="294">
        <f>IF(M181&lt;&gt;0,M181/N181,"")</f>
        <v>8.259079806190686</v>
      </c>
      <c r="P181" s="332"/>
    </row>
    <row r="182" spans="1:16" ht="15">
      <c r="A182" s="66">
        <v>180</v>
      </c>
      <c r="B182" s="48" t="s">
        <v>409</v>
      </c>
      <c r="C182" s="39">
        <v>39597</v>
      </c>
      <c r="D182" s="42" t="s">
        <v>410</v>
      </c>
      <c r="E182" s="42" t="s">
        <v>187</v>
      </c>
      <c r="F182" s="54">
        <v>4</v>
      </c>
      <c r="G182" s="54">
        <v>1</v>
      </c>
      <c r="H182" s="54">
        <v>2</v>
      </c>
      <c r="I182" s="303">
        <v>2106</v>
      </c>
      <c r="J182" s="304">
        <v>235</v>
      </c>
      <c r="K182" s="158">
        <v>235</v>
      </c>
      <c r="L182" s="159">
        <v>9</v>
      </c>
      <c r="M182" s="150">
        <v>12761</v>
      </c>
      <c r="N182" s="151">
        <v>1212</v>
      </c>
      <c r="O182" s="104">
        <f>+M182/N182</f>
        <v>10.528877887788779</v>
      </c>
      <c r="P182" s="332"/>
    </row>
    <row r="183" spans="1:16" ht="15">
      <c r="A183" s="66">
        <v>181</v>
      </c>
      <c r="B183" s="49" t="s">
        <v>15</v>
      </c>
      <c r="C183" s="40">
        <v>39696</v>
      </c>
      <c r="D183" s="44" t="s">
        <v>132</v>
      </c>
      <c r="E183" s="44" t="s">
        <v>16</v>
      </c>
      <c r="F183" s="41">
        <v>75</v>
      </c>
      <c r="G183" s="41">
        <v>1</v>
      </c>
      <c r="H183" s="41">
        <v>11</v>
      </c>
      <c r="I183" s="307">
        <v>2100</v>
      </c>
      <c r="J183" s="308">
        <v>350</v>
      </c>
      <c r="K183" s="158">
        <f>(J183/G183)</f>
        <v>350</v>
      </c>
      <c r="L183" s="159">
        <f>I183/J183</f>
        <v>6</v>
      </c>
      <c r="M183" s="154">
        <f>86230.5+60757+25197.5+7924+1147+850+226+56+3673+3630+2100</f>
        <v>191791</v>
      </c>
      <c r="N183" s="155">
        <f>10350+7537+3961+1406+201+213+26+9+924+1210+350</f>
        <v>26187</v>
      </c>
      <c r="O183" s="105">
        <f>M183/N183</f>
        <v>7.323901172337419</v>
      </c>
      <c r="P183" s="321">
        <v>1</v>
      </c>
    </row>
    <row r="184" spans="1:16" ht="15">
      <c r="A184" s="66">
        <v>182</v>
      </c>
      <c r="B184" s="363" t="s">
        <v>163</v>
      </c>
      <c r="C184" s="39">
        <v>39766</v>
      </c>
      <c r="D184" s="44" t="s">
        <v>199</v>
      </c>
      <c r="E184" s="44" t="s">
        <v>200</v>
      </c>
      <c r="F184" s="41">
        <v>50</v>
      </c>
      <c r="G184" s="41">
        <v>3</v>
      </c>
      <c r="H184" s="41">
        <v>22</v>
      </c>
      <c r="I184" s="263">
        <v>2096</v>
      </c>
      <c r="J184" s="308">
        <v>578</v>
      </c>
      <c r="K184" s="155">
        <f>J184/G184</f>
        <v>192.66666666666666</v>
      </c>
      <c r="L184" s="356">
        <f>I184/J184</f>
        <v>3.6262975778546713</v>
      </c>
      <c r="M184" s="267">
        <v>242035</v>
      </c>
      <c r="N184" s="155">
        <v>36486</v>
      </c>
      <c r="O184" s="357">
        <f>+M184/N184</f>
        <v>6.633640300389191</v>
      </c>
      <c r="P184" s="333">
        <v>1</v>
      </c>
    </row>
    <row r="185" spans="1:16" ht="15">
      <c r="A185" s="66">
        <v>183</v>
      </c>
      <c r="B185" s="293" t="s">
        <v>163</v>
      </c>
      <c r="C185" s="286">
        <v>39696</v>
      </c>
      <c r="D185" s="285" t="s">
        <v>199</v>
      </c>
      <c r="E185" s="285" t="s">
        <v>200</v>
      </c>
      <c r="F185" s="287">
        <v>50</v>
      </c>
      <c r="G185" s="287">
        <v>2</v>
      </c>
      <c r="H185" s="287">
        <v>14</v>
      </c>
      <c r="I185" s="288">
        <v>2096</v>
      </c>
      <c r="J185" s="289">
        <v>501</v>
      </c>
      <c r="K185" s="290">
        <f>J185/G185</f>
        <v>250.5</v>
      </c>
      <c r="L185" s="291">
        <f>I185/J185</f>
        <v>4.1836327345309385</v>
      </c>
      <c r="M185" s="292">
        <v>219236</v>
      </c>
      <c r="N185" s="290">
        <v>31568</v>
      </c>
      <c r="O185" s="294">
        <f>+M185/N185</f>
        <v>6.944880892042574</v>
      </c>
      <c r="P185" s="333"/>
    </row>
    <row r="186" spans="1:16" ht="15">
      <c r="A186" s="66">
        <v>184</v>
      </c>
      <c r="B186" s="293" t="s">
        <v>145</v>
      </c>
      <c r="C186" s="286">
        <v>39801</v>
      </c>
      <c r="D186" s="285" t="s">
        <v>136</v>
      </c>
      <c r="E186" s="285" t="s">
        <v>146</v>
      </c>
      <c r="F186" s="287">
        <v>84</v>
      </c>
      <c r="G186" s="287">
        <v>4</v>
      </c>
      <c r="H186" s="287">
        <v>7</v>
      </c>
      <c r="I186" s="288">
        <v>2080</v>
      </c>
      <c r="J186" s="289">
        <v>419</v>
      </c>
      <c r="K186" s="290">
        <f>IF(I186&lt;&gt;0,J186/G186,"")</f>
        <v>104.75</v>
      </c>
      <c r="L186" s="291">
        <f>IF(I186&lt;&gt;0,I186/J186,"")</f>
        <v>4.964200477326969</v>
      </c>
      <c r="M186" s="292">
        <f>369313.5+145108.5+43813+31258+11772.5+5392.5+2080</f>
        <v>608738</v>
      </c>
      <c r="N186" s="290">
        <f>41017+16460+6346+5364+2357+1094+419</f>
        <v>73057</v>
      </c>
      <c r="O186" s="294">
        <f>IF(M186&lt;&gt;0,M186/N186,"")</f>
        <v>8.332370614725487</v>
      </c>
      <c r="P186" s="333"/>
    </row>
    <row r="187" spans="1:16" ht="15">
      <c r="A187" s="66">
        <v>185</v>
      </c>
      <c r="B187" s="234" t="s">
        <v>67</v>
      </c>
      <c r="C187" s="229">
        <v>39759</v>
      </c>
      <c r="D187" s="217" t="s">
        <v>134</v>
      </c>
      <c r="E187" s="227" t="s">
        <v>143</v>
      </c>
      <c r="F187" s="228">
        <v>93</v>
      </c>
      <c r="G187" s="228">
        <v>2</v>
      </c>
      <c r="H187" s="228">
        <v>10</v>
      </c>
      <c r="I187" s="297">
        <v>2025</v>
      </c>
      <c r="J187" s="298">
        <v>386</v>
      </c>
      <c r="K187" s="223">
        <f>(J187/G187)</f>
        <v>193</v>
      </c>
      <c r="L187" s="224">
        <f aca="true" t="shared" si="7" ref="L187:L196">I187/J187</f>
        <v>5.246113989637306</v>
      </c>
      <c r="M187" s="225">
        <f>224223+136351+27895+24212+1274+3482+7147+2804+5279+2025</f>
        <v>434692</v>
      </c>
      <c r="N187" s="226">
        <f>27969+18593+4268+4646+311+857+1472+745+1285+386</f>
        <v>60532</v>
      </c>
      <c r="O187" s="233">
        <f>M187/N187</f>
        <v>7.181193418357233</v>
      </c>
      <c r="P187" s="333"/>
    </row>
    <row r="188" spans="1:16" ht="15">
      <c r="A188" s="66">
        <v>186</v>
      </c>
      <c r="B188" s="293" t="s">
        <v>23</v>
      </c>
      <c r="C188" s="286">
        <v>39808</v>
      </c>
      <c r="D188" s="285" t="s">
        <v>136</v>
      </c>
      <c r="E188" s="285" t="s">
        <v>24</v>
      </c>
      <c r="F188" s="287">
        <v>198</v>
      </c>
      <c r="G188" s="287">
        <v>5</v>
      </c>
      <c r="H188" s="287">
        <v>7</v>
      </c>
      <c r="I188" s="288">
        <v>2023</v>
      </c>
      <c r="J188" s="289">
        <v>452</v>
      </c>
      <c r="K188" s="290">
        <f>IF(I188&lt;&gt;0,J188/G188,"")</f>
        <v>90.4</v>
      </c>
      <c r="L188" s="291">
        <f t="shared" si="7"/>
        <v>4.475663716814159</v>
      </c>
      <c r="M188" s="292">
        <f>909072+532572.5+214521.5+64908+15178.5+4216.5+2023</f>
        <v>1742492</v>
      </c>
      <c r="N188" s="290">
        <f>112486+67146+29772+10700+3086+733+452</f>
        <v>224375</v>
      </c>
      <c r="O188" s="294">
        <f>+M188/N188</f>
        <v>7.7659810584958215</v>
      </c>
      <c r="P188" s="333">
        <v>1</v>
      </c>
    </row>
    <row r="189" spans="1:16" ht="15">
      <c r="A189" s="66">
        <v>187</v>
      </c>
      <c r="B189" s="49" t="s">
        <v>69</v>
      </c>
      <c r="C189" s="39">
        <v>39766</v>
      </c>
      <c r="D189" s="44" t="s">
        <v>134</v>
      </c>
      <c r="E189" s="44" t="s">
        <v>50</v>
      </c>
      <c r="F189" s="41">
        <v>20</v>
      </c>
      <c r="G189" s="41">
        <v>5</v>
      </c>
      <c r="H189" s="41">
        <v>17</v>
      </c>
      <c r="I189" s="307">
        <v>2013</v>
      </c>
      <c r="J189" s="308">
        <v>298</v>
      </c>
      <c r="K189" s="155">
        <f>(J189/G189)</f>
        <v>59.6</v>
      </c>
      <c r="L189" s="156">
        <f t="shared" si="7"/>
        <v>6.75503355704698</v>
      </c>
      <c r="M189" s="154">
        <f>109364.5+38539+31287+12101+5368+8640.5+12331+9410+9143+5719+2775+1424+1017+338+1223+1447+5587+2013</f>
        <v>257727</v>
      </c>
      <c r="N189" s="155">
        <f>11866+4674+4443+2133+1061+1670+2334+1542+1728+1224+544+356+207+68+185+229+749+298</f>
        <v>35311</v>
      </c>
      <c r="O189" s="103">
        <f>M189/N189</f>
        <v>7.298773753221376</v>
      </c>
      <c r="P189" s="332">
        <v>1</v>
      </c>
    </row>
    <row r="190" spans="1:16" ht="15">
      <c r="A190" s="66">
        <v>188</v>
      </c>
      <c r="B190" s="293" t="s">
        <v>169</v>
      </c>
      <c r="C190" s="286">
        <v>39472</v>
      </c>
      <c r="D190" s="285" t="s">
        <v>132</v>
      </c>
      <c r="E190" s="285" t="s">
        <v>92</v>
      </c>
      <c r="F190" s="287">
        <v>1</v>
      </c>
      <c r="G190" s="287">
        <v>1</v>
      </c>
      <c r="H190" s="287">
        <v>31</v>
      </c>
      <c r="I190" s="288">
        <v>1976</v>
      </c>
      <c r="J190" s="289">
        <v>652</v>
      </c>
      <c r="K190" s="290">
        <f>J190/G190</f>
        <v>652</v>
      </c>
      <c r="L190" s="291">
        <f t="shared" si="7"/>
        <v>3.0306748466257667</v>
      </c>
      <c r="M190" s="292">
        <f>395290.5+262822+75939+23709.5+4083+1327+9321+1445+1267+2173+4575+201+1748+3343+728+28+948+1329+163+182+173+15521.5+171+40+110+75+183.5+127+124.5+1976</f>
        <v>809123.5</v>
      </c>
      <c r="N190" s="290">
        <f>47426+32442+9866+4010+887+225+2185+263+226+460+1077+33+367+887+230+4+139+355+32+35+32+3859+49+8+22+15+68+46+45+659</f>
        <v>105952</v>
      </c>
      <c r="O190" s="294">
        <f>+M190/N190</f>
        <v>7.636698693748112</v>
      </c>
      <c r="P190" s="321"/>
    </row>
    <row r="191" spans="1:16" ht="15">
      <c r="A191" s="66">
        <v>189</v>
      </c>
      <c r="B191" s="363" t="s">
        <v>25</v>
      </c>
      <c r="C191" s="39">
        <v>39808</v>
      </c>
      <c r="D191" s="44" t="s">
        <v>131</v>
      </c>
      <c r="E191" s="44" t="s">
        <v>111</v>
      </c>
      <c r="F191" s="41">
        <v>112</v>
      </c>
      <c r="G191" s="41">
        <v>6</v>
      </c>
      <c r="H191" s="41">
        <v>21</v>
      </c>
      <c r="I191" s="263">
        <v>1946</v>
      </c>
      <c r="J191" s="308">
        <v>831</v>
      </c>
      <c r="K191" s="155">
        <f>J191/G191</f>
        <v>138.5</v>
      </c>
      <c r="L191" s="356">
        <f t="shared" si="7"/>
        <v>2.341756919374248</v>
      </c>
      <c r="M191" s="267">
        <v>2061292</v>
      </c>
      <c r="N191" s="155">
        <v>215946</v>
      </c>
      <c r="O191" s="357">
        <f>+M191/N191</f>
        <v>9.545404869735952</v>
      </c>
      <c r="P191" s="321"/>
    </row>
    <row r="192" spans="1:16" ht="15">
      <c r="A192" s="66">
        <v>190</v>
      </c>
      <c r="B192" s="53" t="s">
        <v>64</v>
      </c>
      <c r="C192" s="39">
        <v>39759</v>
      </c>
      <c r="D192" s="127" t="s">
        <v>65</v>
      </c>
      <c r="E192" s="127" t="s">
        <v>66</v>
      </c>
      <c r="F192" s="50">
        <v>156</v>
      </c>
      <c r="G192" s="50">
        <v>1</v>
      </c>
      <c r="H192" s="50">
        <v>26</v>
      </c>
      <c r="I192" s="369">
        <v>1915</v>
      </c>
      <c r="J192" s="370">
        <v>383</v>
      </c>
      <c r="K192" s="371">
        <f>J192/G192</f>
        <v>383</v>
      </c>
      <c r="L192" s="372">
        <f t="shared" si="7"/>
        <v>5</v>
      </c>
      <c r="M192" s="373">
        <v>23376399.5</v>
      </c>
      <c r="N192" s="374">
        <v>2780719</v>
      </c>
      <c r="O192" s="381">
        <f>+M192/N192</f>
        <v>8.406602572931677</v>
      </c>
      <c r="P192" s="332">
        <v>1</v>
      </c>
    </row>
    <row r="193" spans="1:16" ht="15">
      <c r="A193" s="66">
        <v>191</v>
      </c>
      <c r="B193" s="363" t="s">
        <v>44</v>
      </c>
      <c r="C193" s="39">
        <v>39780</v>
      </c>
      <c r="D193" s="44" t="s">
        <v>131</v>
      </c>
      <c r="E193" s="44" t="s">
        <v>127</v>
      </c>
      <c r="F193" s="41">
        <v>121</v>
      </c>
      <c r="G193" s="41">
        <v>3</v>
      </c>
      <c r="H193" s="41">
        <v>24</v>
      </c>
      <c r="I193" s="267">
        <v>1906</v>
      </c>
      <c r="J193" s="155">
        <v>550</v>
      </c>
      <c r="K193" s="155">
        <f>J193/G193</f>
        <v>183.33333333333334</v>
      </c>
      <c r="L193" s="356">
        <f t="shared" si="7"/>
        <v>3.4654545454545453</v>
      </c>
      <c r="M193" s="267">
        <v>3469497</v>
      </c>
      <c r="N193" s="155">
        <v>409368</v>
      </c>
      <c r="O193" s="357">
        <f>+M193/N193</f>
        <v>8.475252095913701</v>
      </c>
      <c r="P193" s="333"/>
    </row>
    <row r="194" spans="1:16" ht="15">
      <c r="A194" s="66">
        <v>192</v>
      </c>
      <c r="B194" s="293" t="s">
        <v>142</v>
      </c>
      <c r="C194" s="286">
        <v>39794</v>
      </c>
      <c r="D194" s="285" t="s">
        <v>134</v>
      </c>
      <c r="E194" s="285" t="s">
        <v>133</v>
      </c>
      <c r="F194" s="287">
        <v>100</v>
      </c>
      <c r="G194" s="287">
        <v>2</v>
      </c>
      <c r="H194" s="287">
        <v>11</v>
      </c>
      <c r="I194" s="288">
        <v>1904</v>
      </c>
      <c r="J194" s="289">
        <v>524</v>
      </c>
      <c r="K194" s="290">
        <f>(J194/G194)</f>
        <v>262</v>
      </c>
      <c r="L194" s="291">
        <f t="shared" si="7"/>
        <v>3.633587786259542</v>
      </c>
      <c r="M194" s="292">
        <f>1276778.5+626123+380324+112679.5+54533+36086+4129+3620.5+4348+1030+1904</f>
        <v>2501555.5</v>
      </c>
      <c r="N194" s="290">
        <f>133555+68793+41581+14968+8873+6454+539+324+976+204+524</f>
        <v>276791</v>
      </c>
      <c r="O194" s="294">
        <f>M194/N194</f>
        <v>9.03770534446568</v>
      </c>
      <c r="P194" s="332"/>
    </row>
    <row r="195" spans="1:16" ht="15">
      <c r="A195" s="66">
        <v>193</v>
      </c>
      <c r="B195" s="293" t="s">
        <v>70</v>
      </c>
      <c r="C195" s="286">
        <v>39766</v>
      </c>
      <c r="D195" s="285" t="s">
        <v>132</v>
      </c>
      <c r="E195" s="285" t="s">
        <v>201</v>
      </c>
      <c r="F195" s="287">
        <v>2</v>
      </c>
      <c r="G195" s="287">
        <v>2</v>
      </c>
      <c r="H195" s="287">
        <v>14</v>
      </c>
      <c r="I195" s="288">
        <v>1882</v>
      </c>
      <c r="J195" s="289">
        <v>265</v>
      </c>
      <c r="K195" s="290">
        <f>(J195/G195)</f>
        <v>132.5</v>
      </c>
      <c r="L195" s="291">
        <f t="shared" si="7"/>
        <v>7.10188679245283</v>
      </c>
      <c r="M195" s="292">
        <f>191668+16358.5+8305+0.5+19699.5+16705.5+7289+4467+3138+2267+1882</f>
        <v>271780</v>
      </c>
      <c r="N195" s="290">
        <f>10324+8249+7871+7121+4755+3362+1751+2958+2636+1185+800+596+440+265</f>
        <v>52313</v>
      </c>
      <c r="O195" s="294">
        <f aca="true" t="shared" si="8" ref="O195:O200">+M195/N195</f>
        <v>5.195266950853516</v>
      </c>
      <c r="P195" s="321"/>
    </row>
    <row r="196" spans="1:16" ht="15">
      <c r="A196" s="66">
        <v>194</v>
      </c>
      <c r="B196" s="363" t="s">
        <v>25</v>
      </c>
      <c r="C196" s="39">
        <v>39808</v>
      </c>
      <c r="D196" s="44" t="s">
        <v>131</v>
      </c>
      <c r="E196" s="44" t="s">
        <v>111</v>
      </c>
      <c r="F196" s="41">
        <v>112</v>
      </c>
      <c r="G196" s="41">
        <v>4</v>
      </c>
      <c r="H196" s="41">
        <v>22</v>
      </c>
      <c r="I196" s="267">
        <v>1871</v>
      </c>
      <c r="J196" s="155">
        <v>597</v>
      </c>
      <c r="K196" s="155">
        <f>J196/G196</f>
        <v>149.25</v>
      </c>
      <c r="L196" s="356">
        <f t="shared" si="7"/>
        <v>3.134003350083752</v>
      </c>
      <c r="M196" s="267">
        <v>2063163</v>
      </c>
      <c r="N196" s="155">
        <v>216543</v>
      </c>
      <c r="O196" s="357">
        <f t="shared" si="8"/>
        <v>9.527728903728129</v>
      </c>
      <c r="P196" s="333">
        <v>1</v>
      </c>
    </row>
    <row r="197" spans="1:16" ht="15">
      <c r="A197" s="66">
        <v>195</v>
      </c>
      <c r="B197" s="293" t="s">
        <v>202</v>
      </c>
      <c r="C197" s="286">
        <v>39808</v>
      </c>
      <c r="D197" s="285" t="s">
        <v>131</v>
      </c>
      <c r="E197" s="285" t="s">
        <v>111</v>
      </c>
      <c r="F197" s="287">
        <v>112</v>
      </c>
      <c r="G197" s="287">
        <v>7</v>
      </c>
      <c r="H197" s="287">
        <v>8</v>
      </c>
      <c r="I197" s="288">
        <v>1869</v>
      </c>
      <c r="J197" s="289">
        <v>598</v>
      </c>
      <c r="K197" s="290">
        <f>J197/G197</f>
        <v>85.42857142857143</v>
      </c>
      <c r="L197" s="291">
        <f>+I197/J197</f>
        <v>3.1254180602006687</v>
      </c>
      <c r="M197" s="292">
        <v>2030509</v>
      </c>
      <c r="N197" s="290">
        <v>208405</v>
      </c>
      <c r="O197" s="294">
        <f t="shared" si="8"/>
        <v>9.743091576497685</v>
      </c>
      <c r="P197" s="332"/>
    </row>
    <row r="198" spans="1:16" ht="15">
      <c r="A198" s="66">
        <v>196</v>
      </c>
      <c r="B198" s="293" t="s">
        <v>144</v>
      </c>
      <c r="C198" s="286">
        <v>39801</v>
      </c>
      <c r="D198" s="285" t="s">
        <v>130</v>
      </c>
      <c r="E198" s="285" t="s">
        <v>122</v>
      </c>
      <c r="F198" s="287">
        <v>69</v>
      </c>
      <c r="G198" s="287">
        <v>2</v>
      </c>
      <c r="H198" s="287">
        <v>12</v>
      </c>
      <c r="I198" s="288">
        <v>1821</v>
      </c>
      <c r="J198" s="289">
        <v>386</v>
      </c>
      <c r="K198" s="290">
        <f>J198/G198</f>
        <v>193</v>
      </c>
      <c r="L198" s="291">
        <f>I198/J198</f>
        <v>4.717616580310881</v>
      </c>
      <c r="M198" s="292">
        <f>820286+588484+413907+112495+41441-111+9385+4586+8718+1191+251+1065+1821</f>
        <v>2003519</v>
      </c>
      <c r="N198" s="290">
        <f>83839+57678+42374+12212+5722-11+2124+1350+1256+191+41+182+386</f>
        <v>207344</v>
      </c>
      <c r="O198" s="294">
        <f t="shared" si="8"/>
        <v>9.662777799212902</v>
      </c>
      <c r="P198" s="331">
        <v>1</v>
      </c>
    </row>
    <row r="199" spans="1:16" ht="30">
      <c r="A199" s="66">
        <v>197</v>
      </c>
      <c r="B199" s="245" t="s">
        <v>57</v>
      </c>
      <c r="C199" s="241">
        <v>39745</v>
      </c>
      <c r="D199" s="65" t="s">
        <v>131</v>
      </c>
      <c r="E199" s="243" t="s">
        <v>32</v>
      </c>
      <c r="F199" s="41">
        <v>57</v>
      </c>
      <c r="G199" s="41">
        <v>1</v>
      </c>
      <c r="H199" s="41">
        <v>13</v>
      </c>
      <c r="I199" s="307">
        <v>1816</v>
      </c>
      <c r="J199" s="308">
        <v>347</v>
      </c>
      <c r="K199" s="155">
        <f>J199/G199</f>
        <v>347</v>
      </c>
      <c r="L199" s="156">
        <f>+I199/J199</f>
        <v>5.23342939481268</v>
      </c>
      <c r="M199" s="154">
        <v>11692550</v>
      </c>
      <c r="N199" s="155">
        <v>126132</v>
      </c>
      <c r="O199" s="103">
        <f t="shared" si="8"/>
        <v>92.70090064377001</v>
      </c>
      <c r="P199" s="332"/>
    </row>
    <row r="200" spans="1:16" ht="15">
      <c r="A200" s="66">
        <v>198</v>
      </c>
      <c r="B200" s="293" t="s">
        <v>193</v>
      </c>
      <c r="C200" s="286">
        <v>39787</v>
      </c>
      <c r="D200" s="285" t="s">
        <v>131</v>
      </c>
      <c r="E200" s="285" t="s">
        <v>138</v>
      </c>
      <c r="F200" s="287">
        <v>406</v>
      </c>
      <c r="G200" s="287">
        <v>7</v>
      </c>
      <c r="H200" s="287">
        <v>10</v>
      </c>
      <c r="I200" s="288">
        <v>1802</v>
      </c>
      <c r="J200" s="289">
        <v>296</v>
      </c>
      <c r="K200" s="290">
        <f>J200/G200</f>
        <v>42.285714285714285</v>
      </c>
      <c r="L200" s="291">
        <f>I200/J200</f>
        <v>6.087837837837838</v>
      </c>
      <c r="M200" s="292">
        <v>30390916</v>
      </c>
      <c r="N200" s="290">
        <v>3700042</v>
      </c>
      <c r="O200" s="294">
        <f t="shared" si="8"/>
        <v>8.213667844851491</v>
      </c>
      <c r="P200" s="332"/>
    </row>
    <row r="201" spans="1:16" ht="15">
      <c r="A201" s="66">
        <v>199</v>
      </c>
      <c r="B201" s="293" t="s">
        <v>23</v>
      </c>
      <c r="C201" s="286">
        <v>39808</v>
      </c>
      <c r="D201" s="285" t="s">
        <v>136</v>
      </c>
      <c r="E201" s="285" t="s">
        <v>24</v>
      </c>
      <c r="F201" s="287">
        <v>198</v>
      </c>
      <c r="G201" s="287">
        <v>1</v>
      </c>
      <c r="H201" s="287">
        <v>13</v>
      </c>
      <c r="I201" s="288">
        <v>1782</v>
      </c>
      <c r="J201" s="289">
        <v>356</v>
      </c>
      <c r="K201" s="290">
        <f>IF(I201&lt;&gt;0,J201/G201,"")</f>
        <v>356</v>
      </c>
      <c r="L201" s="291">
        <f>IF(I201&lt;&gt;0,I201/J201,"")</f>
        <v>5.00561797752809</v>
      </c>
      <c r="M201" s="292">
        <v>1759400</v>
      </c>
      <c r="N201" s="290">
        <v>227872</v>
      </c>
      <c r="O201" s="294">
        <f>IF(M201&lt;&gt;0,M201/N201,"")</f>
        <v>7.721001263867434</v>
      </c>
      <c r="P201" s="332"/>
    </row>
    <row r="202" spans="1:16" ht="15">
      <c r="A202" s="66">
        <v>200</v>
      </c>
      <c r="B202" s="293" t="s">
        <v>17</v>
      </c>
      <c r="C202" s="286">
        <v>39717</v>
      </c>
      <c r="D202" s="285" t="s">
        <v>134</v>
      </c>
      <c r="E202" s="285" t="s">
        <v>18</v>
      </c>
      <c r="F202" s="287">
        <v>113</v>
      </c>
      <c r="G202" s="287">
        <v>1</v>
      </c>
      <c r="H202" s="287">
        <v>11</v>
      </c>
      <c r="I202" s="288">
        <v>1780</v>
      </c>
      <c r="J202" s="289">
        <v>445</v>
      </c>
      <c r="K202" s="290">
        <f>(J202/G202)</f>
        <v>445</v>
      </c>
      <c r="L202" s="291">
        <f>I202/J202</f>
        <v>4</v>
      </c>
      <c r="M202" s="292">
        <f>632132.5+337048.5+126471+47854+18242+7477+2804+4752+7760+1424+1780</f>
        <v>1187745</v>
      </c>
      <c r="N202" s="290">
        <f>68536+38225+16179+8425+3627+1827+662+1188+1940+356+445</f>
        <v>141410</v>
      </c>
      <c r="O202" s="294">
        <f>M202/N202</f>
        <v>8.399299908068736</v>
      </c>
      <c r="P202" s="332">
        <v>1</v>
      </c>
    </row>
    <row r="203" spans="1:16" ht="15">
      <c r="A203" s="66">
        <v>201</v>
      </c>
      <c r="B203" s="293" t="s">
        <v>26</v>
      </c>
      <c r="C203" s="286">
        <v>39808</v>
      </c>
      <c r="D203" s="285" t="s">
        <v>134</v>
      </c>
      <c r="E203" s="285" t="s">
        <v>133</v>
      </c>
      <c r="F203" s="287">
        <v>75</v>
      </c>
      <c r="G203" s="287">
        <v>4</v>
      </c>
      <c r="H203" s="287">
        <v>13</v>
      </c>
      <c r="I203" s="288">
        <v>1765</v>
      </c>
      <c r="J203" s="289">
        <v>323</v>
      </c>
      <c r="K203" s="290">
        <f>(J203/G203)</f>
        <v>80.75</v>
      </c>
      <c r="L203" s="291">
        <f>I203/J203</f>
        <v>5.464396284829721</v>
      </c>
      <c r="M203" s="292">
        <f>681566+578530+317284.5+141025.5+34373.5+6375+4225+7402.5+1014+4479+2688+2267+1765</f>
        <v>1782995</v>
      </c>
      <c r="N203" s="290">
        <f>64102+57106+32401+16644+4655+1030+644+1623+143+828+480+469+323</f>
        <v>180448</v>
      </c>
      <c r="O203" s="294">
        <f>M203/N203</f>
        <v>9.880935227877282</v>
      </c>
      <c r="P203" s="330"/>
    </row>
    <row r="204" spans="1:16" ht="15">
      <c r="A204" s="66">
        <v>202</v>
      </c>
      <c r="B204" s="49">
        <v>120</v>
      </c>
      <c r="C204" s="40">
        <v>39493</v>
      </c>
      <c r="D204" s="44" t="s">
        <v>132</v>
      </c>
      <c r="E204" s="44" t="s">
        <v>94</v>
      </c>
      <c r="F204" s="41">
        <v>179</v>
      </c>
      <c r="G204" s="41">
        <v>1</v>
      </c>
      <c r="H204" s="41">
        <v>39</v>
      </c>
      <c r="I204" s="307">
        <v>1758</v>
      </c>
      <c r="J204" s="308">
        <v>586</v>
      </c>
      <c r="K204" s="158">
        <f>(J204/G204)</f>
        <v>586</v>
      </c>
      <c r="L204" s="159">
        <f>I204/J204</f>
        <v>3</v>
      </c>
      <c r="M204" s="154">
        <f>940515+844172.5+750489+533469+396399.5+362067.5+228159+211115.5+153941.5+48+73076.5+60280+47290.5+46690+13789+13717.5+9809+2709.5+1288.5+22597.5+10821.5+12218+7313+44774.5+111294+3629+0.5+41599.5+20470.5+5217-3719.5+10067+1376+10253+13391+15635+48+500+2820+500+666+1758</f>
        <v>5022256.5</v>
      </c>
      <c r="N204" s="155">
        <f>135921+127724+124508+97493+101422+99063+62455+57586+44490+6+19837+19877+15923+15427+4822+4847+3310+822+280+7405+3528+4050+2428+14923+37098+1709+6180+3303+3114+328+3418+4411+5191+12+100+806+100+222+586</f>
        <v>1034725</v>
      </c>
      <c r="O204" s="105">
        <f>M204/N204</f>
        <v>4.853711372586919</v>
      </c>
      <c r="P204" s="332">
        <v>1</v>
      </c>
    </row>
    <row r="205" spans="1:16" ht="15">
      <c r="A205" s="66">
        <v>203</v>
      </c>
      <c r="B205" s="244" t="s">
        <v>97</v>
      </c>
      <c r="C205" s="241">
        <v>39752</v>
      </c>
      <c r="D205" s="243" t="s">
        <v>131</v>
      </c>
      <c r="E205" s="65" t="s">
        <v>124</v>
      </c>
      <c r="F205" s="322">
        <v>45</v>
      </c>
      <c r="G205" s="322">
        <v>2</v>
      </c>
      <c r="H205" s="322">
        <v>11</v>
      </c>
      <c r="I205" s="323">
        <v>1753</v>
      </c>
      <c r="J205" s="324">
        <v>344</v>
      </c>
      <c r="K205" s="325">
        <f>J205/G205</f>
        <v>172</v>
      </c>
      <c r="L205" s="326">
        <f>+I205/J205</f>
        <v>5.09593023255814</v>
      </c>
      <c r="M205" s="327">
        <v>456099</v>
      </c>
      <c r="N205" s="325">
        <v>49688</v>
      </c>
      <c r="O205" s="328">
        <f>+M205/N205</f>
        <v>9.17925857349863</v>
      </c>
      <c r="P205" s="330"/>
    </row>
    <row r="206" spans="1:16" ht="15">
      <c r="A206" s="66">
        <v>204</v>
      </c>
      <c r="B206" s="293" t="s">
        <v>149</v>
      </c>
      <c r="C206" s="286">
        <v>39801</v>
      </c>
      <c r="D206" s="285" t="s">
        <v>4</v>
      </c>
      <c r="E206" s="285" t="s">
        <v>77</v>
      </c>
      <c r="F206" s="287">
        <v>19</v>
      </c>
      <c r="G206" s="287">
        <v>2</v>
      </c>
      <c r="H206" s="287">
        <v>10</v>
      </c>
      <c r="I206" s="288">
        <v>1747</v>
      </c>
      <c r="J206" s="289">
        <v>341</v>
      </c>
      <c r="K206" s="290">
        <f>+J206/G206</f>
        <v>170.5</v>
      </c>
      <c r="L206" s="291">
        <f>I206/J206</f>
        <v>5.12316715542522</v>
      </c>
      <c r="M206" s="292">
        <v>141757</v>
      </c>
      <c r="N206" s="290">
        <v>13583</v>
      </c>
      <c r="O206" s="294">
        <f>+M206/N206</f>
        <v>10.436354266362365</v>
      </c>
      <c r="P206" s="331"/>
    </row>
    <row r="207" spans="1:16" ht="15">
      <c r="A207" s="66">
        <v>205</v>
      </c>
      <c r="B207" s="281" t="s">
        <v>163</v>
      </c>
      <c r="C207" s="40">
        <v>39766</v>
      </c>
      <c r="D207" s="261" t="s">
        <v>164</v>
      </c>
      <c r="E207" s="261" t="s">
        <v>165</v>
      </c>
      <c r="F207" s="262">
        <v>50</v>
      </c>
      <c r="G207" s="262">
        <v>3</v>
      </c>
      <c r="H207" s="262">
        <v>11</v>
      </c>
      <c r="I207" s="278">
        <v>1724</v>
      </c>
      <c r="J207" s="279">
        <v>419</v>
      </c>
      <c r="K207" s="265">
        <f>J207/G207</f>
        <v>139.66666666666666</v>
      </c>
      <c r="L207" s="266">
        <f>I207/J207</f>
        <v>4.114558472553699</v>
      </c>
      <c r="M207" s="280">
        <v>217051</v>
      </c>
      <c r="N207" s="265">
        <v>31055</v>
      </c>
      <c r="O207" s="282">
        <f>M207/N207</f>
        <v>6.989244888101755</v>
      </c>
      <c r="P207" s="331"/>
    </row>
    <row r="208" spans="1:16" ht="15">
      <c r="A208" s="66">
        <v>206</v>
      </c>
      <c r="B208" s="281" t="s">
        <v>28</v>
      </c>
      <c r="C208" s="40">
        <v>39808</v>
      </c>
      <c r="D208" s="261" t="s">
        <v>132</v>
      </c>
      <c r="E208" s="261" t="s">
        <v>29</v>
      </c>
      <c r="F208" s="262">
        <v>3</v>
      </c>
      <c r="G208" s="262">
        <v>3</v>
      </c>
      <c r="H208" s="262">
        <v>5</v>
      </c>
      <c r="I208" s="263">
        <v>1707</v>
      </c>
      <c r="J208" s="264">
        <v>346</v>
      </c>
      <c r="K208" s="271">
        <f>+J208/G208</f>
        <v>115.33333333333333</v>
      </c>
      <c r="L208" s="153">
        <f>+I208/J208</f>
        <v>4.933526011560693</v>
      </c>
      <c r="M208" s="267">
        <f>173290.5+101994+52183.5+11344+1707</f>
        <v>340519</v>
      </c>
      <c r="N208" s="268">
        <f>23989+15166+8100+1911+346</f>
        <v>49512</v>
      </c>
      <c r="O208" s="104">
        <f>+M208/N208</f>
        <v>6.877504443367265</v>
      </c>
      <c r="P208" s="330"/>
    </row>
    <row r="209" spans="1:16" ht="15">
      <c r="A209" s="66">
        <v>207</v>
      </c>
      <c r="B209" s="293" t="s">
        <v>149</v>
      </c>
      <c r="C209" s="286">
        <v>39801</v>
      </c>
      <c r="D209" s="285" t="s">
        <v>4</v>
      </c>
      <c r="E209" s="285" t="s">
        <v>77</v>
      </c>
      <c r="F209" s="287">
        <v>19</v>
      </c>
      <c r="G209" s="287">
        <v>3</v>
      </c>
      <c r="H209" s="287">
        <v>11</v>
      </c>
      <c r="I209" s="288">
        <v>1681</v>
      </c>
      <c r="J209" s="289">
        <v>280</v>
      </c>
      <c r="K209" s="290">
        <f>+J209/G209</f>
        <v>93.33333333333333</v>
      </c>
      <c r="L209" s="291">
        <f>+I209/J209</f>
        <v>6.003571428571429</v>
      </c>
      <c r="M209" s="292">
        <v>143438</v>
      </c>
      <c r="N209" s="290">
        <v>13863</v>
      </c>
      <c r="O209" s="294">
        <f>+M209/N209</f>
        <v>10.346822477097309</v>
      </c>
      <c r="P209" s="332"/>
    </row>
    <row r="210" spans="1:16" ht="15">
      <c r="A210" s="66">
        <v>208</v>
      </c>
      <c r="B210" s="49" t="s">
        <v>44</v>
      </c>
      <c r="C210" s="39">
        <v>39780</v>
      </c>
      <c r="D210" s="44" t="s">
        <v>131</v>
      </c>
      <c r="E210" s="44" t="s">
        <v>127</v>
      </c>
      <c r="F210" s="41">
        <v>121</v>
      </c>
      <c r="G210" s="41">
        <v>5</v>
      </c>
      <c r="H210" s="41">
        <v>21</v>
      </c>
      <c r="I210" s="267">
        <v>1666</v>
      </c>
      <c r="J210" s="155">
        <v>814</v>
      </c>
      <c r="K210" s="155">
        <f>J210/G210</f>
        <v>162.8</v>
      </c>
      <c r="L210" s="356">
        <f>+I210/J210</f>
        <v>2.0466830466830466</v>
      </c>
      <c r="M210" s="267">
        <v>3465467</v>
      </c>
      <c r="N210" s="155">
        <v>408440</v>
      </c>
      <c r="O210" s="357">
        <f>+M210/N210</f>
        <v>8.484641563020272</v>
      </c>
      <c r="P210" s="331">
        <v>1</v>
      </c>
    </row>
    <row r="211" spans="1:16" ht="15">
      <c r="A211" s="66">
        <v>209</v>
      </c>
      <c r="B211" s="49" t="s">
        <v>17</v>
      </c>
      <c r="C211" s="39">
        <v>39717</v>
      </c>
      <c r="D211" s="44" t="s">
        <v>134</v>
      </c>
      <c r="E211" s="44" t="s">
        <v>18</v>
      </c>
      <c r="F211" s="41">
        <v>113</v>
      </c>
      <c r="G211" s="41">
        <v>2</v>
      </c>
      <c r="H211" s="41">
        <v>13</v>
      </c>
      <c r="I211" s="307">
        <v>1664</v>
      </c>
      <c r="J211" s="308">
        <v>416</v>
      </c>
      <c r="K211" s="155">
        <f>(J211/G211)</f>
        <v>208</v>
      </c>
      <c r="L211" s="156">
        <f>I211/J211</f>
        <v>4</v>
      </c>
      <c r="M211" s="154">
        <f>632132.5+337048.5+126471+47854+18242+7477+2804+4752+7760+1424+1780+1664+1664</f>
        <v>1191073</v>
      </c>
      <c r="N211" s="155">
        <f>68536+38225+16179+8425+3627+1827+662+1188+1940+356+445+416+416</f>
        <v>142242</v>
      </c>
      <c r="O211" s="103">
        <f>M211/N211</f>
        <v>8.373567582008127</v>
      </c>
      <c r="P211" s="331">
        <v>1</v>
      </c>
    </row>
    <row r="212" spans="1:16" ht="15">
      <c r="A212" s="66">
        <v>210</v>
      </c>
      <c r="B212" s="293" t="s">
        <v>17</v>
      </c>
      <c r="C212" s="286">
        <v>39717</v>
      </c>
      <c r="D212" s="285" t="s">
        <v>134</v>
      </c>
      <c r="E212" s="285" t="s">
        <v>18</v>
      </c>
      <c r="F212" s="287">
        <v>113</v>
      </c>
      <c r="G212" s="287">
        <v>2</v>
      </c>
      <c r="H212" s="287">
        <v>12</v>
      </c>
      <c r="I212" s="292">
        <v>1664</v>
      </c>
      <c r="J212" s="290">
        <v>416</v>
      </c>
      <c r="K212" s="290">
        <f>(J212/G212)</f>
        <v>208</v>
      </c>
      <c r="L212" s="291">
        <f>I212/J212</f>
        <v>4</v>
      </c>
      <c r="M212" s="292">
        <f>632132.5+337048.5+126471+47854+18242+7477+2804+4752+7760+1424+1780+1664</f>
        <v>1189409</v>
      </c>
      <c r="N212" s="290">
        <f>68536+38225+16179+8425+3627+1827+662+1188+1940+356+445+416</f>
        <v>141826</v>
      </c>
      <c r="O212" s="294">
        <f>M212/N212</f>
        <v>8.386396006374008</v>
      </c>
      <c r="P212" s="345"/>
    </row>
    <row r="213" spans="1:16" ht="15">
      <c r="A213" s="66">
        <v>211</v>
      </c>
      <c r="B213" s="293" t="s">
        <v>204</v>
      </c>
      <c r="C213" s="286">
        <v>39808</v>
      </c>
      <c r="D213" s="285" t="s">
        <v>131</v>
      </c>
      <c r="E213" s="285" t="s">
        <v>124</v>
      </c>
      <c r="F213" s="287">
        <v>34</v>
      </c>
      <c r="G213" s="287">
        <v>2</v>
      </c>
      <c r="H213" s="287">
        <v>11</v>
      </c>
      <c r="I213" s="288">
        <v>1614</v>
      </c>
      <c r="J213" s="289">
        <v>245</v>
      </c>
      <c r="K213" s="290">
        <f>J213/G213</f>
        <v>122.5</v>
      </c>
      <c r="L213" s="291">
        <f>+I213/J213</f>
        <v>6.587755102040816</v>
      </c>
      <c r="M213" s="292">
        <v>805454</v>
      </c>
      <c r="N213" s="290">
        <v>90576</v>
      </c>
      <c r="O213" s="294">
        <f>+M213/N213</f>
        <v>8.892576399929341</v>
      </c>
      <c r="P213" s="332"/>
    </row>
    <row r="214" spans="1:16" ht="15">
      <c r="A214" s="66">
        <v>212</v>
      </c>
      <c r="B214" s="293" t="s">
        <v>139</v>
      </c>
      <c r="C214" s="286">
        <v>39787</v>
      </c>
      <c r="D214" s="285" t="s">
        <v>132</v>
      </c>
      <c r="E214" s="285" t="s">
        <v>140</v>
      </c>
      <c r="F214" s="287">
        <v>1</v>
      </c>
      <c r="G214" s="287">
        <v>1</v>
      </c>
      <c r="H214" s="287">
        <v>12</v>
      </c>
      <c r="I214" s="288">
        <v>1591</v>
      </c>
      <c r="J214" s="289">
        <v>321</v>
      </c>
      <c r="K214" s="290">
        <f>(J214/G214)</f>
        <v>321</v>
      </c>
      <c r="L214" s="291">
        <f>I214/J214</f>
        <v>4.956386292834891</v>
      </c>
      <c r="M214" s="292">
        <f>9280968+4694050.5+1992628+1117778+528440.5+225948.5+100229.5+60712.5+23747.5+18022-1837+3858+1591</f>
        <v>18046137</v>
      </c>
      <c r="N214" s="290">
        <f>1147876+614752+261380+141495+73035+33259+17736+11735+4194+3845-458+781+321</f>
        <v>2309951</v>
      </c>
      <c r="O214" s="294">
        <f>M214/N214</f>
        <v>7.812346235915827</v>
      </c>
      <c r="P214" s="330">
        <v>1</v>
      </c>
    </row>
    <row r="215" spans="1:16" ht="15">
      <c r="A215" s="66">
        <v>213</v>
      </c>
      <c r="B215" s="49" t="s">
        <v>40</v>
      </c>
      <c r="C215" s="40">
        <v>39752</v>
      </c>
      <c r="D215" s="45" t="s">
        <v>134</v>
      </c>
      <c r="E215" s="44" t="s">
        <v>1</v>
      </c>
      <c r="F215" s="41">
        <v>1</v>
      </c>
      <c r="G215" s="41">
        <v>1</v>
      </c>
      <c r="H215" s="41">
        <v>6</v>
      </c>
      <c r="I215" s="303">
        <v>1590</v>
      </c>
      <c r="J215" s="304">
        <v>189</v>
      </c>
      <c r="K215" s="158">
        <f>(J215/G215)</f>
        <v>189</v>
      </c>
      <c r="L215" s="159">
        <f>I215/J215</f>
        <v>8.412698412698413</v>
      </c>
      <c r="M215" s="150">
        <f>5026+4844+3356+2376+712+1590</f>
        <v>17904</v>
      </c>
      <c r="N215" s="151">
        <f>591+575+394+594+178+189</f>
        <v>2521</v>
      </c>
      <c r="O215" s="105">
        <f>M215/N215</f>
        <v>7.101943673145577</v>
      </c>
      <c r="P215" s="332"/>
    </row>
    <row r="216" spans="1:16" ht="15">
      <c r="A216" s="66">
        <v>214</v>
      </c>
      <c r="B216" s="293" t="s">
        <v>44</v>
      </c>
      <c r="C216" s="286">
        <v>39780</v>
      </c>
      <c r="D216" s="285" t="s">
        <v>131</v>
      </c>
      <c r="E216" s="285" t="s">
        <v>283</v>
      </c>
      <c r="F216" s="287">
        <v>121</v>
      </c>
      <c r="G216" s="287">
        <v>2</v>
      </c>
      <c r="H216" s="287">
        <v>19</v>
      </c>
      <c r="I216" s="292">
        <v>1560</v>
      </c>
      <c r="J216" s="290">
        <v>312</v>
      </c>
      <c r="K216" s="290">
        <f>J216/G216</f>
        <v>156</v>
      </c>
      <c r="L216" s="291">
        <f>+I216/J216</f>
        <v>5</v>
      </c>
      <c r="M216" s="292">
        <v>3463366</v>
      </c>
      <c r="N216" s="290">
        <v>407550</v>
      </c>
      <c r="O216" s="294">
        <f>+M216/N216</f>
        <v>8.498014967488652</v>
      </c>
      <c r="P216" s="332"/>
    </row>
    <row r="217" spans="1:16" ht="15">
      <c r="A217" s="66">
        <v>215</v>
      </c>
      <c r="B217" s="53" t="s">
        <v>141</v>
      </c>
      <c r="C217" s="39">
        <v>39780</v>
      </c>
      <c r="D217" s="127" t="s">
        <v>79</v>
      </c>
      <c r="E217" s="127" t="s">
        <v>48</v>
      </c>
      <c r="F217" s="50">
        <v>3</v>
      </c>
      <c r="G217" s="50">
        <v>3</v>
      </c>
      <c r="H217" s="50">
        <v>7</v>
      </c>
      <c r="I217" s="346">
        <v>1556</v>
      </c>
      <c r="J217" s="347">
        <v>247</v>
      </c>
      <c r="K217" s="271">
        <f>IF(I217&lt;&gt;0,J217/G217,"")</f>
        <v>82.33333333333333</v>
      </c>
      <c r="L217" s="215">
        <f>IF(I217&lt;&gt;0,I217/J217,"")</f>
        <v>6.299595141700405</v>
      </c>
      <c r="M217" s="348">
        <v>46731.5</v>
      </c>
      <c r="N217" s="349">
        <v>4603</v>
      </c>
      <c r="O217" s="104">
        <f>IF(M217&lt;&gt;0,M217/N217,"")</f>
        <v>10.152400608298935</v>
      </c>
      <c r="P217" s="332"/>
    </row>
    <row r="218" spans="1:16" ht="15">
      <c r="A218" s="66">
        <v>216</v>
      </c>
      <c r="B218" s="293" t="s">
        <v>53</v>
      </c>
      <c r="C218" s="286">
        <v>39738</v>
      </c>
      <c r="D218" s="285" t="s">
        <v>134</v>
      </c>
      <c r="E218" s="285" t="s">
        <v>54</v>
      </c>
      <c r="F218" s="287">
        <v>67</v>
      </c>
      <c r="G218" s="287">
        <v>2</v>
      </c>
      <c r="H218" s="287">
        <v>18</v>
      </c>
      <c r="I218" s="288">
        <v>1547</v>
      </c>
      <c r="J218" s="289">
        <v>392</v>
      </c>
      <c r="K218" s="290">
        <f>(J218/G218)</f>
        <v>196</v>
      </c>
      <c r="L218" s="291">
        <f>I218/J218</f>
        <v>3.9464285714285716</v>
      </c>
      <c r="M218" s="292">
        <f>167196+176809+54428+37340+38330.5+23467+11581+5867+4382+2577+3552+2137+545+4006+9422+7992+4936+1547</f>
        <v>556114.5</v>
      </c>
      <c r="N218" s="290">
        <f>19168+21164+7719+6215+6404+4964+2339+1306+907+580+859+440+127+905+2170+1822+1050+392</f>
        <v>78531</v>
      </c>
      <c r="O218" s="294">
        <f>+M218/N218</f>
        <v>7.081464644535279</v>
      </c>
      <c r="P218" s="331">
        <v>1</v>
      </c>
    </row>
    <row r="219" spans="1:16" ht="15">
      <c r="A219" s="66">
        <v>217</v>
      </c>
      <c r="B219" s="293" t="s">
        <v>213</v>
      </c>
      <c r="C219" s="286">
        <v>39668</v>
      </c>
      <c r="D219" s="285" t="s">
        <v>134</v>
      </c>
      <c r="E219" s="285" t="s">
        <v>214</v>
      </c>
      <c r="F219" s="287">
        <v>1</v>
      </c>
      <c r="G219" s="287">
        <v>1</v>
      </c>
      <c r="H219" s="287">
        <v>6</v>
      </c>
      <c r="I219" s="288">
        <v>1544</v>
      </c>
      <c r="J219" s="289">
        <v>386</v>
      </c>
      <c r="K219" s="290">
        <f>(J219/G219)</f>
        <v>386</v>
      </c>
      <c r="L219" s="291">
        <f>I219/J219</f>
        <v>4</v>
      </c>
      <c r="M219" s="292">
        <f>3110+2328+234+98+1424+1544</f>
        <v>8738</v>
      </c>
      <c r="N219" s="290">
        <f>365+272+41+14+356+386</f>
        <v>1434</v>
      </c>
      <c r="O219" s="294">
        <f>M219/N219</f>
        <v>6.093444909344491</v>
      </c>
      <c r="P219" s="332"/>
    </row>
    <row r="220" spans="1:16" ht="15">
      <c r="A220" s="66">
        <v>218</v>
      </c>
      <c r="B220" s="293" t="s">
        <v>180</v>
      </c>
      <c r="C220" s="286">
        <v>39675</v>
      </c>
      <c r="D220" s="285" t="s">
        <v>134</v>
      </c>
      <c r="E220" s="285" t="s">
        <v>181</v>
      </c>
      <c r="F220" s="287">
        <v>1</v>
      </c>
      <c r="G220" s="287">
        <v>1</v>
      </c>
      <c r="H220" s="287">
        <v>7</v>
      </c>
      <c r="I220" s="288">
        <v>1544</v>
      </c>
      <c r="J220" s="289">
        <v>386</v>
      </c>
      <c r="K220" s="290">
        <f>(J220/G220)</f>
        <v>386</v>
      </c>
      <c r="L220" s="291">
        <f>I220/J220</f>
        <v>4</v>
      </c>
      <c r="M220" s="292">
        <f>2342+965+725+344+92+189+1544</f>
        <v>6201</v>
      </c>
      <c r="N220" s="290">
        <f>283+144+96+45+14+27+386</f>
        <v>995</v>
      </c>
      <c r="O220" s="294">
        <f>+M220/N220</f>
        <v>6.232160804020101</v>
      </c>
      <c r="P220" s="330"/>
    </row>
    <row r="221" spans="1:16" ht="15">
      <c r="A221" s="66">
        <v>219</v>
      </c>
      <c r="B221" s="293" t="s">
        <v>44</v>
      </c>
      <c r="C221" s="286">
        <v>39780</v>
      </c>
      <c r="D221" s="285" t="s">
        <v>131</v>
      </c>
      <c r="E221" s="285" t="s">
        <v>127</v>
      </c>
      <c r="F221" s="287">
        <v>121</v>
      </c>
      <c r="G221" s="287">
        <v>6</v>
      </c>
      <c r="H221" s="287">
        <v>13</v>
      </c>
      <c r="I221" s="288">
        <v>1513</v>
      </c>
      <c r="J221" s="289">
        <v>509</v>
      </c>
      <c r="K221" s="290">
        <f>J221/G221</f>
        <v>84.83333333333333</v>
      </c>
      <c r="L221" s="291">
        <f>+I221/J221</f>
        <v>2.9724950884086443</v>
      </c>
      <c r="M221" s="292">
        <v>3456579</v>
      </c>
      <c r="N221" s="290">
        <v>406056</v>
      </c>
      <c r="O221" s="294">
        <f>+M221/N221</f>
        <v>8.512567232105916</v>
      </c>
      <c r="P221" s="332"/>
    </row>
    <row r="222" spans="1:16" ht="15">
      <c r="A222" s="66">
        <v>220</v>
      </c>
      <c r="B222" s="293" t="s">
        <v>149</v>
      </c>
      <c r="C222" s="286">
        <v>39801</v>
      </c>
      <c r="D222" s="285" t="s">
        <v>4</v>
      </c>
      <c r="E222" s="285" t="s">
        <v>77</v>
      </c>
      <c r="F222" s="287">
        <v>19</v>
      </c>
      <c r="G222" s="287">
        <v>5</v>
      </c>
      <c r="H222" s="287">
        <v>12</v>
      </c>
      <c r="I222" s="288">
        <v>1502</v>
      </c>
      <c r="J222" s="289">
        <v>260</v>
      </c>
      <c r="K222" s="290">
        <f>J222/G222</f>
        <v>52</v>
      </c>
      <c r="L222" s="291">
        <f>I222/J222</f>
        <v>5.776923076923077</v>
      </c>
      <c r="M222" s="292">
        <v>144940</v>
      </c>
      <c r="N222" s="290">
        <v>14123</v>
      </c>
      <c r="O222" s="294">
        <f>+M222/N222</f>
        <v>10.262692062592933</v>
      </c>
      <c r="P222" s="331"/>
    </row>
    <row r="223" spans="1:16" ht="15">
      <c r="A223" s="66">
        <v>221</v>
      </c>
      <c r="B223" s="363" t="s">
        <v>64</v>
      </c>
      <c r="C223" s="39">
        <v>39759</v>
      </c>
      <c r="D223" s="44" t="s">
        <v>65</v>
      </c>
      <c r="E223" s="44" t="s">
        <v>66</v>
      </c>
      <c r="F223" s="41">
        <v>156</v>
      </c>
      <c r="G223" s="41">
        <v>1</v>
      </c>
      <c r="H223" s="41">
        <v>25</v>
      </c>
      <c r="I223" s="267">
        <v>1485</v>
      </c>
      <c r="J223" s="155">
        <v>297</v>
      </c>
      <c r="K223" s="155">
        <f>J223/G223</f>
        <v>297</v>
      </c>
      <c r="L223" s="356">
        <f>I223/J223</f>
        <v>5</v>
      </c>
      <c r="M223" s="267">
        <v>23374484.5</v>
      </c>
      <c r="N223" s="155">
        <v>2780336</v>
      </c>
      <c r="O223" s="357">
        <f>+M223/N223</f>
        <v>8.407071843115364</v>
      </c>
      <c r="P223" s="332">
        <v>1</v>
      </c>
    </row>
    <row r="224" spans="1:16" ht="15">
      <c r="A224" s="66">
        <v>222</v>
      </c>
      <c r="B224" s="293" t="s">
        <v>215</v>
      </c>
      <c r="C224" s="286">
        <v>39710</v>
      </c>
      <c r="D224" s="285" t="s">
        <v>134</v>
      </c>
      <c r="E224" s="285" t="s">
        <v>1</v>
      </c>
      <c r="F224" s="287">
        <v>1</v>
      </c>
      <c r="G224" s="287">
        <v>1</v>
      </c>
      <c r="H224" s="287">
        <v>11</v>
      </c>
      <c r="I224" s="288">
        <v>1484</v>
      </c>
      <c r="J224" s="289">
        <v>371</v>
      </c>
      <c r="K224" s="290">
        <f>(J224/G224)</f>
        <v>371</v>
      </c>
      <c r="L224" s="291">
        <f>I224/J224</f>
        <v>4</v>
      </c>
      <c r="M224" s="292">
        <f>11305+5960+2538+2056+455+891+1621+1302+712+1484+1484</f>
        <v>29808</v>
      </c>
      <c r="N224" s="290">
        <f>835+676+295+239+136+275+187+148+178+371+371</f>
        <v>3711</v>
      </c>
      <c r="O224" s="294">
        <f>M224/N224</f>
        <v>8.032336297493936</v>
      </c>
      <c r="P224" s="332">
        <v>1</v>
      </c>
    </row>
    <row r="225" spans="1:16" ht="15">
      <c r="A225" s="66">
        <v>223</v>
      </c>
      <c r="B225" s="293" t="s">
        <v>215</v>
      </c>
      <c r="C225" s="286">
        <v>39710</v>
      </c>
      <c r="D225" s="285" t="s">
        <v>134</v>
      </c>
      <c r="E225" s="285" t="s">
        <v>1</v>
      </c>
      <c r="F225" s="287">
        <v>1</v>
      </c>
      <c r="G225" s="287">
        <v>1</v>
      </c>
      <c r="H225" s="287">
        <v>10</v>
      </c>
      <c r="I225" s="288">
        <v>1484</v>
      </c>
      <c r="J225" s="289">
        <v>371</v>
      </c>
      <c r="K225" s="290">
        <f>(J225/G225)</f>
        <v>371</v>
      </c>
      <c r="L225" s="291">
        <f>I225/J225</f>
        <v>4</v>
      </c>
      <c r="M225" s="292">
        <f>11305+5960+2538+2056+455+891+1621+1302+712+1484</f>
        <v>28324</v>
      </c>
      <c r="N225" s="290">
        <f>835+676+295+239+136+275+187+148+178+371</f>
        <v>3340</v>
      </c>
      <c r="O225" s="294">
        <f>M225/N225</f>
        <v>8.480239520958083</v>
      </c>
      <c r="P225" s="330">
        <v>1</v>
      </c>
    </row>
    <row r="226" spans="1:16" ht="15">
      <c r="A226" s="66">
        <v>224</v>
      </c>
      <c r="B226" s="49" t="s">
        <v>45</v>
      </c>
      <c r="C226" s="40">
        <v>39780</v>
      </c>
      <c r="D226" s="45" t="s">
        <v>134</v>
      </c>
      <c r="E226" s="44" t="s">
        <v>78</v>
      </c>
      <c r="F226" s="41">
        <v>61</v>
      </c>
      <c r="G226" s="41">
        <v>2</v>
      </c>
      <c r="H226" s="41">
        <v>8</v>
      </c>
      <c r="I226" s="303">
        <v>1470</v>
      </c>
      <c r="J226" s="304">
        <v>224</v>
      </c>
      <c r="K226" s="158">
        <f>(J226/G226)</f>
        <v>112</v>
      </c>
      <c r="L226" s="159">
        <f>I226/J226</f>
        <v>6.5625</v>
      </c>
      <c r="M226" s="150">
        <f>499000.5+313125.5+89561.5+27980+2002.5+4772+1387+1470</f>
        <v>939299</v>
      </c>
      <c r="N226" s="151">
        <f>48458+27725+9315+4737+330+944+309+224</f>
        <v>92042</v>
      </c>
      <c r="O226" s="105">
        <f>M226/N226</f>
        <v>10.205112883248951</v>
      </c>
      <c r="P226" s="332">
        <v>1</v>
      </c>
    </row>
    <row r="227" spans="1:16" ht="15">
      <c r="A227" s="66">
        <v>225</v>
      </c>
      <c r="B227" s="232" t="s">
        <v>68</v>
      </c>
      <c r="C227" s="216">
        <v>39759</v>
      </c>
      <c r="D227" s="217" t="s">
        <v>136</v>
      </c>
      <c r="E227" s="217" t="s">
        <v>31</v>
      </c>
      <c r="F227" s="218">
        <v>40</v>
      </c>
      <c r="G227" s="218">
        <v>3</v>
      </c>
      <c r="H227" s="218">
        <v>10</v>
      </c>
      <c r="I227" s="311">
        <v>1450</v>
      </c>
      <c r="J227" s="312">
        <v>318</v>
      </c>
      <c r="K227" s="219">
        <f>IF(I227&lt;&gt;0,J227/G227,"")</f>
        <v>106</v>
      </c>
      <c r="L227" s="220">
        <f>IF(I227&lt;&gt;0,I227/J227,"")</f>
        <v>4.559748427672956</v>
      </c>
      <c r="M227" s="221">
        <f>84918+52341+11404+7823+3207+2014+937+2034+556+1450</f>
        <v>166684</v>
      </c>
      <c r="N227" s="222">
        <f>10694+7043+2046+1560+538+345+174+389+77+318</f>
        <v>23184</v>
      </c>
      <c r="O227" s="237">
        <f>IF(M227&lt;&gt;0,M227/N227,"")</f>
        <v>7.1896135265700485</v>
      </c>
      <c r="P227" s="331"/>
    </row>
    <row r="228" spans="1:16" ht="15">
      <c r="A228" s="66">
        <v>226</v>
      </c>
      <c r="B228" s="293" t="s">
        <v>69</v>
      </c>
      <c r="C228" s="286">
        <v>39766</v>
      </c>
      <c r="D228" s="285" t="s">
        <v>134</v>
      </c>
      <c r="E228" s="285" t="s">
        <v>50</v>
      </c>
      <c r="F228" s="287">
        <v>20</v>
      </c>
      <c r="G228" s="287">
        <v>3</v>
      </c>
      <c r="H228" s="287">
        <v>15</v>
      </c>
      <c r="I228" s="288">
        <v>1447</v>
      </c>
      <c r="J228" s="289">
        <v>229</v>
      </c>
      <c r="K228" s="290">
        <f>(J228/G228)</f>
        <v>76.33333333333333</v>
      </c>
      <c r="L228" s="291">
        <f>I228/J228</f>
        <v>6.318777292576419</v>
      </c>
      <c r="M228" s="292">
        <f>109364.5+38539+31287+12101+5368+8640.5+12331+9410+9143+5719+2775+1424+1017+338+1223+1447</f>
        <v>250127</v>
      </c>
      <c r="N228" s="290">
        <f>11866+4674+4443+2133+1061+1670+2334+1542+1728+1224+544+356+207+68+185+229</f>
        <v>34264</v>
      </c>
      <c r="O228" s="294">
        <f>M228/N228</f>
        <v>7.299994162969881</v>
      </c>
      <c r="P228" s="332">
        <v>1</v>
      </c>
    </row>
    <row r="229" spans="1:16" ht="15">
      <c r="A229" s="66">
        <v>227</v>
      </c>
      <c r="B229" s="293" t="s">
        <v>215</v>
      </c>
      <c r="C229" s="286">
        <v>39710</v>
      </c>
      <c r="D229" s="285" t="s">
        <v>134</v>
      </c>
      <c r="E229" s="285" t="s">
        <v>1</v>
      </c>
      <c r="F229" s="287">
        <v>1</v>
      </c>
      <c r="G229" s="287">
        <v>1</v>
      </c>
      <c r="H229" s="287">
        <v>12</v>
      </c>
      <c r="I229" s="288">
        <v>1424</v>
      </c>
      <c r="J229" s="289">
        <v>356</v>
      </c>
      <c r="K229" s="290">
        <f>(J229/G229)</f>
        <v>356</v>
      </c>
      <c r="L229" s="291">
        <f>I229/J229</f>
        <v>4</v>
      </c>
      <c r="M229" s="292">
        <f>11305+5960+2538+2056+455+891+1621+1302+712+1484+1484+1424</f>
        <v>31232</v>
      </c>
      <c r="N229" s="290">
        <f>835+676+295+239+136+275+187+148+178+371+371+356</f>
        <v>4067</v>
      </c>
      <c r="O229" s="294">
        <f>M229/N229</f>
        <v>7.679370543398083</v>
      </c>
      <c r="P229" s="331"/>
    </row>
    <row r="230" spans="1:16" ht="15">
      <c r="A230" s="66">
        <v>228</v>
      </c>
      <c r="B230" s="293" t="s">
        <v>69</v>
      </c>
      <c r="C230" s="286">
        <v>39766</v>
      </c>
      <c r="D230" s="285" t="s">
        <v>134</v>
      </c>
      <c r="E230" s="285" t="s">
        <v>50</v>
      </c>
      <c r="F230" s="287">
        <v>20</v>
      </c>
      <c r="G230" s="287">
        <v>1</v>
      </c>
      <c r="H230" s="287">
        <v>12</v>
      </c>
      <c r="I230" s="288">
        <v>1424</v>
      </c>
      <c r="J230" s="289">
        <v>356</v>
      </c>
      <c r="K230" s="290">
        <f>(J230/G230)</f>
        <v>356</v>
      </c>
      <c r="L230" s="291">
        <f>I230/J230</f>
        <v>4</v>
      </c>
      <c r="M230" s="292">
        <f>109364.5+38539+31287+12101+5368+8640.5+12331+9410+9143+5719+2775+1424</f>
        <v>246102</v>
      </c>
      <c r="N230" s="290">
        <f>11866+4674+4443+2133+1061+1670+2334+1542+1728+1224+544+356</f>
        <v>33575</v>
      </c>
      <c r="O230" s="294">
        <f>+M230/N230</f>
        <v>7.329918093819806</v>
      </c>
      <c r="P230" s="331">
        <v>1</v>
      </c>
    </row>
    <row r="231" spans="1:16" ht="15">
      <c r="A231" s="66">
        <v>229</v>
      </c>
      <c r="B231" s="49" t="s">
        <v>17</v>
      </c>
      <c r="C231" s="40">
        <v>39717</v>
      </c>
      <c r="D231" s="45" t="s">
        <v>134</v>
      </c>
      <c r="E231" s="44" t="s">
        <v>18</v>
      </c>
      <c r="F231" s="41">
        <v>113</v>
      </c>
      <c r="G231" s="41">
        <v>1</v>
      </c>
      <c r="H231" s="41">
        <v>10</v>
      </c>
      <c r="I231" s="303">
        <v>1424</v>
      </c>
      <c r="J231" s="304">
        <v>356</v>
      </c>
      <c r="K231" s="158">
        <f>(J231/G231)</f>
        <v>356</v>
      </c>
      <c r="L231" s="159">
        <f>I231/J231</f>
        <v>4</v>
      </c>
      <c r="M231" s="150">
        <f>632132.5+337048.5+126471+47854+18242+7477+2804+4752+7760+1424</f>
        <v>1185965</v>
      </c>
      <c r="N231" s="151">
        <f>68536+38225+16179+8425+3627+1827+662+1188+1940+356</f>
        <v>140965</v>
      </c>
      <c r="O231" s="105">
        <f>M231/N231</f>
        <v>8.4131876706984</v>
      </c>
      <c r="P231" s="330">
        <v>1</v>
      </c>
    </row>
    <row r="232" spans="1:16" ht="15">
      <c r="A232" s="66">
        <v>230</v>
      </c>
      <c r="B232" s="293" t="s">
        <v>216</v>
      </c>
      <c r="C232" s="286">
        <v>39808</v>
      </c>
      <c r="D232" s="285" t="s">
        <v>131</v>
      </c>
      <c r="E232" s="285" t="s">
        <v>111</v>
      </c>
      <c r="F232" s="287">
        <v>112</v>
      </c>
      <c r="G232" s="287">
        <v>5</v>
      </c>
      <c r="H232" s="287">
        <v>9</v>
      </c>
      <c r="I232" s="288">
        <v>1412</v>
      </c>
      <c r="J232" s="289">
        <v>274</v>
      </c>
      <c r="K232" s="290">
        <f>J232/G232</f>
        <v>54.8</v>
      </c>
      <c r="L232" s="291">
        <f>+I232/J232</f>
        <v>5.153284671532846</v>
      </c>
      <c r="M232" s="292">
        <v>208679</v>
      </c>
      <c r="N232" s="290">
        <v>208405</v>
      </c>
      <c r="O232" s="294">
        <f>+M232/N232</f>
        <v>1.001314747726782</v>
      </c>
      <c r="P232" s="332"/>
    </row>
    <row r="233" spans="1:16" ht="15">
      <c r="A233" s="66">
        <v>231</v>
      </c>
      <c r="B233" s="293" t="s">
        <v>64</v>
      </c>
      <c r="C233" s="286">
        <v>39759</v>
      </c>
      <c r="D233" s="285" t="s">
        <v>65</v>
      </c>
      <c r="E233" s="285" t="s">
        <v>66</v>
      </c>
      <c r="F233" s="287">
        <v>2</v>
      </c>
      <c r="G233" s="287">
        <v>2</v>
      </c>
      <c r="H233" s="287">
        <v>22</v>
      </c>
      <c r="I233" s="292">
        <v>1396</v>
      </c>
      <c r="J233" s="290">
        <v>171</v>
      </c>
      <c r="K233" s="290">
        <f>J233/G233</f>
        <v>85.5</v>
      </c>
      <c r="L233" s="291">
        <f aca="true" t="shared" si="9" ref="L233:L238">I233/J233</f>
        <v>8.163742690058479</v>
      </c>
      <c r="M233" s="292">
        <v>23372742.5</v>
      </c>
      <c r="N233" s="290">
        <v>2779988</v>
      </c>
      <c r="O233" s="294">
        <f>+M233/N233</f>
        <v>8.407497622291896</v>
      </c>
      <c r="P233" s="332"/>
    </row>
    <row r="234" spans="1:16" ht="15">
      <c r="A234" s="66">
        <v>232</v>
      </c>
      <c r="B234" s="234" t="s">
        <v>45</v>
      </c>
      <c r="C234" s="229">
        <v>39780</v>
      </c>
      <c r="D234" s="217" t="s">
        <v>134</v>
      </c>
      <c r="E234" s="227" t="s">
        <v>78</v>
      </c>
      <c r="F234" s="228">
        <v>61</v>
      </c>
      <c r="G234" s="228">
        <v>3</v>
      </c>
      <c r="H234" s="228">
        <v>7</v>
      </c>
      <c r="I234" s="297">
        <v>1387</v>
      </c>
      <c r="J234" s="298">
        <v>309</v>
      </c>
      <c r="K234" s="223">
        <f>(J234/G234)</f>
        <v>103</v>
      </c>
      <c r="L234" s="224">
        <f t="shared" si="9"/>
        <v>4.488673139158576</v>
      </c>
      <c r="M234" s="225">
        <f>499000.5+313125.5+89561.5+27980+2002.5+4772+1387</f>
        <v>937829</v>
      </c>
      <c r="N234" s="226">
        <f>48458+27725+9315+4737+330+944+309</f>
        <v>91818</v>
      </c>
      <c r="O234" s="233">
        <f>M234/N234</f>
        <v>10.213999433662245</v>
      </c>
      <c r="P234" s="332">
        <v>1</v>
      </c>
    </row>
    <row r="235" spans="1:16" ht="15">
      <c r="A235" s="66">
        <v>233</v>
      </c>
      <c r="B235" s="293" t="s">
        <v>45</v>
      </c>
      <c r="C235" s="286">
        <v>39780</v>
      </c>
      <c r="D235" s="285" t="s">
        <v>134</v>
      </c>
      <c r="E235" s="285" t="s">
        <v>78</v>
      </c>
      <c r="F235" s="287">
        <v>61</v>
      </c>
      <c r="G235" s="287">
        <v>1</v>
      </c>
      <c r="H235" s="287">
        <v>10</v>
      </c>
      <c r="I235" s="288">
        <v>1387</v>
      </c>
      <c r="J235" s="289">
        <v>250</v>
      </c>
      <c r="K235" s="290">
        <f>(J235/G235)</f>
        <v>250</v>
      </c>
      <c r="L235" s="291">
        <f t="shared" si="9"/>
        <v>5.548</v>
      </c>
      <c r="M235" s="292">
        <f>499000.5+313125.5+89561.5+27980+2002.5+4772+1387+1470+1387+1387</f>
        <v>942073</v>
      </c>
      <c r="N235" s="290">
        <f>48458+27725+9315+4737+330+944+309+224+175+250</f>
        <v>92467</v>
      </c>
      <c r="O235" s="294">
        <f>M235/N235</f>
        <v>10.188207684903803</v>
      </c>
      <c r="P235" s="345">
        <v>1</v>
      </c>
    </row>
    <row r="236" spans="1:16" ht="15">
      <c r="A236" s="66">
        <v>234</v>
      </c>
      <c r="B236" s="281" t="s">
        <v>45</v>
      </c>
      <c r="C236" s="40">
        <v>39780</v>
      </c>
      <c r="D236" s="127" t="s">
        <v>134</v>
      </c>
      <c r="E236" s="261" t="s">
        <v>78</v>
      </c>
      <c r="F236" s="262">
        <v>61</v>
      </c>
      <c r="G236" s="262">
        <v>2</v>
      </c>
      <c r="H236" s="262">
        <v>9</v>
      </c>
      <c r="I236" s="273">
        <v>1387</v>
      </c>
      <c r="J236" s="274">
        <v>175</v>
      </c>
      <c r="K236" s="275">
        <f>(J236/G236)</f>
        <v>87.5</v>
      </c>
      <c r="L236" s="159">
        <f t="shared" si="9"/>
        <v>7.925714285714286</v>
      </c>
      <c r="M236" s="276">
        <f>499000.5+313125.5+89561.5+27980+2002.5+4772+1387+1470+1387</f>
        <v>940686</v>
      </c>
      <c r="N236" s="277">
        <f>48458+27725+9315+4737+330+944+309+224+175</f>
        <v>92217</v>
      </c>
      <c r="O236" s="105">
        <f>M236/N236</f>
        <v>10.20078727349621</v>
      </c>
      <c r="P236" s="332"/>
    </row>
    <row r="237" spans="1:16" ht="15">
      <c r="A237" s="66">
        <v>235</v>
      </c>
      <c r="B237" s="293" t="s">
        <v>271</v>
      </c>
      <c r="C237" s="286">
        <v>39724</v>
      </c>
      <c r="D237" s="285" t="s">
        <v>132</v>
      </c>
      <c r="E237" s="285" t="s">
        <v>107</v>
      </c>
      <c r="F237" s="287">
        <v>1</v>
      </c>
      <c r="G237" s="287">
        <v>1</v>
      </c>
      <c r="H237" s="287">
        <v>13</v>
      </c>
      <c r="I237" s="292">
        <v>1363</v>
      </c>
      <c r="J237" s="290">
        <v>227</v>
      </c>
      <c r="K237" s="290">
        <f>J237/G237</f>
        <v>227</v>
      </c>
      <c r="L237" s="291">
        <f t="shared" si="9"/>
        <v>6.004405286343612</v>
      </c>
      <c r="M237" s="292">
        <f>192113+96740+52854+14954+6896+10470+13434+2509+289+62+1274+1363</f>
        <v>392958</v>
      </c>
      <c r="N237" s="290">
        <f>19993+10602+7693+2633+1151+1896+3059+485+49+7+235+227</f>
        <v>48030</v>
      </c>
      <c r="O237" s="294">
        <f>+M237/N237</f>
        <v>8.181511555277952</v>
      </c>
      <c r="P237" s="345">
        <v>1</v>
      </c>
    </row>
    <row r="238" spans="1:16" ht="15">
      <c r="A238" s="66">
        <v>236</v>
      </c>
      <c r="B238" s="48" t="s">
        <v>41</v>
      </c>
      <c r="C238" s="39">
        <v>39745</v>
      </c>
      <c r="D238" s="43" t="s">
        <v>130</v>
      </c>
      <c r="E238" s="42" t="s">
        <v>35</v>
      </c>
      <c r="F238" s="54">
        <v>202</v>
      </c>
      <c r="G238" s="54">
        <v>1</v>
      </c>
      <c r="H238" s="54">
        <v>12</v>
      </c>
      <c r="I238" s="303">
        <v>1334</v>
      </c>
      <c r="J238" s="304">
        <v>265</v>
      </c>
      <c r="K238" s="158">
        <f>J238/G238</f>
        <v>265</v>
      </c>
      <c r="L238" s="159">
        <f t="shared" si="9"/>
        <v>5.033962264150944</v>
      </c>
      <c r="M238" s="150">
        <f>2979211+551475+289248+35506+23768+5044+549+3932+1192+2189+1334</f>
        <v>3893448</v>
      </c>
      <c r="N238" s="151">
        <f>374252+72341+40702+5164+4326+1290+108+783+296+433+265</f>
        <v>499960</v>
      </c>
      <c r="O238" s="105">
        <f>+M238/N238</f>
        <v>7.787519001520121</v>
      </c>
      <c r="P238" s="332">
        <v>1</v>
      </c>
    </row>
    <row r="239" spans="1:16" ht="15">
      <c r="A239" s="66">
        <v>237</v>
      </c>
      <c r="B239" s="53" t="s">
        <v>56</v>
      </c>
      <c r="C239" s="39">
        <v>39745</v>
      </c>
      <c r="D239" s="127" t="s">
        <v>136</v>
      </c>
      <c r="E239" s="127" t="s">
        <v>46</v>
      </c>
      <c r="F239" s="50">
        <v>104</v>
      </c>
      <c r="G239" s="50">
        <v>3</v>
      </c>
      <c r="H239" s="50">
        <v>14</v>
      </c>
      <c r="I239" s="269">
        <v>1323</v>
      </c>
      <c r="J239" s="270">
        <v>195</v>
      </c>
      <c r="K239" s="271">
        <f>IF(I239&lt;&gt;0,J239/G239,"")</f>
        <v>65</v>
      </c>
      <c r="L239" s="153">
        <f>IF(I239&lt;&gt;0,I239/J239,"")</f>
        <v>6.7846153846153845</v>
      </c>
      <c r="M239" s="272">
        <f>821522+622841.5+494230+434015.5+185757.5+145248.5+16130+16159+2033+6489+4346+3565+2540+1323</f>
        <v>2756200</v>
      </c>
      <c r="N239" s="268">
        <f>99216+78381+65128+58419+30420+24530+3077+3918+431+1704+1003+785+507+195</f>
        <v>367714</v>
      </c>
      <c r="O239" s="104">
        <f>IF(M239&lt;&gt;0,M239/N239,"")</f>
        <v>7.495499219502113</v>
      </c>
      <c r="P239" s="321">
        <v>1</v>
      </c>
    </row>
    <row r="240" spans="1:16" ht="15">
      <c r="A240" s="66">
        <v>238</v>
      </c>
      <c r="B240" s="281" t="s">
        <v>57</v>
      </c>
      <c r="C240" s="40">
        <v>39745</v>
      </c>
      <c r="D240" s="261" t="s">
        <v>131</v>
      </c>
      <c r="E240" s="261" t="s">
        <v>166</v>
      </c>
      <c r="F240" s="262">
        <v>57</v>
      </c>
      <c r="G240" s="262">
        <v>3</v>
      </c>
      <c r="H240" s="262">
        <v>14</v>
      </c>
      <c r="I240" s="263">
        <v>1302</v>
      </c>
      <c r="J240" s="264">
        <v>805</v>
      </c>
      <c r="K240" s="268">
        <f>J240/G240</f>
        <v>268.3333333333333</v>
      </c>
      <c r="L240" s="156">
        <f>+I240/J240</f>
        <v>1.617391304347826</v>
      </c>
      <c r="M240" s="267">
        <v>1170552</v>
      </c>
      <c r="N240" s="268">
        <v>126937</v>
      </c>
      <c r="O240" s="103">
        <f>+M240/N240</f>
        <v>9.221519336363707</v>
      </c>
      <c r="P240" s="330">
        <v>1</v>
      </c>
    </row>
    <row r="241" spans="1:16" ht="15">
      <c r="A241" s="66">
        <v>239</v>
      </c>
      <c r="B241" s="363" t="s">
        <v>167</v>
      </c>
      <c r="C241" s="39">
        <v>39766</v>
      </c>
      <c r="D241" s="44" t="s">
        <v>199</v>
      </c>
      <c r="E241" s="44" t="s">
        <v>168</v>
      </c>
      <c r="F241" s="41">
        <v>17</v>
      </c>
      <c r="G241" s="41">
        <v>2</v>
      </c>
      <c r="H241" s="41">
        <v>22</v>
      </c>
      <c r="I241" s="267">
        <v>1295</v>
      </c>
      <c r="J241" s="155">
        <v>187</v>
      </c>
      <c r="K241" s="155">
        <f>J241/G241</f>
        <v>93.5</v>
      </c>
      <c r="L241" s="356">
        <f aca="true" t="shared" si="10" ref="L241:L255">I241/J241</f>
        <v>6.925133689839572</v>
      </c>
      <c r="M241" s="267">
        <v>86812</v>
      </c>
      <c r="N241" s="155">
        <v>12326</v>
      </c>
      <c r="O241" s="357">
        <f>+M241/N241</f>
        <v>7.042998539672237</v>
      </c>
      <c r="P241" s="331">
        <v>1</v>
      </c>
    </row>
    <row r="242" spans="1:16" ht="15">
      <c r="A242" s="66">
        <v>240</v>
      </c>
      <c r="B242" s="293" t="s">
        <v>70</v>
      </c>
      <c r="C242" s="286">
        <v>39766</v>
      </c>
      <c r="D242" s="285" t="s">
        <v>132</v>
      </c>
      <c r="E242" s="285" t="s">
        <v>201</v>
      </c>
      <c r="F242" s="287">
        <v>2</v>
      </c>
      <c r="G242" s="287">
        <v>2</v>
      </c>
      <c r="H242" s="287">
        <v>17</v>
      </c>
      <c r="I242" s="288">
        <v>1289</v>
      </c>
      <c r="J242" s="289">
        <v>202</v>
      </c>
      <c r="K242" s="290">
        <f>J242/G242</f>
        <v>101</v>
      </c>
      <c r="L242" s="291">
        <f t="shared" si="10"/>
        <v>6.381188118811881</v>
      </c>
      <c r="M242" s="292">
        <f>191668+16358.5+8305+0.5+19699.5+16705.5+7289+4467+3138+2267+1882+6536+9273+1289</f>
        <v>288878</v>
      </c>
      <c r="N242" s="290">
        <f>10324+8249+7871+7121+4755+3362+1751+2958+2636+1185+800+596+440+265+961+1648+202</f>
        <v>55124</v>
      </c>
      <c r="O242" s="294">
        <f>+M242/N242</f>
        <v>5.240512299542849</v>
      </c>
      <c r="P242" s="330"/>
    </row>
    <row r="243" spans="1:16" ht="15">
      <c r="A243" s="66">
        <v>241</v>
      </c>
      <c r="B243" s="293" t="s">
        <v>47</v>
      </c>
      <c r="C243" s="286">
        <v>39780</v>
      </c>
      <c r="D243" s="285" t="s">
        <v>134</v>
      </c>
      <c r="E243" s="285" t="s">
        <v>234</v>
      </c>
      <c r="F243" s="287">
        <v>6</v>
      </c>
      <c r="G243" s="287">
        <v>1</v>
      </c>
      <c r="H243" s="287">
        <v>10</v>
      </c>
      <c r="I243" s="288">
        <v>1289</v>
      </c>
      <c r="J243" s="289">
        <v>142</v>
      </c>
      <c r="K243" s="290">
        <f>(J243/G243)</f>
        <v>142</v>
      </c>
      <c r="L243" s="291">
        <f t="shared" si="10"/>
        <v>9.077464788732394</v>
      </c>
      <c r="M243" s="292">
        <f>25457+3030+1123+7370+430+997+6202+886+691.5+1289</f>
        <v>47475.5</v>
      </c>
      <c r="N243" s="290">
        <f>2151+404+165+1079+59+230+1523+213+105+142</f>
        <v>6071</v>
      </c>
      <c r="O243" s="294">
        <f>M243/N243</f>
        <v>7.820046120902652</v>
      </c>
      <c r="P243" s="332"/>
    </row>
    <row r="244" spans="1:16" ht="15">
      <c r="A244" s="66">
        <v>242</v>
      </c>
      <c r="B244" s="49" t="s">
        <v>53</v>
      </c>
      <c r="C244" s="39">
        <v>39738</v>
      </c>
      <c r="D244" s="44" t="s">
        <v>134</v>
      </c>
      <c r="E244" s="44" t="s">
        <v>54</v>
      </c>
      <c r="F244" s="41">
        <v>67</v>
      </c>
      <c r="G244" s="41">
        <v>3</v>
      </c>
      <c r="H244" s="41">
        <v>23</v>
      </c>
      <c r="I244" s="307">
        <v>1282</v>
      </c>
      <c r="J244" s="308">
        <v>411</v>
      </c>
      <c r="K244" s="155">
        <f>(J244/G244)</f>
        <v>137</v>
      </c>
      <c r="L244" s="156">
        <f t="shared" si="10"/>
        <v>3.119221411192214</v>
      </c>
      <c r="M244" s="154">
        <f>167196+176809+54428+37340+38330.5+23467+11581+5867+4382+2577+3552+2137+545+4006+9422+7992+4936+1547+1147+288+371+2842+1282</f>
        <v>562044.5</v>
      </c>
      <c r="N244" s="155">
        <f>19168+21164+7719+6215+6404+4964+2339+1306+907+580+859+440+127+905+2170+1822+1050+392+333+56+73+734+411</f>
        <v>80138</v>
      </c>
      <c r="O244" s="103">
        <f>M244/N244</f>
        <v>7.0134580348898155</v>
      </c>
      <c r="P244" s="330">
        <v>1</v>
      </c>
    </row>
    <row r="245" spans="1:16" ht="15">
      <c r="A245" s="66">
        <v>243</v>
      </c>
      <c r="B245" s="48" t="s">
        <v>62</v>
      </c>
      <c r="C245" s="39">
        <v>39689</v>
      </c>
      <c r="D245" s="43" t="s">
        <v>130</v>
      </c>
      <c r="E245" s="42" t="s">
        <v>63</v>
      </c>
      <c r="F245" s="54">
        <v>100</v>
      </c>
      <c r="G245" s="54">
        <v>2</v>
      </c>
      <c r="H245" s="54">
        <v>11</v>
      </c>
      <c r="I245" s="303">
        <v>1278</v>
      </c>
      <c r="J245" s="304">
        <v>206</v>
      </c>
      <c r="K245" s="158">
        <f>J245/G245</f>
        <v>103</v>
      </c>
      <c r="L245" s="159">
        <f t="shared" si="10"/>
        <v>6.203883495145631</v>
      </c>
      <c r="M245" s="150">
        <f>17818+1364876+864151+384239+240974+16635+2871+5064-50+5187+276+2654+1278</f>
        <v>2905973</v>
      </c>
      <c r="N245" s="151">
        <f>1487+139515+89937+39711+26370+2302+499+787-9+1471+55+1243+206</f>
        <v>303574</v>
      </c>
      <c r="O245" s="105">
        <f>+M245/N245</f>
        <v>9.572535856166866</v>
      </c>
      <c r="P245" s="321">
        <v>1</v>
      </c>
    </row>
    <row r="246" spans="1:16" ht="15">
      <c r="A246" s="66">
        <v>244</v>
      </c>
      <c r="B246" s="293" t="s">
        <v>271</v>
      </c>
      <c r="C246" s="286">
        <v>39724</v>
      </c>
      <c r="D246" s="285" t="s">
        <v>132</v>
      </c>
      <c r="E246" s="285" t="s">
        <v>107</v>
      </c>
      <c r="F246" s="287">
        <v>40</v>
      </c>
      <c r="G246" s="287">
        <v>1</v>
      </c>
      <c r="H246" s="287">
        <v>11</v>
      </c>
      <c r="I246" s="288">
        <v>1274</v>
      </c>
      <c r="J246" s="289">
        <v>235</v>
      </c>
      <c r="K246" s="290">
        <f>J246/G246</f>
        <v>235</v>
      </c>
      <c r="L246" s="291">
        <f t="shared" si="10"/>
        <v>5.421276595744681</v>
      </c>
      <c r="M246" s="292">
        <v>391595</v>
      </c>
      <c r="N246" s="290">
        <v>47803</v>
      </c>
      <c r="O246" s="294">
        <f>+M246/N246</f>
        <v>8.1918498838985</v>
      </c>
      <c r="P246" s="331"/>
    </row>
    <row r="247" spans="1:16" ht="15">
      <c r="A247" s="66">
        <v>245</v>
      </c>
      <c r="B247" s="363" t="s">
        <v>70</v>
      </c>
      <c r="C247" s="39">
        <v>39766</v>
      </c>
      <c r="D247" s="44" t="s">
        <v>132</v>
      </c>
      <c r="E247" s="44" t="s">
        <v>71</v>
      </c>
      <c r="F247" s="41">
        <v>24</v>
      </c>
      <c r="G247" s="41">
        <v>24</v>
      </c>
      <c r="H247" s="41">
        <v>24</v>
      </c>
      <c r="I247" s="263">
        <v>1249</v>
      </c>
      <c r="J247" s="308">
        <v>151</v>
      </c>
      <c r="K247" s="155">
        <f>J247/G247</f>
        <v>6.291666666666667</v>
      </c>
      <c r="L247" s="356">
        <f t="shared" si="10"/>
        <v>8.271523178807946</v>
      </c>
      <c r="M247" s="267">
        <f>191668+16358.5+8305+0.5+19699.5+16705.5+7289+4467+3138+2267+1882+6536+9273+1289+852+1124+2416+1164+28+80+1249</f>
        <v>295791</v>
      </c>
      <c r="N247" s="155">
        <f>10324+8249+7871+7121+4755+3362+1751+2958+2636+1185+800+596+440+265+961+1648+202+172+213+528+291+7+20+151</f>
        <v>56506</v>
      </c>
      <c r="O247" s="357">
        <f>+M247/N247</f>
        <v>5.2346830425087605</v>
      </c>
      <c r="P247" s="331">
        <v>1</v>
      </c>
    </row>
    <row r="248" spans="1:16" ht="15">
      <c r="A248" s="66">
        <v>246</v>
      </c>
      <c r="B248" s="53" t="s">
        <v>41</v>
      </c>
      <c r="C248" s="39">
        <v>39745</v>
      </c>
      <c r="D248" s="127" t="s">
        <v>130</v>
      </c>
      <c r="E248" s="127" t="s">
        <v>35</v>
      </c>
      <c r="F248" s="50">
        <v>202</v>
      </c>
      <c r="G248" s="50">
        <v>1</v>
      </c>
      <c r="H248" s="50">
        <v>13</v>
      </c>
      <c r="I248" s="273">
        <v>1224</v>
      </c>
      <c r="J248" s="274">
        <v>296</v>
      </c>
      <c r="K248" s="275">
        <f>J248/G248</f>
        <v>296</v>
      </c>
      <c r="L248" s="159">
        <f t="shared" si="10"/>
        <v>4.135135135135135</v>
      </c>
      <c r="M248" s="276">
        <f>2979211+551475+289248+35506+23768+5044+549+3932+1192+2189+1334+1224</f>
        <v>3894672</v>
      </c>
      <c r="N248" s="277">
        <f>374252+72341+40702+5164+4326+1290+108+783+296+433+265+296</f>
        <v>500256</v>
      </c>
      <c r="O248" s="105">
        <f>+M248/N248</f>
        <v>7.78535789675686</v>
      </c>
      <c r="P248" s="332"/>
    </row>
    <row r="249" spans="1:16" ht="15">
      <c r="A249" s="66">
        <v>247</v>
      </c>
      <c r="B249" s="293" t="s">
        <v>69</v>
      </c>
      <c r="C249" s="286">
        <v>39766</v>
      </c>
      <c r="D249" s="285" t="s">
        <v>134</v>
      </c>
      <c r="E249" s="285" t="s">
        <v>50</v>
      </c>
      <c r="F249" s="287">
        <v>20</v>
      </c>
      <c r="G249" s="287">
        <v>2</v>
      </c>
      <c r="H249" s="287">
        <v>14</v>
      </c>
      <c r="I249" s="288">
        <v>1223</v>
      </c>
      <c r="J249" s="289">
        <v>185</v>
      </c>
      <c r="K249" s="290">
        <f>(J249/G249)</f>
        <v>92.5</v>
      </c>
      <c r="L249" s="291">
        <f t="shared" si="10"/>
        <v>6.610810810810811</v>
      </c>
      <c r="M249" s="292">
        <f>109364.5+38539+31287+12101+5368+8640.5+12331+9410+9143+5719+2775+1424+1017+338+1223</f>
        <v>248680</v>
      </c>
      <c r="N249" s="290">
        <f>11866+4674+4443+2133+1061+1670+2334+1542+1728+1224+544+356+207+68+185</f>
        <v>34035</v>
      </c>
      <c r="O249" s="294">
        <f>M249/N249</f>
        <v>7.306596151021008</v>
      </c>
      <c r="P249" s="332">
        <v>1</v>
      </c>
    </row>
    <row r="250" spans="1:16" ht="15">
      <c r="A250" s="66">
        <v>248</v>
      </c>
      <c r="B250" s="293" t="s">
        <v>26</v>
      </c>
      <c r="C250" s="286">
        <v>39808</v>
      </c>
      <c r="D250" s="285" t="s">
        <v>134</v>
      </c>
      <c r="E250" s="285" t="s">
        <v>133</v>
      </c>
      <c r="F250" s="287">
        <v>75</v>
      </c>
      <c r="G250" s="287">
        <v>3</v>
      </c>
      <c r="H250" s="287">
        <v>14</v>
      </c>
      <c r="I250" s="292">
        <v>1219</v>
      </c>
      <c r="J250" s="290">
        <v>195</v>
      </c>
      <c r="K250" s="290">
        <f>(J250/G250)</f>
        <v>65</v>
      </c>
      <c r="L250" s="291">
        <f t="shared" si="10"/>
        <v>6.251282051282051</v>
      </c>
      <c r="M250" s="292">
        <f>681566+578530+317284.5+141025.5+34373.5+6375+4225+7402.5+1014+4479+2688+2267+1765+1219</f>
        <v>1784214</v>
      </c>
      <c r="N250" s="290">
        <f>64102+57106+32401+16644+4655+1030+644+1623+143+828+480+469+323+195</f>
        <v>180643</v>
      </c>
      <c r="O250" s="294">
        <f>M250/N250</f>
        <v>9.877017100026018</v>
      </c>
      <c r="P250" s="332">
        <v>1</v>
      </c>
    </row>
    <row r="251" spans="1:16" ht="15">
      <c r="A251" s="66">
        <v>249</v>
      </c>
      <c r="B251" s="293" t="s">
        <v>23</v>
      </c>
      <c r="C251" s="286">
        <v>39808</v>
      </c>
      <c r="D251" s="285" t="s">
        <v>136</v>
      </c>
      <c r="E251" s="285" t="s">
        <v>24</v>
      </c>
      <c r="F251" s="287">
        <v>198</v>
      </c>
      <c r="G251" s="287">
        <v>1</v>
      </c>
      <c r="H251" s="287">
        <v>9</v>
      </c>
      <c r="I251" s="288">
        <v>1208</v>
      </c>
      <c r="J251" s="289">
        <v>242</v>
      </c>
      <c r="K251" s="290">
        <f>IF(I251&lt;&gt;0,J251/G251,"")</f>
        <v>242</v>
      </c>
      <c r="L251" s="291">
        <f t="shared" si="10"/>
        <v>4.991735537190083</v>
      </c>
      <c r="M251" s="292">
        <f>909072+532572.5+214521.5+64908+15178.5+4216.5+2023+1098+1208</f>
        <v>1744798</v>
      </c>
      <c r="N251" s="290">
        <f>112486+67146+29772+10700+3086+733+452+228+242</f>
        <v>224845</v>
      </c>
      <c r="O251" s="294">
        <f>+M251/N251</f>
        <v>7.760003558006627</v>
      </c>
      <c r="P251" s="332">
        <v>1</v>
      </c>
    </row>
    <row r="252" spans="1:16" ht="15">
      <c r="A252" s="66">
        <v>250</v>
      </c>
      <c r="B252" s="48" t="s">
        <v>41</v>
      </c>
      <c r="C252" s="39">
        <v>39745</v>
      </c>
      <c r="D252" s="43" t="s">
        <v>130</v>
      </c>
      <c r="E252" s="42" t="s">
        <v>35</v>
      </c>
      <c r="F252" s="54">
        <v>202</v>
      </c>
      <c r="G252" s="54">
        <v>1</v>
      </c>
      <c r="H252" s="54">
        <v>10</v>
      </c>
      <c r="I252" s="303">
        <v>1192</v>
      </c>
      <c r="J252" s="304">
        <v>296</v>
      </c>
      <c r="K252" s="158">
        <f>J252/G252</f>
        <v>296</v>
      </c>
      <c r="L252" s="159">
        <f t="shared" si="10"/>
        <v>4.027027027027027</v>
      </c>
      <c r="M252" s="150">
        <f>2979211+551475+289248+35506+23768+5044+549+3932+1192</f>
        <v>3889925</v>
      </c>
      <c r="N252" s="151">
        <f>374252+72341+40702+5164+4326+1290+108+783+296</f>
        <v>499262</v>
      </c>
      <c r="O252" s="105">
        <f>+M252/N252</f>
        <v>7.791350032648189</v>
      </c>
      <c r="P252" s="332"/>
    </row>
    <row r="253" spans="1:16" ht="15">
      <c r="A253" s="66">
        <v>251</v>
      </c>
      <c r="B253" s="293" t="s">
        <v>144</v>
      </c>
      <c r="C253" s="286">
        <v>39801</v>
      </c>
      <c r="D253" s="285" t="s">
        <v>130</v>
      </c>
      <c r="E253" s="285" t="s">
        <v>122</v>
      </c>
      <c r="F253" s="287">
        <v>69</v>
      </c>
      <c r="G253" s="287">
        <v>1</v>
      </c>
      <c r="H253" s="287">
        <v>9</v>
      </c>
      <c r="I253" s="288">
        <v>1191</v>
      </c>
      <c r="J253" s="289">
        <v>191</v>
      </c>
      <c r="K253" s="290">
        <f>J253/G253</f>
        <v>191</v>
      </c>
      <c r="L253" s="291">
        <f t="shared" si="10"/>
        <v>6.2356020942408374</v>
      </c>
      <c r="M253" s="292">
        <f>820286+588484+413907+112495+41441-111+9385+4586+8718+1191</f>
        <v>2000382</v>
      </c>
      <c r="N253" s="290">
        <f>83839+57678+42374+12212+5722-11+2124+1350+1256+191</f>
        <v>206735</v>
      </c>
      <c r="O253" s="294">
        <f>+M253/N253</f>
        <v>9.676068396739788</v>
      </c>
      <c r="P253" s="332">
        <v>1</v>
      </c>
    </row>
    <row r="254" spans="1:16" ht="15">
      <c r="A254" s="66">
        <v>252</v>
      </c>
      <c r="B254" s="293" t="s">
        <v>47</v>
      </c>
      <c r="C254" s="286">
        <v>39780</v>
      </c>
      <c r="D254" s="285" t="s">
        <v>134</v>
      </c>
      <c r="E254" s="285" t="s">
        <v>269</v>
      </c>
      <c r="F254" s="287">
        <v>6</v>
      </c>
      <c r="G254" s="287">
        <v>1</v>
      </c>
      <c r="H254" s="287">
        <v>11</v>
      </c>
      <c r="I254" s="288">
        <v>1188</v>
      </c>
      <c r="J254" s="289">
        <v>297</v>
      </c>
      <c r="K254" s="290">
        <f>(J254/G254)</f>
        <v>297</v>
      </c>
      <c r="L254" s="291">
        <f t="shared" si="10"/>
        <v>4</v>
      </c>
      <c r="M254" s="292">
        <f>25457+3030+1123+7370+430+997+6202+886+691.5+1289+1188</f>
        <v>48663.5</v>
      </c>
      <c r="N254" s="290">
        <f>2151+404+165+1079+59+230+1523+213+105+142+297</f>
        <v>6368</v>
      </c>
      <c r="O254" s="294">
        <f>M254/N254</f>
        <v>7.641881281407035</v>
      </c>
      <c r="P254" s="332">
        <v>1</v>
      </c>
    </row>
    <row r="255" spans="1:16" ht="15">
      <c r="A255" s="66">
        <v>253</v>
      </c>
      <c r="B255" s="293" t="s">
        <v>67</v>
      </c>
      <c r="C255" s="286">
        <v>39759</v>
      </c>
      <c r="D255" s="285" t="s">
        <v>134</v>
      </c>
      <c r="E255" s="285" t="s">
        <v>143</v>
      </c>
      <c r="F255" s="287">
        <v>93</v>
      </c>
      <c r="G255" s="287">
        <v>1</v>
      </c>
      <c r="H255" s="287">
        <v>13</v>
      </c>
      <c r="I255" s="288">
        <v>1188</v>
      </c>
      <c r="J255" s="289">
        <v>297</v>
      </c>
      <c r="K255" s="290">
        <f>(J255/G255)</f>
        <v>297</v>
      </c>
      <c r="L255" s="291">
        <f t="shared" si="10"/>
        <v>4</v>
      </c>
      <c r="M255" s="292">
        <f>224223+136351+27895+24212+1274+3482+7147+2804+5279+2025+2635+2196+1188</f>
        <v>440711</v>
      </c>
      <c r="N255" s="290">
        <f>27969+18593+4268+4646+311+857+1472+745+1285+386+636+549+297</f>
        <v>62014</v>
      </c>
      <c r="O255" s="294">
        <f>+M255/N255</f>
        <v>7.106637210952366</v>
      </c>
      <c r="P255" s="332">
        <v>1</v>
      </c>
    </row>
    <row r="256" spans="1:16" ht="15">
      <c r="A256" s="66">
        <v>254</v>
      </c>
      <c r="B256" s="293" t="s">
        <v>56</v>
      </c>
      <c r="C256" s="286">
        <v>39745</v>
      </c>
      <c r="D256" s="285" t="s">
        <v>136</v>
      </c>
      <c r="E256" s="285" t="s">
        <v>284</v>
      </c>
      <c r="F256" s="287">
        <v>104</v>
      </c>
      <c r="G256" s="287">
        <v>1</v>
      </c>
      <c r="H256" s="287">
        <v>20</v>
      </c>
      <c r="I256" s="292">
        <v>1188</v>
      </c>
      <c r="J256" s="290">
        <v>238</v>
      </c>
      <c r="K256" s="290">
        <f>IF(I256&lt;&gt;0,J256/G256,"")</f>
        <v>238</v>
      </c>
      <c r="L256" s="291">
        <f>IF(I256&lt;&gt;0,I256/J256,"")</f>
        <v>4.991596638655462</v>
      </c>
      <c r="M256" s="292">
        <v>2760828</v>
      </c>
      <c r="N256" s="290">
        <v>368560</v>
      </c>
      <c r="O256" s="294">
        <f>IF(M256&lt;&gt;0,M256/N256,"")</f>
        <v>7.490850879097026</v>
      </c>
      <c r="P256" s="331">
        <v>1</v>
      </c>
    </row>
    <row r="257" spans="1:16" ht="15">
      <c r="A257" s="66">
        <v>255</v>
      </c>
      <c r="B257" s="363" t="s">
        <v>25</v>
      </c>
      <c r="C257" s="39">
        <v>39808</v>
      </c>
      <c r="D257" s="44" t="s">
        <v>131</v>
      </c>
      <c r="E257" s="44" t="s">
        <v>111</v>
      </c>
      <c r="F257" s="41">
        <v>112</v>
      </c>
      <c r="G257" s="41">
        <v>3</v>
      </c>
      <c r="H257" s="41">
        <v>23</v>
      </c>
      <c r="I257" s="267">
        <v>1168</v>
      </c>
      <c r="J257" s="155">
        <v>199</v>
      </c>
      <c r="K257" s="155">
        <f>J257/G257</f>
        <v>66.33333333333333</v>
      </c>
      <c r="L257" s="356">
        <f>+I257/J257</f>
        <v>5.869346733668341</v>
      </c>
      <c r="M257" s="267">
        <v>2064331</v>
      </c>
      <c r="N257" s="155">
        <v>216742</v>
      </c>
      <c r="O257" s="357">
        <f>+M257/N257</f>
        <v>9.524369988280998</v>
      </c>
      <c r="P257" s="330"/>
    </row>
    <row r="258" spans="1:16" ht="15">
      <c r="A258" s="66">
        <v>256</v>
      </c>
      <c r="B258" s="363" t="s">
        <v>70</v>
      </c>
      <c r="C258" s="39">
        <v>39766</v>
      </c>
      <c r="D258" s="44" t="s">
        <v>132</v>
      </c>
      <c r="E258" s="44" t="s">
        <v>71</v>
      </c>
      <c r="F258" s="41">
        <v>24</v>
      </c>
      <c r="G258" s="41">
        <v>1</v>
      </c>
      <c r="H258" s="41">
        <v>21</v>
      </c>
      <c r="I258" s="263">
        <v>1164</v>
      </c>
      <c r="J258" s="308">
        <v>291</v>
      </c>
      <c r="K258" s="155">
        <f>(J258/G258)</f>
        <v>291</v>
      </c>
      <c r="L258" s="356">
        <f>I258/J258</f>
        <v>4</v>
      </c>
      <c r="M258" s="267">
        <f>191668+16358.5+8305+0.5+19699.5+16705.5+7289+4467+3138+2267+1882+6536+9273+1289+852+1124+2416+1164</f>
        <v>294434</v>
      </c>
      <c r="N258" s="155">
        <f>10324+8249+7871+7121+4755+3362+1751+2958+2636+1185+800+596+440+265+961+1648+202+172+213+528+291</f>
        <v>56328</v>
      </c>
      <c r="O258" s="357">
        <f>M258/N258</f>
        <v>5.227133929839511</v>
      </c>
      <c r="P258" s="332">
        <v>1</v>
      </c>
    </row>
    <row r="259" spans="1:16" ht="15">
      <c r="A259" s="66">
        <v>257</v>
      </c>
      <c r="B259" s="293" t="s">
        <v>53</v>
      </c>
      <c r="C259" s="286">
        <v>39738</v>
      </c>
      <c r="D259" s="285" t="s">
        <v>134</v>
      </c>
      <c r="E259" s="285" t="s">
        <v>54</v>
      </c>
      <c r="F259" s="287">
        <v>67</v>
      </c>
      <c r="G259" s="287">
        <v>2</v>
      </c>
      <c r="H259" s="287">
        <v>19</v>
      </c>
      <c r="I259" s="288">
        <v>1147</v>
      </c>
      <c r="J259" s="289">
        <v>333</v>
      </c>
      <c r="K259" s="290">
        <f>(J259/G259)</f>
        <v>166.5</v>
      </c>
      <c r="L259" s="291">
        <f>I259/J259</f>
        <v>3.4444444444444446</v>
      </c>
      <c r="M259" s="292">
        <f>167196+176809+54428+37340+38330.5+23467+11581+5867+4382+2577+3552+2137+545+4006+9422+7992+4936+1547+1147</f>
        <v>557261.5</v>
      </c>
      <c r="N259" s="290">
        <f>19168+21164+7719+6215+6404+4964+2339+1306+907+580+859+440+127+905+2170+1822+1050+392+333</f>
        <v>78864</v>
      </c>
      <c r="O259" s="294">
        <f>M259/N259</f>
        <v>7.066107476161493</v>
      </c>
      <c r="P259" s="330"/>
    </row>
    <row r="260" spans="1:16" ht="15">
      <c r="A260" s="66">
        <v>258</v>
      </c>
      <c r="B260" s="53" t="s">
        <v>58</v>
      </c>
      <c r="C260" s="39">
        <v>39745</v>
      </c>
      <c r="D260" s="45" t="s">
        <v>4</v>
      </c>
      <c r="E260" s="45" t="s">
        <v>59</v>
      </c>
      <c r="F260" s="50">
        <v>72</v>
      </c>
      <c r="G260" s="50">
        <v>3</v>
      </c>
      <c r="H260" s="50">
        <v>11</v>
      </c>
      <c r="I260" s="303">
        <v>1146</v>
      </c>
      <c r="J260" s="304">
        <v>178</v>
      </c>
      <c r="K260" s="152">
        <f>+J260/G260</f>
        <v>59.333333333333336</v>
      </c>
      <c r="L260" s="153">
        <f>+I260/J260</f>
        <v>6.438202247191011</v>
      </c>
      <c r="M260" s="150">
        <v>1284354</v>
      </c>
      <c r="N260" s="151">
        <v>145282</v>
      </c>
      <c r="O260" s="104">
        <f>+M260/N260</f>
        <v>8.840420699054253</v>
      </c>
      <c r="P260" s="331"/>
    </row>
    <row r="261" spans="1:16" ht="15">
      <c r="A261" s="66">
        <v>259</v>
      </c>
      <c r="B261" s="293" t="s">
        <v>70</v>
      </c>
      <c r="C261" s="286">
        <v>39766</v>
      </c>
      <c r="D261" s="285" t="s">
        <v>132</v>
      </c>
      <c r="E261" s="285" t="s">
        <v>71</v>
      </c>
      <c r="F261" s="287">
        <v>1</v>
      </c>
      <c r="G261" s="287">
        <v>1</v>
      </c>
      <c r="H261" s="287">
        <v>19</v>
      </c>
      <c r="I261" s="288">
        <v>1124</v>
      </c>
      <c r="J261" s="289">
        <v>213</v>
      </c>
      <c r="K261" s="290">
        <f>J261/G261</f>
        <v>213</v>
      </c>
      <c r="L261" s="291">
        <f>I261/J261</f>
        <v>5.276995305164319</v>
      </c>
      <c r="M261" s="292">
        <f>191668+16358.5+8305+0.5+19699.5+16705.5+7289+4467+3138+2267+1882+6536+9273+1289+852+1124</f>
        <v>290854</v>
      </c>
      <c r="N261" s="290">
        <f>10324+8249+7871+7121+4755+3362+1751+2958+2636+1185+800+596+440+265+961+1648+202+172+213</f>
        <v>55509</v>
      </c>
      <c r="O261" s="294">
        <f>+M261/N261</f>
        <v>5.239762921328073</v>
      </c>
      <c r="P261" s="332">
        <v>1</v>
      </c>
    </row>
    <row r="262" spans="1:16" ht="15">
      <c r="A262" s="66">
        <v>260</v>
      </c>
      <c r="B262" s="293" t="s">
        <v>45</v>
      </c>
      <c r="C262" s="286">
        <v>39780</v>
      </c>
      <c r="D262" s="285" t="s">
        <v>134</v>
      </c>
      <c r="E262" s="285" t="s">
        <v>78</v>
      </c>
      <c r="F262" s="287">
        <v>61</v>
      </c>
      <c r="G262" s="287">
        <v>1</v>
      </c>
      <c r="H262" s="287">
        <v>11</v>
      </c>
      <c r="I262" s="288">
        <v>1119</v>
      </c>
      <c r="J262" s="289">
        <v>246</v>
      </c>
      <c r="K262" s="290">
        <f>(J262/G262)</f>
        <v>246</v>
      </c>
      <c r="L262" s="291">
        <f>I262/J262</f>
        <v>4.548780487804878</v>
      </c>
      <c r="M262" s="292">
        <f>499000.5+313125.5+89561.5+27980+2002.5+4772+1387+1470+1387+1387+1119</f>
        <v>943192</v>
      </c>
      <c r="N262" s="290">
        <f>48458+27725+9315+4737+330+944+309+224+175+250+246</f>
        <v>92713</v>
      </c>
      <c r="O262" s="294">
        <f>M262/N262</f>
        <v>10.173244313095251</v>
      </c>
      <c r="P262" s="332"/>
    </row>
    <row r="263" spans="1:16" ht="15">
      <c r="A263" s="66">
        <v>261</v>
      </c>
      <c r="B263" s="293" t="s">
        <v>23</v>
      </c>
      <c r="C263" s="286">
        <v>39808</v>
      </c>
      <c r="D263" s="285" t="s">
        <v>136</v>
      </c>
      <c r="E263" s="285" t="s">
        <v>24</v>
      </c>
      <c r="F263" s="287">
        <v>198</v>
      </c>
      <c r="G263" s="287">
        <v>2</v>
      </c>
      <c r="H263" s="287">
        <v>8</v>
      </c>
      <c r="I263" s="288">
        <v>1098</v>
      </c>
      <c r="J263" s="289">
        <v>228</v>
      </c>
      <c r="K263" s="290">
        <f>IF(I263&lt;&gt;0,J263/G263,"")</f>
        <v>114</v>
      </c>
      <c r="L263" s="291">
        <f>IF(I263&lt;&gt;0,I263/J263,"")</f>
        <v>4.815789473684211</v>
      </c>
      <c r="M263" s="292">
        <f>909072+532572.5+214521.5+64908+15178.5+4216.5+2023+1098</f>
        <v>1743590</v>
      </c>
      <c r="N263" s="290">
        <f>112486+67146+29772+10700+3086+733+452+228</f>
        <v>224603</v>
      </c>
      <c r="O263" s="294">
        <f>+M263/N263</f>
        <v>7.762986246844433</v>
      </c>
      <c r="P263" s="332">
        <v>1</v>
      </c>
    </row>
    <row r="264" spans="1:16" ht="15">
      <c r="A264" s="66">
        <v>262</v>
      </c>
      <c r="B264" s="293" t="s">
        <v>139</v>
      </c>
      <c r="C264" s="286">
        <v>39787</v>
      </c>
      <c r="D264" s="285" t="s">
        <v>132</v>
      </c>
      <c r="E264" s="285" t="s">
        <v>140</v>
      </c>
      <c r="F264" s="287">
        <v>1</v>
      </c>
      <c r="G264" s="287">
        <v>1</v>
      </c>
      <c r="H264" s="287">
        <v>13</v>
      </c>
      <c r="I264" s="288">
        <v>1095</v>
      </c>
      <c r="J264" s="289">
        <v>218</v>
      </c>
      <c r="K264" s="290">
        <f>J264/G264</f>
        <v>218</v>
      </c>
      <c r="L264" s="291">
        <f>IF(I264&lt;&gt;0,I264/J264,"")</f>
        <v>5.022935779816514</v>
      </c>
      <c r="M264" s="292">
        <v>18047232</v>
      </c>
      <c r="N264" s="290">
        <v>2310169</v>
      </c>
      <c r="O264" s="294">
        <f>+M264/N264</f>
        <v>7.812083012108638</v>
      </c>
      <c r="P264" s="332"/>
    </row>
    <row r="265" spans="1:16" ht="15">
      <c r="A265" s="66">
        <v>263</v>
      </c>
      <c r="B265" s="293" t="s">
        <v>149</v>
      </c>
      <c r="C265" s="286">
        <v>39801</v>
      </c>
      <c r="D265" s="285" t="s">
        <v>4</v>
      </c>
      <c r="E265" s="285" t="s">
        <v>77</v>
      </c>
      <c r="F265" s="287">
        <v>19</v>
      </c>
      <c r="G265" s="287">
        <v>4</v>
      </c>
      <c r="H265" s="287">
        <v>8</v>
      </c>
      <c r="I265" s="288">
        <v>1078</v>
      </c>
      <c r="J265" s="289">
        <v>156</v>
      </c>
      <c r="K265" s="290">
        <f>J265/G265</f>
        <v>39</v>
      </c>
      <c r="L265" s="291">
        <f aca="true" t="shared" si="11" ref="L265:L271">I265/J265</f>
        <v>6.910256410256411</v>
      </c>
      <c r="M265" s="292">
        <v>139967</v>
      </c>
      <c r="N265" s="290">
        <v>13235</v>
      </c>
      <c r="O265" s="294">
        <f>+M265/N265</f>
        <v>10.57551945598791</v>
      </c>
      <c r="P265" s="332">
        <v>1</v>
      </c>
    </row>
    <row r="266" spans="1:16" ht="15">
      <c r="A266" s="66">
        <v>264</v>
      </c>
      <c r="B266" s="293" t="s">
        <v>60</v>
      </c>
      <c r="C266" s="286">
        <v>39745</v>
      </c>
      <c r="D266" s="285" t="s">
        <v>134</v>
      </c>
      <c r="E266" s="285" t="s">
        <v>106</v>
      </c>
      <c r="F266" s="287">
        <v>7</v>
      </c>
      <c r="G266" s="287">
        <v>1</v>
      </c>
      <c r="H266" s="287">
        <v>12</v>
      </c>
      <c r="I266" s="288">
        <v>1066</v>
      </c>
      <c r="J266" s="289">
        <v>258</v>
      </c>
      <c r="K266" s="290">
        <f>(J266/G266)</f>
        <v>258</v>
      </c>
      <c r="L266" s="291">
        <f t="shared" si="11"/>
        <v>4.131782945736434</v>
      </c>
      <c r="M266" s="292">
        <f>31758.5+8225.5+1958+2180+395+7254.5+494+2046+429+128+135+1066</f>
        <v>56069.5</v>
      </c>
      <c r="N266" s="290">
        <f>2732+851+288+247+46+761+52+333+72+22+23+258</f>
        <v>5685</v>
      </c>
      <c r="O266" s="294">
        <f>M266/N266</f>
        <v>9.862708883025507</v>
      </c>
      <c r="P266" s="321">
        <v>1</v>
      </c>
    </row>
    <row r="267" spans="1:16" ht="15">
      <c r="A267" s="66">
        <v>265</v>
      </c>
      <c r="B267" s="49" t="s">
        <v>25</v>
      </c>
      <c r="C267" s="39">
        <v>39808</v>
      </c>
      <c r="D267" s="44" t="s">
        <v>131</v>
      </c>
      <c r="E267" s="44" t="s">
        <v>111</v>
      </c>
      <c r="F267" s="41">
        <v>112</v>
      </c>
      <c r="G267" s="41">
        <v>4</v>
      </c>
      <c r="H267" s="41">
        <v>16</v>
      </c>
      <c r="I267" s="307">
        <v>1065</v>
      </c>
      <c r="J267" s="308">
        <v>583</v>
      </c>
      <c r="K267" s="155">
        <f>J267/G267</f>
        <v>145.75</v>
      </c>
      <c r="L267" s="156">
        <f t="shared" si="11"/>
        <v>1.8267581475128645</v>
      </c>
      <c r="M267" s="154">
        <v>2051754</v>
      </c>
      <c r="N267" s="155">
        <v>212645</v>
      </c>
      <c r="O267" s="103">
        <f>+M267/N267</f>
        <v>9.648729102494768</v>
      </c>
      <c r="P267" s="321">
        <v>1</v>
      </c>
    </row>
    <row r="268" spans="1:16" ht="15">
      <c r="A268" s="66">
        <v>266</v>
      </c>
      <c r="B268" s="293" t="s">
        <v>144</v>
      </c>
      <c r="C268" s="286">
        <v>39801</v>
      </c>
      <c r="D268" s="285" t="s">
        <v>130</v>
      </c>
      <c r="E268" s="285" t="s">
        <v>122</v>
      </c>
      <c r="F268" s="287">
        <v>69</v>
      </c>
      <c r="G268" s="287">
        <v>1</v>
      </c>
      <c r="H268" s="287">
        <v>11</v>
      </c>
      <c r="I268" s="288">
        <v>1065</v>
      </c>
      <c r="J268" s="289">
        <v>182</v>
      </c>
      <c r="K268" s="290">
        <f>J268/G268</f>
        <v>182</v>
      </c>
      <c r="L268" s="291">
        <f t="shared" si="11"/>
        <v>5.851648351648351</v>
      </c>
      <c r="M268" s="292">
        <f>820286+588484+413907+112495+41441-111+9385+4586+8718+1191+251+1065</f>
        <v>2001698</v>
      </c>
      <c r="N268" s="290">
        <f>83839+57678+42374+12212+5722-11+2124+1350+1256+191+41+182</f>
        <v>206958</v>
      </c>
      <c r="O268" s="294">
        <f>+M268/N268</f>
        <v>9.67200108234521</v>
      </c>
      <c r="P268" s="332">
        <v>1</v>
      </c>
    </row>
    <row r="269" spans="1:16" ht="15">
      <c r="A269" s="66">
        <v>267</v>
      </c>
      <c r="B269" s="363" t="s">
        <v>163</v>
      </c>
      <c r="C269" s="39">
        <v>39766</v>
      </c>
      <c r="D269" s="44" t="s">
        <v>282</v>
      </c>
      <c r="E269" s="44" t="s">
        <v>200</v>
      </c>
      <c r="F269" s="41">
        <v>50</v>
      </c>
      <c r="G269" s="41">
        <v>2</v>
      </c>
      <c r="H269" s="41">
        <v>23</v>
      </c>
      <c r="I269" s="267">
        <v>1054</v>
      </c>
      <c r="J269" s="155">
        <v>295</v>
      </c>
      <c r="K269" s="155">
        <f>J269/G269</f>
        <v>147.5</v>
      </c>
      <c r="L269" s="356">
        <f t="shared" si="11"/>
        <v>3.5728813559322035</v>
      </c>
      <c r="M269" s="267">
        <v>243089</v>
      </c>
      <c r="N269" s="155">
        <v>36781</v>
      </c>
      <c r="O269" s="357">
        <f>+M269/N269</f>
        <v>6.609091650580463</v>
      </c>
      <c r="P269" s="332"/>
    </row>
    <row r="270" spans="1:16" ht="15">
      <c r="A270" s="66">
        <v>268</v>
      </c>
      <c r="B270" s="363" t="s">
        <v>167</v>
      </c>
      <c r="C270" s="39">
        <v>39766</v>
      </c>
      <c r="D270" s="44" t="s">
        <v>199</v>
      </c>
      <c r="E270" s="44" t="s">
        <v>168</v>
      </c>
      <c r="F270" s="41">
        <v>17</v>
      </c>
      <c r="G270" s="41">
        <v>1</v>
      </c>
      <c r="H270" s="41">
        <v>21</v>
      </c>
      <c r="I270" s="263">
        <v>1054</v>
      </c>
      <c r="J270" s="308">
        <v>127</v>
      </c>
      <c r="K270" s="155">
        <f>J270/G270</f>
        <v>127</v>
      </c>
      <c r="L270" s="356">
        <f t="shared" si="11"/>
        <v>8.299212598425196</v>
      </c>
      <c r="M270" s="267">
        <v>85517</v>
      </c>
      <c r="N270" s="155">
        <v>12139</v>
      </c>
      <c r="O270" s="357">
        <f>+M270/N270</f>
        <v>7.0448142351099765</v>
      </c>
      <c r="P270" s="331">
        <v>1</v>
      </c>
    </row>
    <row r="271" spans="1:16" ht="15">
      <c r="A271" s="66">
        <v>269</v>
      </c>
      <c r="B271" s="293" t="s">
        <v>142</v>
      </c>
      <c r="C271" s="286">
        <v>39794</v>
      </c>
      <c r="D271" s="285" t="s">
        <v>134</v>
      </c>
      <c r="E271" s="285" t="s">
        <v>133</v>
      </c>
      <c r="F271" s="287">
        <v>100</v>
      </c>
      <c r="G271" s="287">
        <v>2</v>
      </c>
      <c r="H271" s="287">
        <v>13</v>
      </c>
      <c r="I271" s="288">
        <v>1049</v>
      </c>
      <c r="J271" s="289">
        <v>169</v>
      </c>
      <c r="K271" s="290">
        <f>(J271/G271)</f>
        <v>84.5</v>
      </c>
      <c r="L271" s="291">
        <f t="shared" si="11"/>
        <v>6.207100591715976</v>
      </c>
      <c r="M271" s="292">
        <f>1276778.5+626123+380324+112679.5+54533+36086+4129+3620.5+4348+1030+1904+420+1049</f>
        <v>2503024.5</v>
      </c>
      <c r="N271" s="290">
        <f>133555+68793+41581+14968+8873+6454+539+324+976+204+524+65+169</f>
        <v>277025</v>
      </c>
      <c r="O271" s="294">
        <f>M271/N271</f>
        <v>9.035374063712661</v>
      </c>
      <c r="P271" s="332"/>
    </row>
    <row r="272" spans="1:16" ht="15">
      <c r="A272" s="66">
        <v>270</v>
      </c>
      <c r="B272" s="49" t="s">
        <v>300</v>
      </c>
      <c r="C272" s="39">
        <v>39402</v>
      </c>
      <c r="D272" s="44" t="s">
        <v>136</v>
      </c>
      <c r="E272" s="44" t="s">
        <v>239</v>
      </c>
      <c r="F272" s="41">
        <v>165</v>
      </c>
      <c r="G272" s="41">
        <v>1</v>
      </c>
      <c r="H272" s="41">
        <v>46</v>
      </c>
      <c r="I272" s="307">
        <v>1044</v>
      </c>
      <c r="J272" s="308">
        <v>287</v>
      </c>
      <c r="K272" s="155">
        <f>IF(I272&lt;&gt;0,J272/G272,"")</f>
        <v>287</v>
      </c>
      <c r="L272" s="156">
        <f>IF(I272&lt;&gt;0,I272/J272,"")</f>
        <v>3.637630662020906</v>
      </c>
      <c r="M272" s="154">
        <v>14646024.5</v>
      </c>
      <c r="N272" s="155">
        <v>2030731</v>
      </c>
      <c r="O272" s="103">
        <f>IF(M272&lt;&gt;0,M272/N272,"")</f>
        <v>7.212193293941935</v>
      </c>
      <c r="P272" s="332"/>
    </row>
    <row r="273" spans="1:16" ht="15">
      <c r="A273" s="66">
        <v>271</v>
      </c>
      <c r="B273" s="293" t="s">
        <v>72</v>
      </c>
      <c r="C273" s="286">
        <v>39773</v>
      </c>
      <c r="D273" s="285" t="s">
        <v>131</v>
      </c>
      <c r="E273" s="285" t="s">
        <v>126</v>
      </c>
      <c r="F273" s="287">
        <v>204</v>
      </c>
      <c r="G273" s="287">
        <v>1</v>
      </c>
      <c r="H273" s="287">
        <v>16</v>
      </c>
      <c r="I273" s="288">
        <v>1043</v>
      </c>
      <c r="J273" s="289">
        <v>190</v>
      </c>
      <c r="K273" s="290">
        <f>J273/G273</f>
        <v>190</v>
      </c>
      <c r="L273" s="291">
        <f>+I273/J273</f>
        <v>5.489473684210527</v>
      </c>
      <c r="M273" s="292">
        <v>11441127</v>
      </c>
      <c r="N273" s="290">
        <v>1417347</v>
      </c>
      <c r="O273" s="294">
        <f>+M273/N273</f>
        <v>8.07221308543356</v>
      </c>
      <c r="P273" s="330">
        <v>1</v>
      </c>
    </row>
    <row r="274" spans="1:16" ht="15">
      <c r="A274" s="66">
        <v>272</v>
      </c>
      <c r="B274" s="293" t="s">
        <v>142</v>
      </c>
      <c r="C274" s="286">
        <v>39794</v>
      </c>
      <c r="D274" s="285" t="s">
        <v>134</v>
      </c>
      <c r="E274" s="285" t="s">
        <v>133</v>
      </c>
      <c r="F274" s="287">
        <v>100</v>
      </c>
      <c r="G274" s="287">
        <v>1</v>
      </c>
      <c r="H274" s="287">
        <v>10</v>
      </c>
      <c r="I274" s="288">
        <v>1030</v>
      </c>
      <c r="J274" s="289">
        <v>204</v>
      </c>
      <c r="K274" s="290">
        <f>(J274/G274)</f>
        <v>204</v>
      </c>
      <c r="L274" s="291">
        <f aca="true" t="shared" si="12" ref="L274:L279">I274/J274</f>
        <v>5.049019607843137</v>
      </c>
      <c r="M274" s="292">
        <f>1276778.5+626123+380324+112679.5+54533+36086+4129+3620.5+4348+1030</f>
        <v>2499651.5</v>
      </c>
      <c r="N274" s="290">
        <f>133555+68793+41581+14968+8873+6454+539+324+976+204</f>
        <v>276267</v>
      </c>
      <c r="O274" s="294">
        <f>+M274/N274</f>
        <v>9.047955419937958</v>
      </c>
      <c r="P274" s="332"/>
    </row>
    <row r="275" spans="1:16" ht="15">
      <c r="A275" s="66">
        <v>273</v>
      </c>
      <c r="B275" s="293" t="s">
        <v>144</v>
      </c>
      <c r="C275" s="286">
        <v>39801</v>
      </c>
      <c r="D275" s="285" t="s">
        <v>130</v>
      </c>
      <c r="E275" s="285" t="s">
        <v>122</v>
      </c>
      <c r="F275" s="287">
        <v>69</v>
      </c>
      <c r="G275" s="287">
        <v>1</v>
      </c>
      <c r="H275" s="287">
        <v>13</v>
      </c>
      <c r="I275" s="288">
        <v>1022</v>
      </c>
      <c r="J275" s="289">
        <v>174</v>
      </c>
      <c r="K275" s="290">
        <f>J275/G275</f>
        <v>174</v>
      </c>
      <c r="L275" s="291">
        <f t="shared" si="12"/>
        <v>5.873563218390805</v>
      </c>
      <c r="M275" s="292">
        <f>820286+588484+413907+112495+41441-111+9385+4586+8718+1191+251+1065+1821+1022</f>
        <v>2004541</v>
      </c>
      <c r="N275" s="290">
        <f>83839+57678+42374+12212+5722-11+2124+1350+1256+191+41+182+386+174</f>
        <v>207518</v>
      </c>
      <c r="O275" s="294">
        <f>+M275/N275</f>
        <v>9.659600612958876</v>
      </c>
      <c r="P275" s="332">
        <v>1</v>
      </c>
    </row>
    <row r="276" spans="1:16" ht="15">
      <c r="A276" s="66">
        <v>274</v>
      </c>
      <c r="B276" s="293" t="s">
        <v>69</v>
      </c>
      <c r="C276" s="286">
        <v>39766</v>
      </c>
      <c r="D276" s="285" t="s">
        <v>134</v>
      </c>
      <c r="E276" s="285" t="s">
        <v>50</v>
      </c>
      <c r="F276" s="287">
        <v>20</v>
      </c>
      <c r="G276" s="287">
        <v>1</v>
      </c>
      <c r="H276" s="287">
        <v>12</v>
      </c>
      <c r="I276" s="288">
        <v>1017</v>
      </c>
      <c r="J276" s="289">
        <v>207</v>
      </c>
      <c r="K276" s="290">
        <f>(J276/G276)</f>
        <v>207</v>
      </c>
      <c r="L276" s="291">
        <f t="shared" si="12"/>
        <v>4.913043478260869</v>
      </c>
      <c r="M276" s="292">
        <f>109364.5+38539+31287+12101+5368+8640.5+12331+9410+9143+5719+2775+1424+1017</f>
        <v>247119</v>
      </c>
      <c r="N276" s="290">
        <f>11866+4674+4443+2133+1061+1670+2334+1542+1728+1224+544+356+207</f>
        <v>33782</v>
      </c>
      <c r="O276" s="294">
        <f>M276/N276</f>
        <v>7.315108637736072</v>
      </c>
      <c r="P276" s="330"/>
    </row>
    <row r="277" spans="1:16" ht="15">
      <c r="A277" s="66">
        <v>275</v>
      </c>
      <c r="B277" s="293" t="s">
        <v>26</v>
      </c>
      <c r="C277" s="286">
        <v>39808</v>
      </c>
      <c r="D277" s="285" t="s">
        <v>134</v>
      </c>
      <c r="E277" s="285" t="s">
        <v>133</v>
      </c>
      <c r="F277" s="287">
        <v>75</v>
      </c>
      <c r="G277" s="287">
        <v>2</v>
      </c>
      <c r="H277" s="287">
        <v>9</v>
      </c>
      <c r="I277" s="288">
        <v>1014</v>
      </c>
      <c r="J277" s="289">
        <v>143</v>
      </c>
      <c r="K277" s="290">
        <f>(J277/G277)</f>
        <v>71.5</v>
      </c>
      <c r="L277" s="291">
        <f t="shared" si="12"/>
        <v>7.090909090909091</v>
      </c>
      <c r="M277" s="292">
        <f>681566+578530+317284.5+141025.5+34373.5+6375+4225+7402.5+1014</f>
        <v>1771796</v>
      </c>
      <c r="N277" s="290">
        <f>64102+57106+32401+16644+4655+1030+644+1623+143</f>
        <v>178348</v>
      </c>
      <c r="O277" s="294">
        <f>M277/N277</f>
        <v>9.934487630923812</v>
      </c>
      <c r="P277" s="330"/>
    </row>
    <row r="278" spans="1:16" ht="15">
      <c r="A278" s="66">
        <v>276</v>
      </c>
      <c r="B278" s="293" t="s">
        <v>97</v>
      </c>
      <c r="C278" s="286">
        <v>39752</v>
      </c>
      <c r="D278" s="285" t="s">
        <v>131</v>
      </c>
      <c r="E278" s="285" t="s">
        <v>124</v>
      </c>
      <c r="F278" s="287">
        <v>45</v>
      </c>
      <c r="G278" s="287">
        <v>1</v>
      </c>
      <c r="H278" s="287">
        <v>13</v>
      </c>
      <c r="I278" s="288">
        <v>1012</v>
      </c>
      <c r="J278" s="289">
        <v>165</v>
      </c>
      <c r="K278" s="290">
        <f>J278/G278</f>
        <v>165</v>
      </c>
      <c r="L278" s="291">
        <f t="shared" si="12"/>
        <v>6.133333333333334</v>
      </c>
      <c r="M278" s="292">
        <v>457111</v>
      </c>
      <c r="N278" s="290">
        <v>49853</v>
      </c>
      <c r="O278" s="294">
        <f>+M278/N278</f>
        <v>9.169177381501616</v>
      </c>
      <c r="P278" s="332"/>
    </row>
    <row r="279" spans="1:16" ht="15">
      <c r="A279" s="66">
        <v>277</v>
      </c>
      <c r="B279" s="293" t="s">
        <v>60</v>
      </c>
      <c r="C279" s="286">
        <v>39745</v>
      </c>
      <c r="D279" s="285" t="s">
        <v>134</v>
      </c>
      <c r="E279" s="285" t="s">
        <v>106</v>
      </c>
      <c r="F279" s="287">
        <v>7</v>
      </c>
      <c r="G279" s="287">
        <v>1</v>
      </c>
      <c r="H279" s="287">
        <v>13</v>
      </c>
      <c r="I279" s="292">
        <v>1003</v>
      </c>
      <c r="J279" s="290">
        <v>223</v>
      </c>
      <c r="K279" s="290">
        <f>(J279/G279)</f>
        <v>223</v>
      </c>
      <c r="L279" s="291">
        <f t="shared" si="12"/>
        <v>4.497757847533633</v>
      </c>
      <c r="M279" s="292">
        <f>31758.5+8225.5+1958+2180+395+7254.5+494+2046+429+128+135+1066+1003</f>
        <v>57072.5</v>
      </c>
      <c r="N279" s="290">
        <f>2732+851+288+247+46+761+52+333+72+22+23+258+223</f>
        <v>5908</v>
      </c>
      <c r="O279" s="294">
        <f>M279/N279</f>
        <v>9.660206499661475</v>
      </c>
      <c r="P279" s="332"/>
    </row>
    <row r="280" spans="1:16" ht="15">
      <c r="A280" s="66">
        <v>278</v>
      </c>
      <c r="B280" s="293" t="s">
        <v>145</v>
      </c>
      <c r="C280" s="286">
        <v>39801</v>
      </c>
      <c r="D280" s="285" t="s">
        <v>136</v>
      </c>
      <c r="E280" s="285" t="s">
        <v>146</v>
      </c>
      <c r="F280" s="287">
        <v>84</v>
      </c>
      <c r="G280" s="287">
        <v>1</v>
      </c>
      <c r="H280" s="287">
        <v>11</v>
      </c>
      <c r="I280" s="288">
        <v>998</v>
      </c>
      <c r="J280" s="289">
        <v>159</v>
      </c>
      <c r="K280" s="290">
        <f>J280/G280</f>
        <v>159</v>
      </c>
      <c r="L280" s="291">
        <f>IF(I280&lt;&gt;0,I280/J280,"")</f>
        <v>6.276729559748428</v>
      </c>
      <c r="M280" s="292">
        <f>369313.5+145108.5+43813+31258+11772.5+5392.5+2080+3225+50+354+998</f>
        <v>613365</v>
      </c>
      <c r="N280" s="290">
        <f>41017+16460+6346+5364+2357+1094+419+545+10+69+159</f>
        <v>73840</v>
      </c>
      <c r="O280" s="294">
        <f>+M280/N280</f>
        <v>8.306676598049837</v>
      </c>
      <c r="P280" s="330">
        <v>1</v>
      </c>
    </row>
    <row r="281" spans="1:16" ht="15">
      <c r="A281" s="66">
        <v>279</v>
      </c>
      <c r="B281" s="49" t="s">
        <v>47</v>
      </c>
      <c r="C281" s="40">
        <v>39780</v>
      </c>
      <c r="D281" s="45" t="s">
        <v>134</v>
      </c>
      <c r="E281" s="44" t="s">
        <v>33</v>
      </c>
      <c r="F281" s="41">
        <v>6</v>
      </c>
      <c r="G281" s="41">
        <v>2</v>
      </c>
      <c r="H281" s="41">
        <v>6</v>
      </c>
      <c r="I281" s="303">
        <v>997</v>
      </c>
      <c r="J281" s="304">
        <v>230</v>
      </c>
      <c r="K281" s="158">
        <f>(J281/G281)</f>
        <v>115</v>
      </c>
      <c r="L281" s="159">
        <f>I281/J281</f>
        <v>4.334782608695652</v>
      </c>
      <c r="M281" s="150">
        <f>25457+3030+1123+7370+430+997</f>
        <v>38407</v>
      </c>
      <c r="N281" s="151">
        <f>2151+404+165+1079+59+230</f>
        <v>4088</v>
      </c>
      <c r="O281" s="105">
        <f>M281/N281</f>
        <v>9.395058708414872</v>
      </c>
      <c r="P281" s="332"/>
    </row>
    <row r="282" spans="1:16" ht="15">
      <c r="A282" s="66">
        <v>280</v>
      </c>
      <c r="B282" s="293" t="s">
        <v>149</v>
      </c>
      <c r="C282" s="286">
        <v>39801</v>
      </c>
      <c r="D282" s="285" t="s">
        <v>4</v>
      </c>
      <c r="E282" s="285" t="s">
        <v>77</v>
      </c>
      <c r="F282" s="287">
        <v>19</v>
      </c>
      <c r="G282" s="287">
        <v>3</v>
      </c>
      <c r="H282" s="287">
        <v>7</v>
      </c>
      <c r="I282" s="288">
        <v>996</v>
      </c>
      <c r="J282" s="289">
        <v>189</v>
      </c>
      <c r="K282" s="290">
        <f aca="true" t="shared" si="13" ref="K282:K291">J282/G282</f>
        <v>63</v>
      </c>
      <c r="L282" s="291">
        <f>I282/J282</f>
        <v>5.26984126984127</v>
      </c>
      <c r="M282" s="292">
        <v>138889</v>
      </c>
      <c r="N282" s="290">
        <v>13079</v>
      </c>
      <c r="O282" s="294">
        <f>+M282/N282</f>
        <v>10.619236944720544</v>
      </c>
      <c r="P282" s="332"/>
    </row>
    <row r="283" spans="1:16" ht="15">
      <c r="A283" s="66">
        <v>281</v>
      </c>
      <c r="B283" s="49" t="s">
        <v>70</v>
      </c>
      <c r="C283" s="39">
        <v>39766</v>
      </c>
      <c r="D283" s="44" t="s">
        <v>132</v>
      </c>
      <c r="E283" s="44" t="s">
        <v>71</v>
      </c>
      <c r="F283" s="41">
        <v>24</v>
      </c>
      <c r="G283" s="41">
        <v>1</v>
      </c>
      <c r="H283" s="41">
        <v>27</v>
      </c>
      <c r="I283" s="307">
        <v>990</v>
      </c>
      <c r="J283" s="308">
        <v>119</v>
      </c>
      <c r="K283" s="155">
        <f t="shared" si="13"/>
        <v>119</v>
      </c>
      <c r="L283" s="156">
        <f>I283/J283</f>
        <v>8.319327731092438</v>
      </c>
      <c r="M283" s="154">
        <f>191668+16358.5+8305+0.5+19699.5+16705.5+7289+4467+3138+2267+1882+6536+9273+1289+852+1124+2416+1164+28+80+1249+807+709+990</f>
        <v>298297</v>
      </c>
      <c r="N283" s="155">
        <f>10324+8249+7871+7121+4755+3362+1751+2958+2636+1185+800+596+440+265+961+1648+202+172+213+528+291+7+20+151+101+89+119</f>
        <v>56815</v>
      </c>
      <c r="O283" s="103">
        <f>+M283/N283</f>
        <v>5.2503212179882075</v>
      </c>
      <c r="P283" s="332">
        <v>1</v>
      </c>
    </row>
    <row r="284" spans="1:16" ht="15">
      <c r="A284" s="66">
        <v>282</v>
      </c>
      <c r="B284" s="293" t="s">
        <v>20</v>
      </c>
      <c r="C284" s="286">
        <v>39773</v>
      </c>
      <c r="D284" s="285" t="s">
        <v>132</v>
      </c>
      <c r="E284" s="285" t="s">
        <v>21</v>
      </c>
      <c r="F284" s="287">
        <v>2</v>
      </c>
      <c r="G284" s="287">
        <v>2</v>
      </c>
      <c r="H284" s="287">
        <v>6</v>
      </c>
      <c r="I284" s="288">
        <v>969</v>
      </c>
      <c r="J284" s="289">
        <v>210</v>
      </c>
      <c r="K284" s="290">
        <f t="shared" si="13"/>
        <v>105</v>
      </c>
      <c r="L284" s="291">
        <f>I284/J284</f>
        <v>4.614285714285714</v>
      </c>
      <c r="M284" s="292">
        <f>43532.5+13875+1400+341+344+969</f>
        <v>60461.5</v>
      </c>
      <c r="N284" s="290">
        <f>3969+1359+251+52+61+210</f>
        <v>5902</v>
      </c>
      <c r="O284" s="294">
        <f>+M284/N284</f>
        <v>10.244239240935276</v>
      </c>
      <c r="P284" s="332"/>
    </row>
    <row r="285" spans="1:16" ht="15">
      <c r="A285" s="66">
        <v>283</v>
      </c>
      <c r="B285" s="49" t="s">
        <v>434</v>
      </c>
      <c r="C285" s="39">
        <v>39577</v>
      </c>
      <c r="D285" s="44" t="s">
        <v>282</v>
      </c>
      <c r="E285" s="44" t="s">
        <v>435</v>
      </c>
      <c r="F285" s="41">
        <v>10</v>
      </c>
      <c r="G285" s="41">
        <v>1</v>
      </c>
      <c r="H285" s="41">
        <v>18</v>
      </c>
      <c r="I285" s="154">
        <v>949</v>
      </c>
      <c r="J285" s="155">
        <v>190</v>
      </c>
      <c r="K285" s="155">
        <f t="shared" si="13"/>
        <v>190</v>
      </c>
      <c r="L285" s="156">
        <f>I285/J285</f>
        <v>4.994736842105263</v>
      </c>
      <c r="M285" s="154">
        <v>101983</v>
      </c>
      <c r="N285" s="155">
        <v>11163</v>
      </c>
      <c r="O285" s="103">
        <f>M285/N285</f>
        <v>9.135805786974828</v>
      </c>
      <c r="P285" s="321"/>
    </row>
    <row r="286" spans="1:16" ht="15">
      <c r="A286" s="66">
        <v>284</v>
      </c>
      <c r="B286" s="363" t="s">
        <v>325</v>
      </c>
      <c r="C286" s="39">
        <v>39577</v>
      </c>
      <c r="D286" s="44" t="s">
        <v>131</v>
      </c>
      <c r="E286" s="44" t="s">
        <v>124</v>
      </c>
      <c r="F286" s="41">
        <v>52</v>
      </c>
      <c r="G286" s="41">
        <v>1</v>
      </c>
      <c r="H286" s="41">
        <v>51</v>
      </c>
      <c r="I286" s="263">
        <v>945</v>
      </c>
      <c r="J286" s="308">
        <v>350</v>
      </c>
      <c r="K286" s="155">
        <f t="shared" si="13"/>
        <v>350</v>
      </c>
      <c r="L286" s="356">
        <f>+I286/J286</f>
        <v>2.7</v>
      </c>
      <c r="M286" s="267">
        <v>258720</v>
      </c>
      <c r="N286" s="155">
        <v>34204</v>
      </c>
      <c r="O286" s="357">
        <f aca="true" t="shared" si="14" ref="O286:O291">+M286/N286</f>
        <v>7.564027599111215</v>
      </c>
      <c r="P286" s="332"/>
    </row>
    <row r="287" spans="1:16" ht="15">
      <c r="A287" s="66">
        <v>285</v>
      </c>
      <c r="B287" s="49" t="s">
        <v>310</v>
      </c>
      <c r="C287" s="39">
        <v>39556</v>
      </c>
      <c r="D287" s="44" t="s">
        <v>131</v>
      </c>
      <c r="E287" s="44" t="s">
        <v>43</v>
      </c>
      <c r="F287" s="41">
        <v>37</v>
      </c>
      <c r="G287" s="41">
        <v>1</v>
      </c>
      <c r="H287" s="41">
        <v>53</v>
      </c>
      <c r="I287" s="267">
        <v>945</v>
      </c>
      <c r="J287" s="155">
        <v>350</v>
      </c>
      <c r="K287" s="155">
        <f t="shared" si="13"/>
        <v>350</v>
      </c>
      <c r="L287" s="356">
        <f>+I287/J287</f>
        <v>2.7</v>
      </c>
      <c r="M287" s="267">
        <v>591266</v>
      </c>
      <c r="N287" s="155">
        <v>66803</v>
      </c>
      <c r="O287" s="357">
        <f t="shared" si="14"/>
        <v>8.85088993009296</v>
      </c>
      <c r="P287" s="321"/>
    </row>
    <row r="288" spans="1:16" ht="15">
      <c r="A288" s="66">
        <v>286</v>
      </c>
      <c r="B288" s="293" t="s">
        <v>57</v>
      </c>
      <c r="C288" s="286">
        <v>39745</v>
      </c>
      <c r="D288" s="285" t="s">
        <v>131</v>
      </c>
      <c r="E288" s="285" t="s">
        <v>32</v>
      </c>
      <c r="F288" s="287">
        <v>57</v>
      </c>
      <c r="G288" s="287">
        <v>1</v>
      </c>
      <c r="H288" s="287">
        <v>24</v>
      </c>
      <c r="I288" s="292">
        <v>913</v>
      </c>
      <c r="J288" s="290">
        <v>138</v>
      </c>
      <c r="K288" s="290">
        <f t="shared" si="13"/>
        <v>138</v>
      </c>
      <c r="L288" s="291">
        <f>+I288/J288</f>
        <v>6.615942028985507</v>
      </c>
      <c r="M288" s="292">
        <v>1172773</v>
      </c>
      <c r="N288" s="290">
        <v>127283</v>
      </c>
      <c r="O288" s="294">
        <f t="shared" si="14"/>
        <v>9.213901306537402</v>
      </c>
      <c r="P288" s="332"/>
    </row>
    <row r="289" spans="1:16" ht="15">
      <c r="A289" s="66">
        <v>287</v>
      </c>
      <c r="B289" s="293" t="s">
        <v>57</v>
      </c>
      <c r="C289" s="286">
        <v>39745</v>
      </c>
      <c r="D289" s="285" t="s">
        <v>131</v>
      </c>
      <c r="E289" s="285" t="s">
        <v>32</v>
      </c>
      <c r="F289" s="287">
        <v>57</v>
      </c>
      <c r="G289" s="287">
        <v>1</v>
      </c>
      <c r="H289" s="287">
        <v>23</v>
      </c>
      <c r="I289" s="288">
        <v>908</v>
      </c>
      <c r="J289" s="289">
        <v>141</v>
      </c>
      <c r="K289" s="290">
        <f t="shared" si="13"/>
        <v>141</v>
      </c>
      <c r="L289" s="291">
        <f>+I289/J289</f>
        <v>6.439716312056738</v>
      </c>
      <c r="M289" s="292">
        <v>1171860</v>
      </c>
      <c r="N289" s="290">
        <v>127145</v>
      </c>
      <c r="O289" s="294">
        <f t="shared" si="14"/>
        <v>9.216721066498879</v>
      </c>
      <c r="P289" s="332"/>
    </row>
    <row r="290" spans="1:16" ht="15">
      <c r="A290" s="66">
        <v>288</v>
      </c>
      <c r="B290" s="363" t="s">
        <v>44</v>
      </c>
      <c r="C290" s="39">
        <v>39780</v>
      </c>
      <c r="D290" s="44" t="s">
        <v>131</v>
      </c>
      <c r="E290" s="44" t="s">
        <v>127</v>
      </c>
      <c r="F290" s="41">
        <v>121</v>
      </c>
      <c r="G290" s="41">
        <v>3</v>
      </c>
      <c r="H290" s="41">
        <v>26</v>
      </c>
      <c r="I290" s="267">
        <v>898</v>
      </c>
      <c r="J290" s="155">
        <v>172</v>
      </c>
      <c r="K290" s="155">
        <f t="shared" si="13"/>
        <v>57.333333333333336</v>
      </c>
      <c r="L290" s="356">
        <f>I290/J290</f>
        <v>5.22093023255814</v>
      </c>
      <c r="M290" s="267">
        <v>3471068</v>
      </c>
      <c r="N290" s="155">
        <v>409931</v>
      </c>
      <c r="O290" s="357">
        <f t="shared" si="14"/>
        <v>8.467444521151121</v>
      </c>
      <c r="P290" s="332"/>
    </row>
    <row r="291" spans="1:16" ht="15">
      <c r="A291" s="66">
        <v>289</v>
      </c>
      <c r="B291" s="363" t="s">
        <v>44</v>
      </c>
      <c r="C291" s="39">
        <v>39780</v>
      </c>
      <c r="D291" s="44" t="s">
        <v>131</v>
      </c>
      <c r="E291" s="44" t="s">
        <v>127</v>
      </c>
      <c r="F291" s="41">
        <v>121</v>
      </c>
      <c r="G291" s="41">
        <v>3</v>
      </c>
      <c r="H291" s="41">
        <v>23</v>
      </c>
      <c r="I291" s="267">
        <v>893</v>
      </c>
      <c r="J291" s="155">
        <v>165</v>
      </c>
      <c r="K291" s="155">
        <f t="shared" si="13"/>
        <v>55</v>
      </c>
      <c r="L291" s="356">
        <f>+I291/J291</f>
        <v>5.412121212121212</v>
      </c>
      <c r="M291" s="267">
        <v>3467591</v>
      </c>
      <c r="N291" s="155">
        <v>408818</v>
      </c>
      <c r="O291" s="357">
        <f t="shared" si="14"/>
        <v>8.481991986654208</v>
      </c>
      <c r="P291" s="332"/>
    </row>
    <row r="292" spans="1:16" ht="15">
      <c r="A292" s="66">
        <v>290</v>
      </c>
      <c r="B292" s="49" t="s">
        <v>52</v>
      </c>
      <c r="C292" s="40">
        <v>39738</v>
      </c>
      <c r="D292" s="45" t="s">
        <v>134</v>
      </c>
      <c r="E292" s="44" t="s">
        <v>133</v>
      </c>
      <c r="F292" s="41">
        <v>65</v>
      </c>
      <c r="G292" s="41">
        <v>4</v>
      </c>
      <c r="H292" s="41">
        <v>11</v>
      </c>
      <c r="I292" s="303">
        <v>891</v>
      </c>
      <c r="J292" s="304">
        <v>149</v>
      </c>
      <c r="K292" s="158">
        <f>(J292/G292)</f>
        <v>37.25</v>
      </c>
      <c r="L292" s="159">
        <f>I292/J292</f>
        <v>5.97986577181208</v>
      </c>
      <c r="M292" s="150">
        <f>502954.7+385847+127398.5+41644+35371+15703.5+9494+704+1120.5+952+891</f>
        <v>1122080.2</v>
      </c>
      <c r="N292" s="151">
        <f>51438+39611+14487+7156+6343+2488+1591+176+567+238+149</f>
        <v>124244</v>
      </c>
      <c r="O292" s="105">
        <f>M292/N292</f>
        <v>9.03126267666849</v>
      </c>
      <c r="P292" s="332">
        <v>1</v>
      </c>
    </row>
    <row r="293" spans="1:16" ht="15">
      <c r="A293" s="66">
        <v>291</v>
      </c>
      <c r="B293" s="281" t="s">
        <v>47</v>
      </c>
      <c r="C293" s="40">
        <v>39780</v>
      </c>
      <c r="D293" s="127" t="s">
        <v>134</v>
      </c>
      <c r="E293" s="261" t="s">
        <v>33</v>
      </c>
      <c r="F293" s="262">
        <v>6</v>
      </c>
      <c r="G293" s="262">
        <v>2</v>
      </c>
      <c r="H293" s="262">
        <v>8</v>
      </c>
      <c r="I293" s="273">
        <v>886</v>
      </c>
      <c r="J293" s="274">
        <v>213</v>
      </c>
      <c r="K293" s="275">
        <f>(J293/G293)</f>
        <v>106.5</v>
      </c>
      <c r="L293" s="159">
        <f>I293/J293</f>
        <v>4.15962441314554</v>
      </c>
      <c r="M293" s="276">
        <f>25457+3030+1123+7370+430+997+6202+886</f>
        <v>45495</v>
      </c>
      <c r="N293" s="277">
        <f>2151+404+165+1079+59+230+1523+213</f>
        <v>5824</v>
      </c>
      <c r="O293" s="105">
        <f>M293/N293</f>
        <v>7.811641483516484</v>
      </c>
      <c r="P293" s="332">
        <v>1</v>
      </c>
    </row>
    <row r="294" spans="1:16" ht="15">
      <c r="A294" s="66">
        <v>292</v>
      </c>
      <c r="B294" s="363" t="s">
        <v>44</v>
      </c>
      <c r="C294" s="39">
        <v>39780</v>
      </c>
      <c r="D294" s="44" t="s">
        <v>131</v>
      </c>
      <c r="E294" s="44" t="s">
        <v>127</v>
      </c>
      <c r="F294" s="41">
        <v>121</v>
      </c>
      <c r="G294" s="41">
        <v>2</v>
      </c>
      <c r="H294" s="41">
        <v>22</v>
      </c>
      <c r="I294" s="263">
        <v>885</v>
      </c>
      <c r="J294" s="308">
        <v>145</v>
      </c>
      <c r="K294" s="155">
        <f>J294/G294</f>
        <v>72.5</v>
      </c>
      <c r="L294" s="356">
        <f>+I294/J294</f>
        <v>6.103448275862069</v>
      </c>
      <c r="M294" s="267">
        <v>3466352</v>
      </c>
      <c r="N294" s="155">
        <v>408585</v>
      </c>
      <c r="O294" s="357">
        <f>+M294/N294</f>
        <v>8.483796517248553</v>
      </c>
      <c r="P294" s="332"/>
    </row>
    <row r="295" spans="1:16" ht="15">
      <c r="A295" s="66">
        <v>293</v>
      </c>
      <c r="B295" s="281" t="s">
        <v>73</v>
      </c>
      <c r="C295" s="40">
        <v>39772</v>
      </c>
      <c r="D295" s="127" t="s">
        <v>134</v>
      </c>
      <c r="E295" s="261" t="s">
        <v>105</v>
      </c>
      <c r="F295" s="262">
        <v>195</v>
      </c>
      <c r="G295" s="262">
        <v>2</v>
      </c>
      <c r="H295" s="262">
        <v>10</v>
      </c>
      <c r="I295" s="273">
        <v>882</v>
      </c>
      <c r="J295" s="274">
        <v>202</v>
      </c>
      <c r="K295" s="275">
        <f>(J295/G295)</f>
        <v>101</v>
      </c>
      <c r="L295" s="159">
        <f>I295/J295</f>
        <v>4.366336633663367</v>
      </c>
      <c r="M295" s="276">
        <f>1011017+512350.5+217314+64545+38656.5+8087+9376.5+5786+2876+882</f>
        <v>1870890.5</v>
      </c>
      <c r="N295" s="277">
        <f>136878+68007+31396+9807+8372+1564+2234+1216+601+202</f>
        <v>260277</v>
      </c>
      <c r="O295" s="105">
        <f>M295/N295</f>
        <v>7.188074628184588</v>
      </c>
      <c r="P295" s="331">
        <v>1</v>
      </c>
    </row>
    <row r="296" spans="1:16" ht="15">
      <c r="A296" s="66">
        <v>294</v>
      </c>
      <c r="B296" s="49" t="s">
        <v>26</v>
      </c>
      <c r="C296" s="39">
        <v>39808</v>
      </c>
      <c r="D296" s="44" t="s">
        <v>134</v>
      </c>
      <c r="E296" s="44" t="s">
        <v>133</v>
      </c>
      <c r="F296" s="41">
        <v>75</v>
      </c>
      <c r="G296" s="41">
        <v>1</v>
      </c>
      <c r="H296" s="41">
        <v>18</v>
      </c>
      <c r="I296" s="154">
        <v>873</v>
      </c>
      <c r="J296" s="155">
        <v>181</v>
      </c>
      <c r="K296" s="155">
        <f>(J296/G296)</f>
        <v>181</v>
      </c>
      <c r="L296" s="156">
        <f>I296/J296</f>
        <v>4.823204419889502</v>
      </c>
      <c r="M296" s="154">
        <f>681566+578530+317284.5+141025.5+34373.5+6375+4225+7402.5+1014+4479+2688+2267+1765+1219+204+316+300+873</f>
        <v>1785907</v>
      </c>
      <c r="N296" s="155">
        <f>64102+57106+32401+16644+4655+1030+644+1623+143+828+480+469+323+195+43+62+60+181</f>
        <v>180989</v>
      </c>
      <c r="O296" s="103">
        <f>M296/N296</f>
        <v>9.867489184425573</v>
      </c>
      <c r="P296" s="321"/>
    </row>
    <row r="297" spans="1:16" ht="15">
      <c r="A297" s="66">
        <v>295</v>
      </c>
      <c r="B297" s="48" t="s">
        <v>55</v>
      </c>
      <c r="C297" s="39">
        <v>39750</v>
      </c>
      <c r="D297" s="43" t="s">
        <v>130</v>
      </c>
      <c r="E297" s="42" t="s">
        <v>30</v>
      </c>
      <c r="F297" s="54">
        <v>198</v>
      </c>
      <c r="G297" s="54">
        <v>2</v>
      </c>
      <c r="H297" s="54">
        <v>13</v>
      </c>
      <c r="I297" s="303">
        <v>864</v>
      </c>
      <c r="J297" s="313">
        <v>322</v>
      </c>
      <c r="K297" s="158">
        <f>J297/G297</f>
        <v>161</v>
      </c>
      <c r="L297" s="159">
        <f>I297/J297</f>
        <v>2.6832298136645965</v>
      </c>
      <c r="M297" s="150">
        <f>4975832+1882135+1034271+412191+151618-1635+10999+12408+14293+6423+2375+2787+864</f>
        <v>8504561</v>
      </c>
      <c r="N297" s="151">
        <f>642956+245951+129523+51207+21082-161+1623+2391+2711+1404+495+717+322</f>
        <v>1100221</v>
      </c>
      <c r="O297" s="105">
        <f>+M297/N297</f>
        <v>7.729866090539992</v>
      </c>
      <c r="P297" s="332"/>
    </row>
    <row r="298" spans="1:16" ht="15">
      <c r="A298" s="66">
        <v>296</v>
      </c>
      <c r="B298" s="49" t="s">
        <v>312</v>
      </c>
      <c r="C298" s="39">
        <v>39542</v>
      </c>
      <c r="D298" s="44" t="s">
        <v>4</v>
      </c>
      <c r="E298" s="44" t="s">
        <v>77</v>
      </c>
      <c r="F298" s="41">
        <v>25</v>
      </c>
      <c r="G298" s="41">
        <v>1</v>
      </c>
      <c r="H298" s="41">
        <v>42</v>
      </c>
      <c r="I298" s="267">
        <v>860</v>
      </c>
      <c r="J298" s="155">
        <v>199</v>
      </c>
      <c r="K298" s="155">
        <f>+J298/G298</f>
        <v>199</v>
      </c>
      <c r="L298" s="356">
        <f>+I298/J298</f>
        <v>4.321608040201005</v>
      </c>
      <c r="M298" s="267">
        <v>179895</v>
      </c>
      <c r="N298" s="155">
        <v>19678</v>
      </c>
      <c r="O298" s="357">
        <f>+M298/N298</f>
        <v>9.14193515601179</v>
      </c>
      <c r="P298" s="332"/>
    </row>
    <row r="299" spans="1:16" ht="15">
      <c r="A299" s="66">
        <v>297</v>
      </c>
      <c r="B299" s="293" t="s">
        <v>204</v>
      </c>
      <c r="C299" s="286">
        <v>39808</v>
      </c>
      <c r="D299" s="285" t="s">
        <v>131</v>
      </c>
      <c r="E299" s="285" t="s">
        <v>124</v>
      </c>
      <c r="F299" s="287">
        <v>34</v>
      </c>
      <c r="G299" s="287">
        <v>1</v>
      </c>
      <c r="H299" s="287">
        <v>10</v>
      </c>
      <c r="I299" s="288">
        <v>856</v>
      </c>
      <c r="J299" s="289">
        <v>129</v>
      </c>
      <c r="K299" s="290">
        <f>J299/G299</f>
        <v>129</v>
      </c>
      <c r="L299" s="291">
        <f>+I299/J299</f>
        <v>6.635658914728682</v>
      </c>
      <c r="M299" s="292">
        <v>803840</v>
      </c>
      <c r="N299" s="290">
        <v>90331</v>
      </c>
      <c r="O299" s="294">
        <f>+M299/N299</f>
        <v>8.89882764499452</v>
      </c>
      <c r="P299" s="332"/>
    </row>
    <row r="300" spans="1:16" ht="15">
      <c r="A300" s="66">
        <v>298</v>
      </c>
      <c r="B300" s="293" t="s">
        <v>70</v>
      </c>
      <c r="C300" s="286">
        <v>39766</v>
      </c>
      <c r="D300" s="285" t="s">
        <v>132</v>
      </c>
      <c r="E300" s="285" t="s">
        <v>71</v>
      </c>
      <c r="F300" s="287">
        <v>1</v>
      </c>
      <c r="G300" s="287">
        <v>1</v>
      </c>
      <c r="H300" s="287">
        <v>18</v>
      </c>
      <c r="I300" s="288">
        <v>852</v>
      </c>
      <c r="J300" s="289">
        <v>172</v>
      </c>
      <c r="K300" s="290">
        <f>J300/G300</f>
        <v>172</v>
      </c>
      <c r="L300" s="291">
        <f>I300/J300</f>
        <v>4.953488372093023</v>
      </c>
      <c r="M300" s="292">
        <f>191668+16358.5+8305+0.5+19699.5+16705.5+7289+4467+3138+2267+1882+6536+9273+1289+852</f>
        <v>289730</v>
      </c>
      <c r="N300" s="290">
        <f>10324+8249+7871+7121+4755+3362+1751+2958+2636+1185+800+596+440+265+961+1648+202+172</f>
        <v>55296</v>
      </c>
      <c r="O300" s="294">
        <f>+M300/N300</f>
        <v>5.239619502314815</v>
      </c>
      <c r="P300" s="321">
        <v>1</v>
      </c>
    </row>
    <row r="301" spans="1:16" ht="15">
      <c r="A301" s="66">
        <v>299</v>
      </c>
      <c r="B301" s="293" t="s">
        <v>194</v>
      </c>
      <c r="C301" s="286">
        <v>39556</v>
      </c>
      <c r="D301" s="285" t="s">
        <v>132</v>
      </c>
      <c r="E301" s="285" t="s">
        <v>133</v>
      </c>
      <c r="F301" s="287">
        <v>1</v>
      </c>
      <c r="G301" s="287">
        <v>1</v>
      </c>
      <c r="H301" s="287">
        <v>20</v>
      </c>
      <c r="I301" s="288">
        <v>840</v>
      </c>
      <c r="J301" s="289">
        <v>117</v>
      </c>
      <c r="K301" s="290">
        <f>J301/G301</f>
        <v>117</v>
      </c>
      <c r="L301" s="291">
        <f>I301/J301</f>
        <v>7.17948717948718</v>
      </c>
      <c r="M301" s="292">
        <f>547723+268930+138072.5+72001+47770.5+20534.5+29707+9377+8368.5+23017+5732.5+1280+238+81+2408+580+1042+0.5+260+107+840</f>
        <v>1178070</v>
      </c>
      <c r="N301" s="290">
        <f>69527+33465+19378+11928+8462+4284+6759+1860+1698+5423+992+174+49+18+602+163+76+32+14+117</f>
        <v>165021</v>
      </c>
      <c r="O301" s="294">
        <f>+M301/N301</f>
        <v>7.138909593324486</v>
      </c>
      <c r="P301" s="331">
        <v>1</v>
      </c>
    </row>
    <row r="302" spans="1:16" ht="15">
      <c r="A302" s="66">
        <v>300</v>
      </c>
      <c r="B302" s="293" t="s">
        <v>67</v>
      </c>
      <c r="C302" s="286">
        <v>39759</v>
      </c>
      <c r="D302" s="285" t="s">
        <v>134</v>
      </c>
      <c r="E302" s="285" t="s">
        <v>225</v>
      </c>
      <c r="F302" s="287">
        <v>93</v>
      </c>
      <c r="G302" s="287">
        <v>1</v>
      </c>
      <c r="H302" s="287">
        <v>14</v>
      </c>
      <c r="I302" s="288">
        <v>832</v>
      </c>
      <c r="J302" s="289">
        <v>208</v>
      </c>
      <c r="K302" s="290">
        <f>(J302/G302)</f>
        <v>208</v>
      </c>
      <c r="L302" s="291">
        <f>I302/J302</f>
        <v>4</v>
      </c>
      <c r="M302" s="292">
        <f>224223+136351+27895+24212+1274+3482+7147+2804+5279+2025+2635+2196+1188+832</f>
        <v>441543</v>
      </c>
      <c r="N302" s="290">
        <f>27969+18593+4268+4646+311+857+1472+745+1285+386+636+549+297+208</f>
        <v>62222</v>
      </c>
      <c r="O302" s="294">
        <f>M302/N302</f>
        <v>7.096252129471891</v>
      </c>
      <c r="P302" s="332">
        <v>1</v>
      </c>
    </row>
    <row r="303" spans="1:16" ht="15">
      <c r="A303" s="66">
        <v>301</v>
      </c>
      <c r="B303" s="363" t="s">
        <v>70</v>
      </c>
      <c r="C303" s="39">
        <v>39766</v>
      </c>
      <c r="D303" s="44" t="s">
        <v>132</v>
      </c>
      <c r="E303" s="44" t="s">
        <v>71</v>
      </c>
      <c r="F303" s="41">
        <v>24</v>
      </c>
      <c r="G303" s="41">
        <v>1</v>
      </c>
      <c r="H303" s="41">
        <v>25</v>
      </c>
      <c r="I303" s="267">
        <v>807</v>
      </c>
      <c r="J303" s="155">
        <v>101</v>
      </c>
      <c r="K303" s="155">
        <f aca="true" t="shared" si="15" ref="K303:K312">J303/G303</f>
        <v>101</v>
      </c>
      <c r="L303" s="356">
        <f>I303/J303</f>
        <v>7.99009900990099</v>
      </c>
      <c r="M303" s="267">
        <f>191668+16358.5+8305+0.5+19699.5+16705.5+7289+4467+3138+2267+1882+6536+9273+1289+852+1124+2416+1164+28+80+1249+807</f>
        <v>296598</v>
      </c>
      <c r="N303" s="155">
        <f>10324+8249+7871+7121+4755+3362+1751+2958+2636+1185+800+596+440+265+961+1648+202+172+213+528+291+7+20+151+101</f>
        <v>56607</v>
      </c>
      <c r="O303" s="357">
        <f>+M303/N303</f>
        <v>5.239599342837458</v>
      </c>
      <c r="P303" s="332">
        <v>1</v>
      </c>
    </row>
    <row r="304" spans="1:16" ht="15">
      <c r="A304" s="66">
        <v>302</v>
      </c>
      <c r="B304" s="49" t="s">
        <v>42</v>
      </c>
      <c r="C304" s="40">
        <v>39640</v>
      </c>
      <c r="D304" s="65" t="s">
        <v>131</v>
      </c>
      <c r="E304" s="65" t="s">
        <v>43</v>
      </c>
      <c r="F304" s="41">
        <v>137</v>
      </c>
      <c r="G304" s="41">
        <v>1</v>
      </c>
      <c r="H304" s="41">
        <v>25</v>
      </c>
      <c r="I304" s="307">
        <v>805</v>
      </c>
      <c r="J304" s="308">
        <v>350</v>
      </c>
      <c r="K304" s="155">
        <f t="shared" si="15"/>
        <v>350</v>
      </c>
      <c r="L304" s="156">
        <f>+I304/J304</f>
        <v>2.3</v>
      </c>
      <c r="M304" s="154">
        <v>1629170</v>
      </c>
      <c r="N304" s="155">
        <v>217304</v>
      </c>
      <c r="O304" s="103">
        <f>+M304/N304</f>
        <v>7.497192872657659</v>
      </c>
      <c r="P304" s="331"/>
    </row>
    <row r="305" spans="1:16" ht="15">
      <c r="A305" s="66">
        <v>303</v>
      </c>
      <c r="B305" s="363" t="s">
        <v>72</v>
      </c>
      <c r="C305" s="39">
        <v>39773</v>
      </c>
      <c r="D305" s="44" t="s">
        <v>131</v>
      </c>
      <c r="E305" s="44" t="s">
        <v>126</v>
      </c>
      <c r="F305" s="41">
        <v>204</v>
      </c>
      <c r="G305" s="41">
        <v>1</v>
      </c>
      <c r="H305" s="41">
        <v>23</v>
      </c>
      <c r="I305" s="263">
        <v>805</v>
      </c>
      <c r="J305" s="308">
        <v>161</v>
      </c>
      <c r="K305" s="155">
        <f t="shared" si="15"/>
        <v>161</v>
      </c>
      <c r="L305" s="356">
        <f>+I305/J305</f>
        <v>5</v>
      </c>
      <c r="M305" s="267">
        <v>11442948</v>
      </c>
      <c r="N305" s="155">
        <v>1417650</v>
      </c>
      <c r="O305" s="357">
        <f>+M305/N305</f>
        <v>8.071772299227595</v>
      </c>
      <c r="P305" s="332">
        <v>1</v>
      </c>
    </row>
    <row r="306" spans="1:16" ht="15">
      <c r="A306" s="66">
        <v>304</v>
      </c>
      <c r="B306" s="293" t="s">
        <v>25</v>
      </c>
      <c r="C306" s="286">
        <v>39808</v>
      </c>
      <c r="D306" s="285" t="s">
        <v>131</v>
      </c>
      <c r="E306" s="285" t="s">
        <v>111</v>
      </c>
      <c r="F306" s="287">
        <v>112</v>
      </c>
      <c r="G306" s="287">
        <v>2</v>
      </c>
      <c r="H306" s="287">
        <v>13</v>
      </c>
      <c r="I306" s="288">
        <v>805</v>
      </c>
      <c r="J306" s="289">
        <v>160</v>
      </c>
      <c r="K306" s="290">
        <f t="shared" si="15"/>
        <v>80</v>
      </c>
      <c r="L306" s="291">
        <f>I306/J306</f>
        <v>5.03125</v>
      </c>
      <c r="M306" s="292">
        <v>2042669</v>
      </c>
      <c r="N306" s="290">
        <v>210672</v>
      </c>
      <c r="O306" s="294">
        <f>+M306/N306</f>
        <v>9.695968140047087</v>
      </c>
      <c r="P306" s="332">
        <v>1</v>
      </c>
    </row>
    <row r="307" spans="1:16" ht="15">
      <c r="A307" s="66">
        <v>305</v>
      </c>
      <c r="B307" s="49" t="s">
        <v>57</v>
      </c>
      <c r="C307" s="40">
        <v>39745</v>
      </c>
      <c r="D307" s="65" t="s">
        <v>131</v>
      </c>
      <c r="E307" s="65" t="s">
        <v>32</v>
      </c>
      <c r="F307" s="41">
        <v>57</v>
      </c>
      <c r="G307" s="41">
        <v>1</v>
      </c>
      <c r="H307" s="41">
        <v>11</v>
      </c>
      <c r="I307" s="307">
        <v>801</v>
      </c>
      <c r="J307" s="308">
        <v>157</v>
      </c>
      <c r="K307" s="155">
        <f t="shared" si="15"/>
        <v>157</v>
      </c>
      <c r="L307" s="156">
        <f>+I307/J307</f>
        <v>5.101910828025478</v>
      </c>
      <c r="M307" s="154">
        <v>1167434</v>
      </c>
      <c r="N307" s="155">
        <v>125785</v>
      </c>
      <c r="O307" s="103">
        <f>+M307/N307</f>
        <v>9.281186150971896</v>
      </c>
      <c r="P307" s="330">
        <v>1</v>
      </c>
    </row>
    <row r="308" spans="1:16" ht="15">
      <c r="A308" s="66">
        <v>306</v>
      </c>
      <c r="B308" s="49" t="s">
        <v>436</v>
      </c>
      <c r="C308" s="39">
        <v>39535</v>
      </c>
      <c r="D308" s="44" t="s">
        <v>199</v>
      </c>
      <c r="E308" s="44" t="s">
        <v>437</v>
      </c>
      <c r="F308" s="41">
        <v>10</v>
      </c>
      <c r="G308" s="41">
        <v>1</v>
      </c>
      <c r="H308" s="41">
        <v>23</v>
      </c>
      <c r="I308" s="154">
        <v>800</v>
      </c>
      <c r="J308" s="155">
        <v>91</v>
      </c>
      <c r="K308" s="155">
        <f t="shared" si="15"/>
        <v>91</v>
      </c>
      <c r="L308" s="156">
        <f>I308/J308</f>
        <v>8.791208791208792</v>
      </c>
      <c r="M308" s="154">
        <v>201727</v>
      </c>
      <c r="N308" s="155">
        <v>23938</v>
      </c>
      <c r="O308" s="103">
        <f>M308/N308</f>
        <v>8.427061575737321</v>
      </c>
      <c r="P308" s="321"/>
    </row>
    <row r="309" spans="1:16" ht="15">
      <c r="A309" s="66">
        <v>307</v>
      </c>
      <c r="B309" s="293" t="s">
        <v>28</v>
      </c>
      <c r="C309" s="286">
        <v>39808</v>
      </c>
      <c r="D309" s="285" t="s">
        <v>132</v>
      </c>
      <c r="E309" s="285" t="s">
        <v>29</v>
      </c>
      <c r="F309" s="287">
        <v>1</v>
      </c>
      <c r="G309" s="287">
        <v>1</v>
      </c>
      <c r="H309" s="287">
        <v>6</v>
      </c>
      <c r="I309" s="288">
        <v>788</v>
      </c>
      <c r="J309" s="289">
        <v>263</v>
      </c>
      <c r="K309" s="290">
        <f t="shared" si="15"/>
        <v>263</v>
      </c>
      <c r="L309" s="291">
        <f>I309/J309</f>
        <v>2.9961977186311786</v>
      </c>
      <c r="M309" s="292">
        <f>173290.5+101994+52183.5+11344+1707+788</f>
        <v>341307</v>
      </c>
      <c r="N309" s="290">
        <f>23989+15166+8100+1911+346+263</f>
        <v>49775</v>
      </c>
      <c r="O309" s="294">
        <f>+M309/N309</f>
        <v>6.856996484178804</v>
      </c>
      <c r="P309" s="332">
        <v>1</v>
      </c>
    </row>
    <row r="310" spans="1:16" ht="15">
      <c r="A310" s="66">
        <v>308</v>
      </c>
      <c r="B310" s="293" t="s">
        <v>204</v>
      </c>
      <c r="C310" s="286">
        <v>39808</v>
      </c>
      <c r="D310" s="285" t="s">
        <v>131</v>
      </c>
      <c r="E310" s="285" t="s">
        <v>124</v>
      </c>
      <c r="F310" s="287">
        <v>34</v>
      </c>
      <c r="G310" s="287">
        <v>2</v>
      </c>
      <c r="H310" s="287">
        <v>9</v>
      </c>
      <c r="I310" s="288">
        <v>787</v>
      </c>
      <c r="J310" s="289">
        <v>136</v>
      </c>
      <c r="K310" s="290">
        <f t="shared" si="15"/>
        <v>68</v>
      </c>
      <c r="L310" s="291">
        <f>+I310/J310</f>
        <v>5.786764705882353</v>
      </c>
      <c r="M310" s="292">
        <v>802984</v>
      </c>
      <c r="N310" s="290">
        <v>90202</v>
      </c>
      <c r="O310" s="294">
        <f>+M310/N310</f>
        <v>8.902064255781468</v>
      </c>
      <c r="P310" s="332">
        <v>1</v>
      </c>
    </row>
    <row r="311" spans="1:16" ht="15">
      <c r="A311" s="66">
        <v>309</v>
      </c>
      <c r="B311" s="363" t="s">
        <v>84</v>
      </c>
      <c r="C311" s="39">
        <v>39738</v>
      </c>
      <c r="D311" s="44" t="s">
        <v>130</v>
      </c>
      <c r="E311" s="44" t="s">
        <v>122</v>
      </c>
      <c r="F311" s="41">
        <v>52</v>
      </c>
      <c r="G311" s="41">
        <v>1</v>
      </c>
      <c r="H311" s="41">
        <v>12</v>
      </c>
      <c r="I311" s="267">
        <v>766</v>
      </c>
      <c r="J311" s="155">
        <v>125</v>
      </c>
      <c r="K311" s="155">
        <f t="shared" si="15"/>
        <v>125</v>
      </c>
      <c r="L311" s="356">
        <f>I311/J311</f>
        <v>6.128</v>
      </c>
      <c r="M311" s="267">
        <f>406562+322843+70349+13845+3121+7380+8038+2297+3564+114+392+766</f>
        <v>839271</v>
      </c>
      <c r="N311" s="155">
        <f>38224+30194+7191+2669+501+1117+1379+703+1188+19+67+125</f>
        <v>83377</v>
      </c>
      <c r="O311" s="357">
        <f>+M311/N311</f>
        <v>10.065977427827818</v>
      </c>
      <c r="P311" s="331"/>
    </row>
    <row r="312" spans="1:16" ht="15">
      <c r="A312" s="66">
        <v>310</v>
      </c>
      <c r="B312" s="293" t="s">
        <v>23</v>
      </c>
      <c r="C312" s="286">
        <v>39808</v>
      </c>
      <c r="D312" s="285" t="s">
        <v>136</v>
      </c>
      <c r="E312" s="285" t="s">
        <v>24</v>
      </c>
      <c r="F312" s="287">
        <v>198</v>
      </c>
      <c r="G312" s="287">
        <v>1</v>
      </c>
      <c r="H312" s="287">
        <v>10</v>
      </c>
      <c r="I312" s="288">
        <v>765</v>
      </c>
      <c r="J312" s="289">
        <v>151</v>
      </c>
      <c r="K312" s="290">
        <f t="shared" si="15"/>
        <v>151</v>
      </c>
      <c r="L312" s="291">
        <f>IF(I312&lt;&gt;0,I312/J312,"")</f>
        <v>5.066225165562914</v>
      </c>
      <c r="M312" s="292">
        <f>909072+532572.5+214521.5+64908+15178.5+4216.5+2023+1098+1208+765</f>
        <v>1745563</v>
      </c>
      <c r="N312" s="290">
        <f>112486+67146+29772+10700+3086+733+452+228+242+151</f>
        <v>224996</v>
      </c>
      <c r="O312" s="294">
        <f>+M312/N312</f>
        <v>7.758195701256911</v>
      </c>
      <c r="P312" s="332"/>
    </row>
    <row r="313" spans="1:16" ht="15">
      <c r="A313" s="66">
        <v>311</v>
      </c>
      <c r="B313" s="363" t="s">
        <v>167</v>
      </c>
      <c r="C313" s="39">
        <v>39766</v>
      </c>
      <c r="D313" s="44" t="s">
        <v>282</v>
      </c>
      <c r="E313" s="44" t="s">
        <v>168</v>
      </c>
      <c r="F313" s="41">
        <v>17</v>
      </c>
      <c r="G313" s="41">
        <v>1</v>
      </c>
      <c r="H313" s="41">
        <v>19</v>
      </c>
      <c r="I313" s="263">
        <v>755</v>
      </c>
      <c r="J313" s="308">
        <v>133</v>
      </c>
      <c r="K313" s="155">
        <v>133</v>
      </c>
      <c r="L313" s="356">
        <v>5.676691729323308</v>
      </c>
      <c r="M313" s="267">
        <v>79437</v>
      </c>
      <c r="N313" s="155">
        <v>11051</v>
      </c>
      <c r="O313" s="357">
        <v>7.188218260790879</v>
      </c>
      <c r="P313" s="330"/>
    </row>
    <row r="314" spans="1:16" ht="15">
      <c r="A314" s="66">
        <v>312</v>
      </c>
      <c r="B314" s="232" t="s">
        <v>91</v>
      </c>
      <c r="C314" s="216">
        <v>36413</v>
      </c>
      <c r="D314" s="217" t="s">
        <v>92</v>
      </c>
      <c r="E314" s="217" t="s">
        <v>93</v>
      </c>
      <c r="F314" s="218">
        <v>6</v>
      </c>
      <c r="G314" s="218">
        <v>1</v>
      </c>
      <c r="H314" s="218">
        <v>24</v>
      </c>
      <c r="I314" s="297">
        <v>712</v>
      </c>
      <c r="J314" s="298">
        <v>178</v>
      </c>
      <c r="K314" s="223">
        <f>J314/G314</f>
        <v>178</v>
      </c>
      <c r="L314" s="224">
        <f aca="true" t="shared" si="16" ref="L314:L330">I314/J314</f>
        <v>4</v>
      </c>
      <c r="M314" s="225">
        <v>39786.6</v>
      </c>
      <c r="N314" s="226">
        <v>21271</v>
      </c>
      <c r="O314" s="233">
        <f>+M314/N314</f>
        <v>1.8704621315405952</v>
      </c>
      <c r="P314" s="321"/>
    </row>
    <row r="315" spans="1:16" ht="15">
      <c r="A315" s="66">
        <v>313</v>
      </c>
      <c r="B315" s="363" t="s">
        <v>70</v>
      </c>
      <c r="C315" s="39">
        <v>39766</v>
      </c>
      <c r="D315" s="44" t="s">
        <v>132</v>
      </c>
      <c r="E315" s="44" t="s">
        <v>71</v>
      </c>
      <c r="F315" s="41">
        <v>24</v>
      </c>
      <c r="G315" s="41">
        <v>1</v>
      </c>
      <c r="H315" s="41">
        <v>26</v>
      </c>
      <c r="I315" s="267">
        <v>709</v>
      </c>
      <c r="J315" s="155">
        <v>89</v>
      </c>
      <c r="K315" s="155">
        <f>J315/G315</f>
        <v>89</v>
      </c>
      <c r="L315" s="356">
        <f t="shared" si="16"/>
        <v>7.966292134831461</v>
      </c>
      <c r="M315" s="267">
        <f>191668+16358.5+8305+0.5+19699.5+16705.5+7289+4467+3138+2267+1882+6536+9273+1289+852+1124+2416+1164+28+80+1249+807+709</f>
        <v>297307</v>
      </c>
      <c r="N315" s="155">
        <f>10324+8249+7871+7121+4755+3362+1751+2958+2636+1185+800+596+440+265+961+1648+202+172+213+528+291+7+20+151+101+89</f>
        <v>56696</v>
      </c>
      <c r="O315" s="357">
        <f>+M315/N315</f>
        <v>5.243879638775223</v>
      </c>
      <c r="P315" s="332"/>
    </row>
    <row r="316" spans="1:16" ht="15">
      <c r="A316" s="66">
        <v>314</v>
      </c>
      <c r="B316" s="293" t="s">
        <v>47</v>
      </c>
      <c r="C316" s="286">
        <v>39780</v>
      </c>
      <c r="D316" s="285" t="s">
        <v>134</v>
      </c>
      <c r="E316" s="285" t="s">
        <v>33</v>
      </c>
      <c r="F316" s="287">
        <v>6</v>
      </c>
      <c r="G316" s="287">
        <v>1</v>
      </c>
      <c r="H316" s="287">
        <v>9</v>
      </c>
      <c r="I316" s="288">
        <v>691.5</v>
      </c>
      <c r="J316" s="289">
        <v>105</v>
      </c>
      <c r="K316" s="290">
        <f>(J316/G316)</f>
        <v>105</v>
      </c>
      <c r="L316" s="291">
        <f t="shared" si="16"/>
        <v>6.585714285714285</v>
      </c>
      <c r="M316" s="292">
        <f>25457+3030+1123+7370+430+997+6202+886+691.5</f>
        <v>46186.5</v>
      </c>
      <c r="N316" s="290">
        <f>2151+404+165+1079+59+230+1523+213+105</f>
        <v>5929</v>
      </c>
      <c r="O316" s="294">
        <f>M316/N316</f>
        <v>7.789930848372407</v>
      </c>
      <c r="P316" s="332">
        <v>1</v>
      </c>
    </row>
    <row r="317" spans="1:16" ht="15">
      <c r="A317" s="66">
        <v>315</v>
      </c>
      <c r="B317" s="293" t="s">
        <v>203</v>
      </c>
      <c r="C317" s="286">
        <v>39675</v>
      </c>
      <c r="D317" s="285" t="s">
        <v>199</v>
      </c>
      <c r="E317" s="285" t="s">
        <v>199</v>
      </c>
      <c r="F317" s="287">
        <v>54</v>
      </c>
      <c r="G317" s="287">
        <v>1</v>
      </c>
      <c r="H317" s="287">
        <v>10</v>
      </c>
      <c r="I317" s="288">
        <v>690</v>
      </c>
      <c r="J317" s="289">
        <v>230</v>
      </c>
      <c r="K317" s="290">
        <f>J317/G317</f>
        <v>230</v>
      </c>
      <c r="L317" s="291">
        <f t="shared" si="16"/>
        <v>3</v>
      </c>
      <c r="M317" s="292">
        <v>679944</v>
      </c>
      <c r="N317" s="290">
        <v>66454</v>
      </c>
      <c r="O317" s="294">
        <f aca="true" t="shared" si="17" ref="O317:O324">+M317/N317</f>
        <v>10.231799440214283</v>
      </c>
      <c r="P317" s="332"/>
    </row>
    <row r="318" spans="1:16" ht="15">
      <c r="A318" s="66">
        <v>316</v>
      </c>
      <c r="B318" s="293" t="s">
        <v>56</v>
      </c>
      <c r="C318" s="286">
        <v>39745</v>
      </c>
      <c r="D318" s="285" t="s">
        <v>136</v>
      </c>
      <c r="E318" s="285" t="s">
        <v>46</v>
      </c>
      <c r="F318" s="287">
        <v>104</v>
      </c>
      <c r="G318" s="287">
        <v>1</v>
      </c>
      <c r="H318" s="287">
        <v>16</v>
      </c>
      <c r="I318" s="288">
        <v>686</v>
      </c>
      <c r="J318" s="289">
        <v>106</v>
      </c>
      <c r="K318" s="290">
        <f>IF(I318&lt;&gt;0,J318/G318,"")</f>
        <v>106</v>
      </c>
      <c r="L318" s="291">
        <f t="shared" si="16"/>
        <v>6.471698113207547</v>
      </c>
      <c r="M318" s="292">
        <f>821522+622841.5+494230+434015.5+185757.5+145248.5+16130+16159+2033+6489+4346+3565+2540+1323+139+686</f>
        <v>2757025</v>
      </c>
      <c r="N318" s="290">
        <f>99216+78381+65128+58419+30420+24530+3077+3918+431+1704+1003+785+507+195+19+106</f>
        <v>367839</v>
      </c>
      <c r="O318" s="294">
        <f t="shared" si="17"/>
        <v>7.495194908642096</v>
      </c>
      <c r="P318" s="332">
        <v>1</v>
      </c>
    </row>
    <row r="319" spans="1:16" ht="15">
      <c r="A319" s="66">
        <v>317</v>
      </c>
      <c r="B319" s="363" t="s">
        <v>44</v>
      </c>
      <c r="C319" s="39">
        <v>39780</v>
      </c>
      <c r="D319" s="44" t="s">
        <v>131</v>
      </c>
      <c r="E319" s="44" t="s">
        <v>127</v>
      </c>
      <c r="F319" s="41">
        <v>121</v>
      </c>
      <c r="G319" s="41">
        <v>3</v>
      </c>
      <c r="H319" s="41">
        <v>25</v>
      </c>
      <c r="I319" s="263">
        <v>673</v>
      </c>
      <c r="J319" s="308">
        <v>391</v>
      </c>
      <c r="K319" s="155">
        <f aca="true" t="shared" si="18" ref="K319:K324">J319/G319</f>
        <v>130.33333333333334</v>
      </c>
      <c r="L319" s="356">
        <f t="shared" si="16"/>
        <v>1.721227621483376</v>
      </c>
      <c r="M319" s="267">
        <v>3470170</v>
      </c>
      <c r="N319" s="155">
        <v>409759</v>
      </c>
      <c r="O319" s="357">
        <f t="shared" si="17"/>
        <v>8.4688072745199</v>
      </c>
      <c r="P319" s="321"/>
    </row>
    <row r="320" spans="1:16" ht="15">
      <c r="A320" s="66">
        <v>318</v>
      </c>
      <c r="B320" s="235">
        <v>120</v>
      </c>
      <c r="C320" s="229">
        <v>39493</v>
      </c>
      <c r="D320" s="227" t="s">
        <v>132</v>
      </c>
      <c r="E320" s="227" t="s">
        <v>94</v>
      </c>
      <c r="F320" s="228">
        <v>179</v>
      </c>
      <c r="G320" s="228">
        <v>1</v>
      </c>
      <c r="H320" s="228">
        <v>38</v>
      </c>
      <c r="I320" s="309">
        <v>666</v>
      </c>
      <c r="J320" s="310">
        <v>222</v>
      </c>
      <c r="K320" s="223">
        <f t="shared" si="18"/>
        <v>222</v>
      </c>
      <c r="L320" s="224">
        <f t="shared" si="16"/>
        <v>3</v>
      </c>
      <c r="M320" s="231">
        <f>940515+844172.5+750489+533469+396399.5+362067.5+228159+211115.5+153941.5+48+73076.5+60280+47290.5+46690+13789+13717.5+9809+2709.5+1288.5+22597.5+10821.5+12218+7313+44774.5+111294+3629+0.5+41599.5+20470.5+5217-3719.5+10067+1376+10253+13391+15635+48+500+2820+500+666</f>
        <v>5020498.5</v>
      </c>
      <c r="N320" s="222">
        <f>135921+127724+124508+97493+101422+99063+62455+57586+44490+6+19837+19877+15923+15427+4822+4847+3310+822+280+7405+3528+4050+2428+14923+37098+1709+6180+3303+3114+328+3418+4411+5191+12+100+806+100+222</f>
        <v>1034139</v>
      </c>
      <c r="O320" s="233">
        <f t="shared" si="17"/>
        <v>4.854761787341934</v>
      </c>
      <c r="P320" s="332">
        <v>1</v>
      </c>
    </row>
    <row r="321" spans="1:16" ht="15">
      <c r="A321" s="66">
        <v>319</v>
      </c>
      <c r="B321" s="293" t="s">
        <v>286</v>
      </c>
      <c r="C321" s="286">
        <v>39472</v>
      </c>
      <c r="D321" s="285" t="s">
        <v>282</v>
      </c>
      <c r="E321" s="285" t="s">
        <v>287</v>
      </c>
      <c r="F321" s="287">
        <v>70</v>
      </c>
      <c r="G321" s="287">
        <v>1</v>
      </c>
      <c r="H321" s="287">
        <v>29</v>
      </c>
      <c r="I321" s="292">
        <v>666</v>
      </c>
      <c r="J321" s="290">
        <v>164</v>
      </c>
      <c r="K321" s="290">
        <f t="shared" si="18"/>
        <v>164</v>
      </c>
      <c r="L321" s="291">
        <f t="shared" si="16"/>
        <v>4.060975609756097</v>
      </c>
      <c r="M321" s="292">
        <v>879310</v>
      </c>
      <c r="N321" s="290">
        <v>111317</v>
      </c>
      <c r="O321" s="294">
        <f t="shared" si="17"/>
        <v>7.899152869732386</v>
      </c>
      <c r="P321" s="332">
        <v>1</v>
      </c>
    </row>
    <row r="322" spans="1:16" ht="15">
      <c r="A322" s="66">
        <v>320</v>
      </c>
      <c r="B322" s="232" t="s">
        <v>149</v>
      </c>
      <c r="C322" s="216">
        <v>39801</v>
      </c>
      <c r="D322" s="217" t="s">
        <v>4</v>
      </c>
      <c r="E322" s="217" t="s">
        <v>77</v>
      </c>
      <c r="F322" s="218">
        <v>19</v>
      </c>
      <c r="G322" s="218">
        <v>4</v>
      </c>
      <c r="H322" s="218">
        <v>4</v>
      </c>
      <c r="I322" s="297">
        <v>661</v>
      </c>
      <c r="J322" s="298">
        <v>120</v>
      </c>
      <c r="K322" s="223">
        <f t="shared" si="18"/>
        <v>30</v>
      </c>
      <c r="L322" s="224">
        <f t="shared" si="16"/>
        <v>5.508333333333334</v>
      </c>
      <c r="M322" s="225">
        <v>137299</v>
      </c>
      <c r="N322" s="226">
        <v>12776</v>
      </c>
      <c r="O322" s="233">
        <f t="shared" si="17"/>
        <v>10.746634314339387</v>
      </c>
      <c r="P322" s="332"/>
    </row>
    <row r="323" spans="1:16" ht="15">
      <c r="A323" s="66">
        <v>321</v>
      </c>
      <c r="B323" s="49" t="s">
        <v>144</v>
      </c>
      <c r="C323" s="39">
        <v>39801</v>
      </c>
      <c r="D323" s="44" t="s">
        <v>130</v>
      </c>
      <c r="E323" s="44" t="s">
        <v>122</v>
      </c>
      <c r="F323" s="41">
        <v>69</v>
      </c>
      <c r="G323" s="41">
        <v>1</v>
      </c>
      <c r="H323" s="41">
        <v>15</v>
      </c>
      <c r="I323" s="307">
        <v>647</v>
      </c>
      <c r="J323" s="308">
        <v>159</v>
      </c>
      <c r="K323" s="155">
        <f t="shared" si="18"/>
        <v>159</v>
      </c>
      <c r="L323" s="156">
        <f t="shared" si="16"/>
        <v>4.069182389937107</v>
      </c>
      <c r="M323" s="154">
        <f>820286+588484+413907+112495+41441-111+9385+4586+8718+1191+251+1065+1821+1022+443+647</f>
        <v>2005631</v>
      </c>
      <c r="N323" s="155">
        <f>83839+57678+42374+12212+5722-11+2124+1350+1256+191+41+182+386+174+82+159</f>
        <v>207759</v>
      </c>
      <c r="O323" s="103">
        <f t="shared" si="17"/>
        <v>9.653641960155758</v>
      </c>
      <c r="P323" s="332"/>
    </row>
    <row r="324" spans="1:16" ht="15">
      <c r="A324" s="66">
        <v>322</v>
      </c>
      <c r="B324" s="363" t="s">
        <v>25</v>
      </c>
      <c r="C324" s="39">
        <v>39808</v>
      </c>
      <c r="D324" s="44" t="s">
        <v>131</v>
      </c>
      <c r="E324" s="44" t="s">
        <v>111</v>
      </c>
      <c r="F324" s="41">
        <v>112</v>
      </c>
      <c r="G324" s="41">
        <v>3</v>
      </c>
      <c r="H324" s="41">
        <v>20</v>
      </c>
      <c r="I324" s="267">
        <v>626</v>
      </c>
      <c r="J324" s="155">
        <v>386</v>
      </c>
      <c r="K324" s="155">
        <f t="shared" si="18"/>
        <v>128.66666666666666</v>
      </c>
      <c r="L324" s="356">
        <f t="shared" si="16"/>
        <v>1.621761658031088</v>
      </c>
      <c r="M324" s="267">
        <v>2059346</v>
      </c>
      <c r="N324" s="155">
        <v>215115</v>
      </c>
      <c r="O324" s="357">
        <f t="shared" si="17"/>
        <v>9.573232921925483</v>
      </c>
      <c r="P324" s="321"/>
    </row>
    <row r="325" spans="1:16" ht="15">
      <c r="A325" s="66">
        <v>323</v>
      </c>
      <c r="B325" s="49" t="s">
        <v>60</v>
      </c>
      <c r="C325" s="39">
        <v>39745</v>
      </c>
      <c r="D325" s="44" t="s">
        <v>134</v>
      </c>
      <c r="E325" s="44" t="s">
        <v>106</v>
      </c>
      <c r="F325" s="41">
        <v>7</v>
      </c>
      <c r="G325" s="41">
        <v>1</v>
      </c>
      <c r="H325" s="41">
        <v>14</v>
      </c>
      <c r="I325" s="307">
        <v>620</v>
      </c>
      <c r="J325" s="308">
        <v>133</v>
      </c>
      <c r="K325" s="155">
        <f>(J325/G325)</f>
        <v>133</v>
      </c>
      <c r="L325" s="156">
        <f t="shared" si="16"/>
        <v>4.661654135338346</v>
      </c>
      <c r="M325" s="154">
        <f>31758.5+8225.5+1958+2180+395+7254.5+494+2046+429+128+135+1066+1003+620</f>
        <v>57692.5</v>
      </c>
      <c r="N325" s="155">
        <f>2732+851+288+247+46+761+52+333+72+22+23+258+223+133</f>
        <v>6041</v>
      </c>
      <c r="O325" s="103">
        <f>M325/N325</f>
        <v>9.550157258731998</v>
      </c>
      <c r="P325" s="321"/>
    </row>
    <row r="326" spans="1:16" ht="15">
      <c r="A326" s="66">
        <v>324</v>
      </c>
      <c r="B326" s="363" t="s">
        <v>147</v>
      </c>
      <c r="C326" s="39">
        <v>39801</v>
      </c>
      <c r="D326" s="44" t="s">
        <v>134</v>
      </c>
      <c r="E326" s="44" t="s">
        <v>148</v>
      </c>
      <c r="F326" s="41">
        <v>42</v>
      </c>
      <c r="G326" s="41">
        <v>1</v>
      </c>
      <c r="H326" s="41">
        <v>19</v>
      </c>
      <c r="I326" s="263">
        <v>607.5</v>
      </c>
      <c r="J326" s="308">
        <v>150</v>
      </c>
      <c r="K326" s="155">
        <f>(J326/G326)</f>
        <v>150</v>
      </c>
      <c r="L326" s="356">
        <f t="shared" si="16"/>
        <v>4.05</v>
      </c>
      <c r="M326" s="267">
        <f>295344+204961.5+145464.5+116108.5+111972.5+49984+26327+32042+18579+20005+19180+15980+2686.5+3166.5+366+13433+4493+735.5+607.5</f>
        <v>1081436</v>
      </c>
      <c r="N326" s="155">
        <f>36142+24747+19417+15404+14719+7567+3314+5289+3173+3275+3534+2826+540+724+52+2536+882+130+150</f>
        <v>144421</v>
      </c>
      <c r="O326" s="357">
        <f>M326/N326</f>
        <v>7.488079988367343</v>
      </c>
      <c r="P326" s="332"/>
    </row>
    <row r="327" spans="1:16" ht="15">
      <c r="A327" s="66">
        <v>325</v>
      </c>
      <c r="B327" s="49" t="s">
        <v>19</v>
      </c>
      <c r="C327" s="40">
        <v>39731</v>
      </c>
      <c r="D327" s="45" t="s">
        <v>134</v>
      </c>
      <c r="E327" s="44" t="s">
        <v>35</v>
      </c>
      <c r="F327" s="41">
        <v>37</v>
      </c>
      <c r="G327" s="41">
        <v>1</v>
      </c>
      <c r="H327" s="41">
        <v>12</v>
      </c>
      <c r="I327" s="303">
        <v>594.5</v>
      </c>
      <c r="J327" s="304">
        <v>146</v>
      </c>
      <c r="K327" s="158">
        <f>(J327/G327)</f>
        <v>146</v>
      </c>
      <c r="L327" s="159">
        <f t="shared" si="16"/>
        <v>4.071917808219178</v>
      </c>
      <c r="M327" s="150">
        <f>129467.5+88890.1+34771+30141+12902+22737.5+2404+24305+405+301+3764.5+594.5</f>
        <v>350683.1</v>
      </c>
      <c r="N327" s="151">
        <f>14410+10160+4854+5433+2399+3960+492+3729+81+64+566+146</f>
        <v>46294</v>
      </c>
      <c r="O327" s="105">
        <f>M327/N327</f>
        <v>7.575130686482049</v>
      </c>
      <c r="P327" s="332"/>
    </row>
    <row r="328" spans="1:16" ht="15">
      <c r="A328" s="66">
        <v>326</v>
      </c>
      <c r="B328" s="363" t="s">
        <v>167</v>
      </c>
      <c r="C328" s="39">
        <v>39766</v>
      </c>
      <c r="D328" s="44" t="s">
        <v>282</v>
      </c>
      <c r="E328" s="44" t="s">
        <v>168</v>
      </c>
      <c r="F328" s="41">
        <v>17</v>
      </c>
      <c r="G328" s="41">
        <v>2</v>
      </c>
      <c r="H328" s="41">
        <v>23</v>
      </c>
      <c r="I328" s="267">
        <v>575</v>
      </c>
      <c r="J328" s="155">
        <v>74</v>
      </c>
      <c r="K328" s="155">
        <f>J328/G328</f>
        <v>37</v>
      </c>
      <c r="L328" s="356">
        <f t="shared" si="16"/>
        <v>7.77027027027027</v>
      </c>
      <c r="M328" s="267">
        <v>87387</v>
      </c>
      <c r="N328" s="155">
        <v>12400</v>
      </c>
      <c r="O328" s="357">
        <f>+M328/N328</f>
        <v>7.047338709677419</v>
      </c>
      <c r="P328" s="332"/>
    </row>
    <row r="329" spans="1:16" ht="15">
      <c r="A329" s="66">
        <v>327</v>
      </c>
      <c r="B329" s="234" t="s">
        <v>49</v>
      </c>
      <c r="C329" s="229">
        <v>39710</v>
      </c>
      <c r="D329" s="227" t="s">
        <v>107</v>
      </c>
      <c r="E329" s="227" t="s">
        <v>107</v>
      </c>
      <c r="F329" s="228">
        <v>66</v>
      </c>
      <c r="G329" s="228">
        <v>2</v>
      </c>
      <c r="H329" s="228">
        <v>17</v>
      </c>
      <c r="I329" s="309">
        <v>573.5</v>
      </c>
      <c r="J329" s="310">
        <v>137</v>
      </c>
      <c r="K329" s="223">
        <f>J329/G329</f>
        <v>68.5</v>
      </c>
      <c r="L329" s="224">
        <f t="shared" si="16"/>
        <v>4.186131386861314</v>
      </c>
      <c r="M329" s="231">
        <f>152576+127511+68854.5+21974+10111.5+7103+7290+0.5+1014+3149+989+3524+0.5+3768+138+2528+257+351.5+573.5</f>
        <v>411713</v>
      </c>
      <c r="N329" s="222">
        <f>50018+825+47+65+137</f>
        <v>51092</v>
      </c>
      <c r="O329" s="233">
        <f>+M329/N329</f>
        <v>8.058267439129414</v>
      </c>
      <c r="P329" s="332"/>
    </row>
    <row r="330" spans="1:16" ht="14.25" customHeight="1">
      <c r="A330" s="66">
        <v>328</v>
      </c>
      <c r="B330" s="363" t="s">
        <v>362</v>
      </c>
      <c r="C330" s="39">
        <v>39297</v>
      </c>
      <c r="D330" s="44" t="s">
        <v>136</v>
      </c>
      <c r="E330" s="44" t="s">
        <v>363</v>
      </c>
      <c r="F330" s="41">
        <v>40</v>
      </c>
      <c r="G330" s="41">
        <v>1</v>
      </c>
      <c r="H330" s="41">
        <v>14</v>
      </c>
      <c r="I330" s="267">
        <v>560</v>
      </c>
      <c r="J330" s="155">
        <v>112</v>
      </c>
      <c r="K330" s="155">
        <f>J330/G330</f>
        <v>112</v>
      </c>
      <c r="L330" s="356">
        <f t="shared" si="16"/>
        <v>5</v>
      </c>
      <c r="M330" s="267">
        <v>389130.5</v>
      </c>
      <c r="N330" s="155">
        <v>50598</v>
      </c>
      <c r="O330" s="357">
        <f>+M330/N330</f>
        <v>7.690630064429424</v>
      </c>
      <c r="P330" s="331">
        <v>1</v>
      </c>
    </row>
    <row r="331" spans="1:16" ht="15">
      <c r="A331" s="66">
        <v>329</v>
      </c>
      <c r="B331" s="363" t="s">
        <v>370</v>
      </c>
      <c r="C331" s="39">
        <v>39556</v>
      </c>
      <c r="D331" s="44" t="s">
        <v>4</v>
      </c>
      <c r="E331" s="44" t="s">
        <v>77</v>
      </c>
      <c r="F331" s="41">
        <v>48</v>
      </c>
      <c r="G331" s="41">
        <v>1</v>
      </c>
      <c r="H331" s="41">
        <v>58</v>
      </c>
      <c r="I331" s="263">
        <v>560</v>
      </c>
      <c r="J331" s="308">
        <v>93</v>
      </c>
      <c r="K331" s="155">
        <f>+J331/G331</f>
        <v>93</v>
      </c>
      <c r="L331" s="356">
        <f>+I331/J331</f>
        <v>6.021505376344086</v>
      </c>
      <c r="M331" s="267">
        <v>59132</v>
      </c>
      <c r="N331" s="155">
        <v>8014</v>
      </c>
      <c r="O331" s="357">
        <f>+M331/N331</f>
        <v>7.378587471924133</v>
      </c>
      <c r="P331" s="332">
        <v>1</v>
      </c>
    </row>
    <row r="332" spans="1:16" ht="15">
      <c r="A332" s="66">
        <v>330</v>
      </c>
      <c r="B332" s="48" t="s">
        <v>68</v>
      </c>
      <c r="C332" s="39">
        <v>39759</v>
      </c>
      <c r="D332" s="42" t="s">
        <v>136</v>
      </c>
      <c r="E332" s="42" t="s">
        <v>31</v>
      </c>
      <c r="F332" s="54">
        <v>40</v>
      </c>
      <c r="G332" s="54">
        <v>1</v>
      </c>
      <c r="H332" s="54">
        <v>9</v>
      </c>
      <c r="I332" s="305">
        <v>556</v>
      </c>
      <c r="J332" s="306">
        <v>77</v>
      </c>
      <c r="K332" s="152">
        <f>IF(I332&lt;&gt;0,J332/G332,"")</f>
        <v>77</v>
      </c>
      <c r="L332" s="153">
        <f>IF(I332&lt;&gt;0,I332/J332,"")</f>
        <v>7.220779220779221</v>
      </c>
      <c r="M332" s="157">
        <f>84918+52341+11404+7823+3207+2014+937+2034+556</f>
        <v>165234</v>
      </c>
      <c r="N332" s="155">
        <f>10694+7043+2046+1560+538+345+174+389+77</f>
        <v>22866</v>
      </c>
      <c r="O332" s="104">
        <f>IF(M332&lt;&gt;0,M332/N332,"")</f>
        <v>7.226187352400944</v>
      </c>
      <c r="P332" s="332"/>
    </row>
    <row r="333" spans="1:16" ht="15">
      <c r="A333" s="66">
        <v>331</v>
      </c>
      <c r="B333" s="53" t="s">
        <v>149</v>
      </c>
      <c r="C333" s="39">
        <v>39801</v>
      </c>
      <c r="D333" s="45" t="s">
        <v>4</v>
      </c>
      <c r="E333" s="45" t="s">
        <v>77</v>
      </c>
      <c r="F333" s="50">
        <v>19</v>
      </c>
      <c r="G333" s="50">
        <v>2</v>
      </c>
      <c r="H333" s="50">
        <v>5</v>
      </c>
      <c r="I333" s="303">
        <v>554</v>
      </c>
      <c r="J333" s="304">
        <v>108</v>
      </c>
      <c r="K333" s="152">
        <f>+J333/G333</f>
        <v>54</v>
      </c>
      <c r="L333" s="153">
        <f>+I333/J333</f>
        <v>5.12962962962963</v>
      </c>
      <c r="M333" s="150">
        <v>137853</v>
      </c>
      <c r="N333" s="151">
        <v>12884</v>
      </c>
      <c r="O333" s="104">
        <f>+M333/N333</f>
        <v>10.699549829245576</v>
      </c>
      <c r="P333" s="332"/>
    </row>
    <row r="334" spans="1:16" ht="15">
      <c r="A334" s="66">
        <v>332</v>
      </c>
      <c r="B334" s="234" t="s">
        <v>53</v>
      </c>
      <c r="C334" s="229">
        <v>39738</v>
      </c>
      <c r="D334" s="217" t="s">
        <v>134</v>
      </c>
      <c r="E334" s="227" t="s">
        <v>54</v>
      </c>
      <c r="F334" s="228">
        <v>67</v>
      </c>
      <c r="G334" s="228">
        <v>5</v>
      </c>
      <c r="H334" s="228">
        <v>13</v>
      </c>
      <c r="I334" s="297">
        <v>545</v>
      </c>
      <c r="J334" s="298">
        <v>127</v>
      </c>
      <c r="K334" s="223">
        <f>(J334/G334)</f>
        <v>25.4</v>
      </c>
      <c r="L334" s="224">
        <f>I334/J334</f>
        <v>4.291338582677166</v>
      </c>
      <c r="M334" s="225">
        <f>167196+176809+54428+37340+38330.5+23467+11581+5867+4382+2577+3552+2137+545</f>
        <v>528211.5</v>
      </c>
      <c r="N334" s="226">
        <f>19168+21164+7719+6215+6404+4964+2339+1306+907+580+859+440+127</f>
        <v>72192</v>
      </c>
      <c r="O334" s="233">
        <f>M334/N334</f>
        <v>7.3167594747340425</v>
      </c>
      <c r="P334" s="321"/>
    </row>
    <row r="335" spans="1:16" ht="15">
      <c r="A335" s="66">
        <v>333</v>
      </c>
      <c r="B335" s="49" t="s">
        <v>149</v>
      </c>
      <c r="C335" s="39">
        <v>39801</v>
      </c>
      <c r="D335" s="44" t="s">
        <v>4</v>
      </c>
      <c r="E335" s="44" t="s">
        <v>77</v>
      </c>
      <c r="F335" s="41">
        <v>19</v>
      </c>
      <c r="G335" s="41">
        <v>2</v>
      </c>
      <c r="H335" s="41">
        <v>17</v>
      </c>
      <c r="I335" s="307">
        <v>543</v>
      </c>
      <c r="J335" s="308">
        <v>86</v>
      </c>
      <c r="K335" s="155">
        <f>+J335/G335</f>
        <v>43</v>
      </c>
      <c r="L335" s="156">
        <f>+I335/J335</f>
        <v>6.313953488372093</v>
      </c>
      <c r="M335" s="154">
        <v>148172</v>
      </c>
      <c r="N335" s="155">
        <v>14597</v>
      </c>
      <c r="O335" s="103">
        <f>+M335/N335</f>
        <v>10.150852914982531</v>
      </c>
      <c r="P335" s="332">
        <v>1</v>
      </c>
    </row>
    <row r="336" spans="1:16" ht="15">
      <c r="A336" s="66">
        <v>334</v>
      </c>
      <c r="B336" s="293" t="s">
        <v>47</v>
      </c>
      <c r="C336" s="286">
        <v>39780</v>
      </c>
      <c r="D336" s="285" t="s">
        <v>134</v>
      </c>
      <c r="E336" s="285" t="s">
        <v>269</v>
      </c>
      <c r="F336" s="287">
        <v>6</v>
      </c>
      <c r="G336" s="287">
        <v>1</v>
      </c>
      <c r="H336" s="287">
        <v>12</v>
      </c>
      <c r="I336" s="292">
        <v>504</v>
      </c>
      <c r="J336" s="290">
        <v>108</v>
      </c>
      <c r="K336" s="290">
        <f>(J336/G336)</f>
        <v>108</v>
      </c>
      <c r="L336" s="291">
        <f>I336/J336</f>
        <v>4.666666666666667</v>
      </c>
      <c r="M336" s="292">
        <f>25457+3030+1123+7370+430+997+6202+886+691.5+1289+1188+504</f>
        <v>49167.5</v>
      </c>
      <c r="N336" s="290">
        <f>2151+404+165+1079+59+230+1523+213+105+142+297+108</f>
        <v>6476</v>
      </c>
      <c r="O336" s="294">
        <f>M336/N336</f>
        <v>7.592263743051266</v>
      </c>
      <c r="P336" s="345">
        <v>1</v>
      </c>
    </row>
    <row r="337" spans="1:16" ht="15">
      <c r="A337" s="66">
        <v>335</v>
      </c>
      <c r="B337" s="53" t="s">
        <v>82</v>
      </c>
      <c r="C337" s="39">
        <v>39633</v>
      </c>
      <c r="D337" s="45" t="s">
        <v>4</v>
      </c>
      <c r="E337" s="45" t="s">
        <v>77</v>
      </c>
      <c r="F337" s="50">
        <v>28</v>
      </c>
      <c r="G337" s="50">
        <v>1</v>
      </c>
      <c r="H337" s="50">
        <v>27</v>
      </c>
      <c r="I337" s="303">
        <v>475</v>
      </c>
      <c r="J337" s="304">
        <v>95</v>
      </c>
      <c r="K337" s="152">
        <f>+J337/G337</f>
        <v>95</v>
      </c>
      <c r="L337" s="153">
        <f>+I337/J337</f>
        <v>5</v>
      </c>
      <c r="M337" s="150">
        <v>315463</v>
      </c>
      <c r="N337" s="151">
        <v>42108</v>
      </c>
      <c r="O337" s="104">
        <f aca="true" t="shared" si="19" ref="O337:O349">+M337/N337</f>
        <v>7.491759285646433</v>
      </c>
      <c r="P337" s="332">
        <v>1</v>
      </c>
    </row>
    <row r="338" spans="1:16" ht="15">
      <c r="A338" s="66">
        <v>336</v>
      </c>
      <c r="B338" s="363" t="s">
        <v>149</v>
      </c>
      <c r="C338" s="39">
        <v>39801</v>
      </c>
      <c r="D338" s="44" t="s">
        <v>4</v>
      </c>
      <c r="E338" s="44" t="s">
        <v>77</v>
      </c>
      <c r="F338" s="41">
        <v>19</v>
      </c>
      <c r="G338" s="41">
        <v>1</v>
      </c>
      <c r="H338" s="41">
        <v>20</v>
      </c>
      <c r="I338" s="267">
        <v>468</v>
      </c>
      <c r="J338" s="155">
        <v>133</v>
      </c>
      <c r="K338" s="155">
        <f>+J338/G338</f>
        <v>133</v>
      </c>
      <c r="L338" s="356">
        <f>+I338/J338</f>
        <v>3.518796992481203</v>
      </c>
      <c r="M338" s="267">
        <v>148640</v>
      </c>
      <c r="N338" s="155">
        <v>14730</v>
      </c>
      <c r="O338" s="357">
        <f t="shared" si="19"/>
        <v>10.090970807875085</v>
      </c>
      <c r="P338" s="332"/>
    </row>
    <row r="339" spans="1:16" ht="15">
      <c r="A339" s="66">
        <v>337</v>
      </c>
      <c r="B339" s="363" t="s">
        <v>25</v>
      </c>
      <c r="C339" s="39">
        <v>39808</v>
      </c>
      <c r="D339" s="44" t="s">
        <v>131</v>
      </c>
      <c r="E339" s="44" t="s">
        <v>111</v>
      </c>
      <c r="F339" s="41">
        <v>112</v>
      </c>
      <c r="G339" s="41">
        <v>3</v>
      </c>
      <c r="H339" s="41">
        <v>19</v>
      </c>
      <c r="I339" s="267">
        <v>455</v>
      </c>
      <c r="J339" s="155">
        <v>98</v>
      </c>
      <c r="K339" s="155">
        <f aca="true" t="shared" si="20" ref="K339:K346">J339/G339</f>
        <v>32.666666666666664</v>
      </c>
      <c r="L339" s="356">
        <f>+I339/J339</f>
        <v>4.642857142857143</v>
      </c>
      <c r="M339" s="267">
        <v>2058720</v>
      </c>
      <c r="N339" s="155">
        <v>214729</v>
      </c>
      <c r="O339" s="357">
        <f t="shared" si="19"/>
        <v>9.587526603299974</v>
      </c>
      <c r="P339" s="321">
        <v>1</v>
      </c>
    </row>
    <row r="340" spans="1:16" ht="15">
      <c r="A340" s="66">
        <v>338</v>
      </c>
      <c r="B340" s="363" t="s">
        <v>379</v>
      </c>
      <c r="C340" s="39">
        <v>39528</v>
      </c>
      <c r="D340" s="44" t="s">
        <v>131</v>
      </c>
      <c r="E340" s="44" t="s">
        <v>127</v>
      </c>
      <c r="F340" s="41">
        <v>33</v>
      </c>
      <c r="G340" s="41">
        <v>1</v>
      </c>
      <c r="H340" s="41">
        <v>62</v>
      </c>
      <c r="I340" s="267">
        <v>450</v>
      </c>
      <c r="J340" s="155">
        <v>150</v>
      </c>
      <c r="K340" s="155">
        <f t="shared" si="20"/>
        <v>150</v>
      </c>
      <c r="L340" s="356">
        <f>I340/J340</f>
        <v>3</v>
      </c>
      <c r="M340" s="267">
        <v>130633</v>
      </c>
      <c r="N340" s="155">
        <v>14153</v>
      </c>
      <c r="O340" s="357">
        <f t="shared" si="19"/>
        <v>9.230057231682329</v>
      </c>
      <c r="P340" s="332"/>
    </row>
    <row r="341" spans="1:17" s="317" customFormat="1" ht="14.25" customHeight="1">
      <c r="A341" s="66">
        <v>339</v>
      </c>
      <c r="B341" s="293" t="s">
        <v>144</v>
      </c>
      <c r="C341" s="286">
        <v>39801</v>
      </c>
      <c r="D341" s="285" t="s">
        <v>130</v>
      </c>
      <c r="E341" s="285" t="s">
        <v>122</v>
      </c>
      <c r="F341" s="287">
        <v>69</v>
      </c>
      <c r="G341" s="287">
        <v>1</v>
      </c>
      <c r="H341" s="287">
        <v>14</v>
      </c>
      <c r="I341" s="292">
        <v>443</v>
      </c>
      <c r="J341" s="290">
        <v>82</v>
      </c>
      <c r="K341" s="290">
        <f t="shared" si="20"/>
        <v>82</v>
      </c>
      <c r="L341" s="291">
        <f>I341/J341</f>
        <v>5.402439024390244</v>
      </c>
      <c r="M341" s="292">
        <f>820286+588484+413907+112495+41441-111+9385+4586+8718+1191+251+1065+1821+1022+443</f>
        <v>2004984</v>
      </c>
      <c r="N341" s="290">
        <f>83839+57678+42374+12212+5722-11+2124+1350+1256+191+41+182+386+174+82</f>
        <v>207600</v>
      </c>
      <c r="O341" s="294">
        <f t="shared" si="19"/>
        <v>9.657919075144509</v>
      </c>
      <c r="P341" s="330"/>
      <c r="Q341" s="316"/>
    </row>
    <row r="342" spans="1:16" ht="15">
      <c r="A342" s="66">
        <v>340</v>
      </c>
      <c r="B342" s="49" t="s">
        <v>216</v>
      </c>
      <c r="C342" s="39">
        <v>39808</v>
      </c>
      <c r="D342" s="44" t="s">
        <v>131</v>
      </c>
      <c r="E342" s="44" t="s">
        <v>111</v>
      </c>
      <c r="F342" s="41">
        <v>112</v>
      </c>
      <c r="G342" s="41">
        <v>1</v>
      </c>
      <c r="H342" s="41">
        <v>25</v>
      </c>
      <c r="I342" s="154">
        <v>441</v>
      </c>
      <c r="J342" s="155">
        <v>350</v>
      </c>
      <c r="K342" s="155">
        <f t="shared" si="20"/>
        <v>350</v>
      </c>
      <c r="L342" s="156">
        <f>I342/J342</f>
        <v>1.26</v>
      </c>
      <c r="M342" s="154">
        <v>2065081</v>
      </c>
      <c r="N342" s="155">
        <v>217142</v>
      </c>
      <c r="O342" s="103">
        <f t="shared" si="19"/>
        <v>9.510278987943373</v>
      </c>
      <c r="P342" s="321"/>
    </row>
    <row r="343" spans="1:16" ht="15">
      <c r="A343" s="66">
        <v>341</v>
      </c>
      <c r="B343" s="293" t="s">
        <v>22</v>
      </c>
      <c r="C343" s="286">
        <v>39787</v>
      </c>
      <c r="D343" s="285" t="s">
        <v>131</v>
      </c>
      <c r="E343" s="285" t="s">
        <v>138</v>
      </c>
      <c r="F343" s="287">
        <v>406</v>
      </c>
      <c r="G343" s="287">
        <v>1</v>
      </c>
      <c r="H343" s="287">
        <v>17</v>
      </c>
      <c r="I343" s="288">
        <v>441</v>
      </c>
      <c r="J343" s="289">
        <v>350</v>
      </c>
      <c r="K343" s="290">
        <f t="shared" si="20"/>
        <v>350</v>
      </c>
      <c r="L343" s="291">
        <f>+I343/J343</f>
        <v>1.26</v>
      </c>
      <c r="M343" s="292">
        <v>30401184</v>
      </c>
      <c r="N343" s="290">
        <v>3702640</v>
      </c>
      <c r="O343" s="294">
        <f t="shared" si="19"/>
        <v>8.210677786660328</v>
      </c>
      <c r="P343" s="332"/>
    </row>
    <row r="344" spans="1:16" ht="15">
      <c r="A344" s="66">
        <v>342</v>
      </c>
      <c r="B344" s="235" t="s">
        <v>95</v>
      </c>
      <c r="C344" s="229">
        <v>39717</v>
      </c>
      <c r="D344" s="227" t="s">
        <v>131</v>
      </c>
      <c r="E344" s="227" t="s">
        <v>96</v>
      </c>
      <c r="F344" s="228">
        <v>130</v>
      </c>
      <c r="G344" s="228">
        <v>1</v>
      </c>
      <c r="H344" s="228">
        <v>16</v>
      </c>
      <c r="I344" s="309">
        <v>441</v>
      </c>
      <c r="J344" s="310">
        <v>350</v>
      </c>
      <c r="K344" s="222">
        <f t="shared" si="20"/>
        <v>350</v>
      </c>
      <c r="L344" s="230">
        <f>+I344/J344</f>
        <v>1.26</v>
      </c>
      <c r="M344" s="231">
        <v>1478708</v>
      </c>
      <c r="N344" s="222">
        <v>170677</v>
      </c>
      <c r="O344" s="236">
        <f t="shared" si="19"/>
        <v>8.663780122687884</v>
      </c>
      <c r="P344" s="331">
        <v>1</v>
      </c>
    </row>
    <row r="345" spans="1:16" ht="15">
      <c r="A345" s="66">
        <v>343</v>
      </c>
      <c r="B345" s="49" t="s">
        <v>83</v>
      </c>
      <c r="C345" s="40">
        <v>39633</v>
      </c>
      <c r="D345" s="65" t="s">
        <v>131</v>
      </c>
      <c r="E345" s="44" t="s">
        <v>127</v>
      </c>
      <c r="F345" s="41">
        <v>123</v>
      </c>
      <c r="G345" s="41">
        <v>1</v>
      </c>
      <c r="H345" s="41">
        <v>24</v>
      </c>
      <c r="I345" s="307">
        <v>441</v>
      </c>
      <c r="J345" s="308">
        <v>350</v>
      </c>
      <c r="K345" s="155">
        <f t="shared" si="20"/>
        <v>350</v>
      </c>
      <c r="L345" s="156">
        <f>+I345/J345</f>
        <v>1.26</v>
      </c>
      <c r="M345" s="154">
        <v>1541323</v>
      </c>
      <c r="N345" s="155">
        <v>212942</v>
      </c>
      <c r="O345" s="103">
        <f t="shared" si="19"/>
        <v>7.238229189168882</v>
      </c>
      <c r="P345" s="332"/>
    </row>
    <row r="346" spans="1:16" ht="15">
      <c r="A346" s="66">
        <v>344</v>
      </c>
      <c r="B346" s="363" t="s">
        <v>72</v>
      </c>
      <c r="C346" s="39">
        <v>39773</v>
      </c>
      <c r="D346" s="44" t="s">
        <v>131</v>
      </c>
      <c r="E346" s="44" t="s">
        <v>126</v>
      </c>
      <c r="F346" s="41">
        <v>204</v>
      </c>
      <c r="G346" s="41">
        <v>1</v>
      </c>
      <c r="H346" s="41">
        <v>25</v>
      </c>
      <c r="I346" s="267">
        <v>441</v>
      </c>
      <c r="J346" s="155">
        <v>350</v>
      </c>
      <c r="K346" s="155">
        <f t="shared" si="20"/>
        <v>350</v>
      </c>
      <c r="L346" s="356">
        <f>I346/J346</f>
        <v>1.26</v>
      </c>
      <c r="M346" s="267">
        <v>11443781</v>
      </c>
      <c r="N346" s="155">
        <v>1418076</v>
      </c>
      <c r="O346" s="357">
        <f t="shared" si="19"/>
        <v>8.069934897706469</v>
      </c>
      <c r="P346" s="332"/>
    </row>
    <row r="347" spans="1:16" ht="15">
      <c r="A347" s="66">
        <v>345</v>
      </c>
      <c r="B347" s="293" t="s">
        <v>58</v>
      </c>
      <c r="C347" s="286">
        <v>39745</v>
      </c>
      <c r="D347" s="285" t="s">
        <v>4</v>
      </c>
      <c r="E347" s="285" t="s">
        <v>59</v>
      </c>
      <c r="F347" s="287">
        <v>71</v>
      </c>
      <c r="G347" s="287">
        <v>1</v>
      </c>
      <c r="H347" s="287">
        <v>17</v>
      </c>
      <c r="I347" s="288">
        <v>440</v>
      </c>
      <c r="J347" s="289">
        <v>83</v>
      </c>
      <c r="K347" s="290">
        <f>+J347/G347</f>
        <v>83</v>
      </c>
      <c r="L347" s="291">
        <f>+I347/J347</f>
        <v>5.301204819277109</v>
      </c>
      <c r="M347" s="292">
        <v>1288589</v>
      </c>
      <c r="N347" s="290">
        <v>145943</v>
      </c>
      <c r="O347" s="294">
        <f t="shared" si="19"/>
        <v>8.829399148982821</v>
      </c>
      <c r="P347" s="332">
        <v>1</v>
      </c>
    </row>
    <row r="348" spans="1:16" ht="15">
      <c r="A348" s="66">
        <v>346</v>
      </c>
      <c r="B348" s="235" t="s">
        <v>97</v>
      </c>
      <c r="C348" s="229">
        <v>39752</v>
      </c>
      <c r="D348" s="227" t="s">
        <v>131</v>
      </c>
      <c r="E348" s="227" t="s">
        <v>124</v>
      </c>
      <c r="F348" s="228">
        <v>45</v>
      </c>
      <c r="G348" s="228">
        <v>1</v>
      </c>
      <c r="H348" s="228">
        <v>10</v>
      </c>
      <c r="I348" s="309">
        <v>435</v>
      </c>
      <c r="J348" s="310">
        <v>87</v>
      </c>
      <c r="K348" s="222">
        <f>J348/G348</f>
        <v>87</v>
      </c>
      <c r="L348" s="230">
        <f>+I348/J348</f>
        <v>5</v>
      </c>
      <c r="M348" s="231">
        <v>454346</v>
      </c>
      <c r="N348" s="222">
        <v>49344</v>
      </c>
      <c r="O348" s="236">
        <f t="shared" si="19"/>
        <v>9.207725356679637</v>
      </c>
      <c r="P348" s="332">
        <v>1</v>
      </c>
    </row>
    <row r="349" spans="1:16" ht="15">
      <c r="A349" s="66">
        <v>347</v>
      </c>
      <c r="B349" s="49" t="s">
        <v>44</v>
      </c>
      <c r="C349" s="39">
        <v>39780</v>
      </c>
      <c r="D349" s="44" t="s">
        <v>131</v>
      </c>
      <c r="E349" s="44" t="s">
        <v>127</v>
      </c>
      <c r="F349" s="41">
        <v>121</v>
      </c>
      <c r="G349" s="41">
        <v>2</v>
      </c>
      <c r="H349" s="41">
        <v>20</v>
      </c>
      <c r="I349" s="307">
        <v>435</v>
      </c>
      <c r="J349" s="308">
        <v>76</v>
      </c>
      <c r="K349" s="155">
        <f>J349/G349</f>
        <v>38</v>
      </c>
      <c r="L349" s="156">
        <f>I349/J349</f>
        <v>5.723684210526316</v>
      </c>
      <c r="M349" s="154">
        <v>3463801</v>
      </c>
      <c r="N349" s="155">
        <v>407626</v>
      </c>
      <c r="O349" s="103">
        <f t="shared" si="19"/>
        <v>8.497497706230712</v>
      </c>
      <c r="P349" s="332"/>
    </row>
    <row r="350" spans="1:16" ht="15">
      <c r="A350" s="66">
        <v>348</v>
      </c>
      <c r="B350" s="293" t="s">
        <v>142</v>
      </c>
      <c r="C350" s="286">
        <v>39794</v>
      </c>
      <c r="D350" s="285" t="s">
        <v>134</v>
      </c>
      <c r="E350" s="285" t="s">
        <v>133</v>
      </c>
      <c r="F350" s="287">
        <v>100</v>
      </c>
      <c r="G350" s="287">
        <v>1</v>
      </c>
      <c r="H350" s="287">
        <v>12</v>
      </c>
      <c r="I350" s="288">
        <v>420</v>
      </c>
      <c r="J350" s="289">
        <v>65</v>
      </c>
      <c r="K350" s="290">
        <f>(J350/G350)</f>
        <v>65</v>
      </c>
      <c r="L350" s="291">
        <f>I350/J350</f>
        <v>6.461538461538462</v>
      </c>
      <c r="M350" s="292">
        <f>1276778.5+626123+380324+112679.5+54533+36086+4129+3620.5+4348+1030+1904+420</f>
        <v>2501975.5</v>
      </c>
      <c r="N350" s="290">
        <f>133555+68793+41581+14968+8873+6454+539+324+976+204+524+65</f>
        <v>276856</v>
      </c>
      <c r="O350" s="294">
        <f>M350/N350</f>
        <v>9.03710051434681</v>
      </c>
      <c r="P350" s="331"/>
    </row>
    <row r="351" spans="1:16" ht="15">
      <c r="A351" s="66">
        <v>349</v>
      </c>
      <c r="B351" s="293" t="s">
        <v>61</v>
      </c>
      <c r="C351" s="286">
        <v>39752</v>
      </c>
      <c r="D351" s="285" t="s">
        <v>134</v>
      </c>
      <c r="E351" s="285" t="s">
        <v>112</v>
      </c>
      <c r="F351" s="287">
        <v>27</v>
      </c>
      <c r="G351" s="287">
        <v>1</v>
      </c>
      <c r="H351" s="287">
        <v>12</v>
      </c>
      <c r="I351" s="288">
        <v>416</v>
      </c>
      <c r="J351" s="289">
        <v>60</v>
      </c>
      <c r="K351" s="290">
        <f>(J351/G351)</f>
        <v>60</v>
      </c>
      <c r="L351" s="291">
        <f>I351/J351</f>
        <v>6.933333333333334</v>
      </c>
      <c r="M351" s="292">
        <f>122635.5+51150+18262+4454+16388.5+1375+1246+204+334+67+36+416</f>
        <v>216568</v>
      </c>
      <c r="N351" s="290">
        <f>11002+4826+2043+624+2156+227+195+32+110+10+6+60</f>
        <v>21291</v>
      </c>
      <c r="O351" s="294">
        <f>+M351/N351</f>
        <v>10.17180968484336</v>
      </c>
      <c r="P351" s="332"/>
    </row>
    <row r="352" spans="1:16" ht="15">
      <c r="A352" s="66">
        <v>350</v>
      </c>
      <c r="B352" s="293" t="s">
        <v>57</v>
      </c>
      <c r="C352" s="286">
        <v>39745</v>
      </c>
      <c r="D352" s="285" t="s">
        <v>131</v>
      </c>
      <c r="E352" s="285" t="s">
        <v>32</v>
      </c>
      <c r="F352" s="287">
        <v>57</v>
      </c>
      <c r="G352" s="287">
        <v>1</v>
      </c>
      <c r="H352" s="287">
        <v>20</v>
      </c>
      <c r="I352" s="288">
        <v>400</v>
      </c>
      <c r="J352" s="289">
        <v>67</v>
      </c>
      <c r="K352" s="290">
        <f>J352/G352</f>
        <v>67</v>
      </c>
      <c r="L352" s="291">
        <f>+I352/J352</f>
        <v>5.970149253731344</v>
      </c>
      <c r="M352" s="292">
        <v>1170952</v>
      </c>
      <c r="N352" s="290">
        <v>127004</v>
      </c>
      <c r="O352" s="294">
        <f>+M352/N352</f>
        <v>9.219804100658248</v>
      </c>
      <c r="P352" s="332"/>
    </row>
    <row r="353" spans="1:16" ht="15">
      <c r="A353" s="66">
        <v>351</v>
      </c>
      <c r="B353" s="293" t="s">
        <v>45</v>
      </c>
      <c r="C353" s="286">
        <v>39780</v>
      </c>
      <c r="D353" s="285" t="s">
        <v>134</v>
      </c>
      <c r="E353" s="285" t="s">
        <v>78</v>
      </c>
      <c r="F353" s="287">
        <v>61</v>
      </c>
      <c r="G353" s="287">
        <v>1</v>
      </c>
      <c r="H353" s="287">
        <v>12</v>
      </c>
      <c r="I353" s="288">
        <v>396</v>
      </c>
      <c r="J353" s="289">
        <v>84</v>
      </c>
      <c r="K353" s="290">
        <f>(J353/G353)</f>
        <v>84</v>
      </c>
      <c r="L353" s="291">
        <f>I353/J353</f>
        <v>4.714285714285714</v>
      </c>
      <c r="M353" s="292">
        <f>499000.5+313125.5+89561.5+27980+2002.5+4772+1387+1470+1387+1387+1119+396</f>
        <v>943588</v>
      </c>
      <c r="N353" s="290">
        <f>48458+27725+9315+4737+330+944+309+224+175+250+246+84</f>
        <v>92797</v>
      </c>
      <c r="O353" s="294">
        <f>M353/N353</f>
        <v>10.168302854618146</v>
      </c>
      <c r="P353" s="332">
        <v>1</v>
      </c>
    </row>
    <row r="354" spans="1:16" ht="15">
      <c r="A354" s="66">
        <v>352</v>
      </c>
      <c r="B354" s="363" t="s">
        <v>72</v>
      </c>
      <c r="C354" s="39">
        <v>39773</v>
      </c>
      <c r="D354" s="44" t="s">
        <v>131</v>
      </c>
      <c r="E354" s="44" t="s">
        <v>126</v>
      </c>
      <c r="F354" s="41">
        <v>204</v>
      </c>
      <c r="G354" s="41">
        <v>1</v>
      </c>
      <c r="H354" s="41">
        <v>24</v>
      </c>
      <c r="I354" s="267">
        <v>392</v>
      </c>
      <c r="J354" s="155">
        <v>76</v>
      </c>
      <c r="K354" s="155">
        <f>J354/G354</f>
        <v>76</v>
      </c>
      <c r="L354" s="356">
        <f>+I354/J354</f>
        <v>5.157894736842105</v>
      </c>
      <c r="M354" s="267">
        <v>11443340</v>
      </c>
      <c r="N354" s="155">
        <v>1417726</v>
      </c>
      <c r="O354" s="357">
        <f aca="true" t="shared" si="21" ref="O354:O359">+M354/N354</f>
        <v>8.071616095070556</v>
      </c>
      <c r="P354" s="332"/>
    </row>
    <row r="355" spans="1:16" ht="15">
      <c r="A355" s="66">
        <v>353</v>
      </c>
      <c r="B355" s="48" t="s">
        <v>84</v>
      </c>
      <c r="C355" s="39">
        <v>39738</v>
      </c>
      <c r="D355" s="43" t="s">
        <v>130</v>
      </c>
      <c r="E355" s="42" t="s">
        <v>122</v>
      </c>
      <c r="F355" s="54">
        <v>52</v>
      </c>
      <c r="G355" s="54">
        <v>1</v>
      </c>
      <c r="H355" s="54">
        <v>11</v>
      </c>
      <c r="I355" s="303">
        <v>392</v>
      </c>
      <c r="J355" s="304">
        <v>67</v>
      </c>
      <c r="K355" s="158">
        <f>J355/G355</f>
        <v>67</v>
      </c>
      <c r="L355" s="159">
        <f>I355/J355</f>
        <v>5.850746268656716</v>
      </c>
      <c r="M355" s="150">
        <f>406562+322843+70349+13845+3121+7380+8038+2297+3564+114+392</f>
        <v>838505</v>
      </c>
      <c r="N355" s="151">
        <f>38224+30194+7191+2669+501+1117+1379+703+1188+19+67</f>
        <v>83252</v>
      </c>
      <c r="O355" s="105">
        <f t="shared" si="21"/>
        <v>10.071890164800845</v>
      </c>
      <c r="P355" s="332"/>
    </row>
    <row r="356" spans="1:16" ht="15">
      <c r="A356" s="66">
        <v>354</v>
      </c>
      <c r="B356" s="49" t="s">
        <v>22</v>
      </c>
      <c r="C356" s="286">
        <v>39787</v>
      </c>
      <c r="D356" s="285" t="s">
        <v>131</v>
      </c>
      <c r="E356" s="65" t="s">
        <v>138</v>
      </c>
      <c r="F356" s="287">
        <v>406</v>
      </c>
      <c r="G356" s="287">
        <v>1</v>
      </c>
      <c r="H356" s="287">
        <v>15</v>
      </c>
      <c r="I356" s="288">
        <v>385</v>
      </c>
      <c r="J356" s="289">
        <v>81</v>
      </c>
      <c r="K356" s="290">
        <f>J356/G356</f>
        <v>81</v>
      </c>
      <c r="L356" s="291">
        <f>+I356/J356</f>
        <v>4.753086419753086</v>
      </c>
      <c r="M356" s="292">
        <v>30400302</v>
      </c>
      <c r="N356" s="290">
        <v>3701940</v>
      </c>
      <c r="O356" s="294">
        <f t="shared" si="21"/>
        <v>8.21199209063356</v>
      </c>
      <c r="P356" s="332"/>
    </row>
    <row r="357" spans="1:16" ht="15">
      <c r="A357" s="66">
        <v>355</v>
      </c>
      <c r="B357" s="293" t="s">
        <v>288</v>
      </c>
      <c r="C357" s="286">
        <v>39465</v>
      </c>
      <c r="D357" s="285" t="s">
        <v>4</v>
      </c>
      <c r="E357" s="285" t="s">
        <v>289</v>
      </c>
      <c r="F357" s="287">
        <v>16</v>
      </c>
      <c r="G357" s="287">
        <v>1</v>
      </c>
      <c r="H357" s="287">
        <v>62</v>
      </c>
      <c r="I357" s="292">
        <v>379</v>
      </c>
      <c r="J357" s="290">
        <v>62</v>
      </c>
      <c r="K357" s="290">
        <f>+J357/G357</f>
        <v>62</v>
      </c>
      <c r="L357" s="291">
        <f>+I357/J357</f>
        <v>6.112903225806452</v>
      </c>
      <c r="M357" s="292">
        <v>157388</v>
      </c>
      <c r="N357" s="290">
        <v>16293</v>
      </c>
      <c r="O357" s="294">
        <f t="shared" si="21"/>
        <v>9.659853924998465</v>
      </c>
      <c r="P357" s="332">
        <v>1</v>
      </c>
    </row>
    <row r="358" spans="1:16" ht="15">
      <c r="A358" s="66">
        <v>356</v>
      </c>
      <c r="B358" s="363" t="s">
        <v>312</v>
      </c>
      <c r="C358" s="39">
        <v>39542</v>
      </c>
      <c r="D358" s="44" t="s">
        <v>4</v>
      </c>
      <c r="E358" s="44" t="s">
        <v>77</v>
      </c>
      <c r="F358" s="41">
        <v>24</v>
      </c>
      <c r="G358" s="41">
        <v>1</v>
      </c>
      <c r="H358" s="41">
        <v>58</v>
      </c>
      <c r="I358" s="267">
        <v>376</v>
      </c>
      <c r="J358" s="155">
        <v>83</v>
      </c>
      <c r="K358" s="155">
        <f>+J358/G358</f>
        <v>83</v>
      </c>
      <c r="L358" s="356">
        <f>+I358/J358</f>
        <v>4.530120481927711</v>
      </c>
      <c r="M358" s="267">
        <v>179895</v>
      </c>
      <c r="N358" s="155">
        <v>19678</v>
      </c>
      <c r="O358" s="357">
        <f t="shared" si="21"/>
        <v>9.14193515601179</v>
      </c>
      <c r="P358" s="332"/>
    </row>
    <row r="359" spans="1:16" ht="15">
      <c r="A359" s="66">
        <v>357</v>
      </c>
      <c r="B359" s="49" t="s">
        <v>301</v>
      </c>
      <c r="C359" s="39">
        <v>39766</v>
      </c>
      <c r="D359" s="44" t="s">
        <v>131</v>
      </c>
      <c r="E359" s="44" t="s">
        <v>111</v>
      </c>
      <c r="F359" s="41">
        <v>86</v>
      </c>
      <c r="G359" s="41">
        <v>2</v>
      </c>
      <c r="H359" s="41">
        <v>22</v>
      </c>
      <c r="I359" s="307">
        <v>369</v>
      </c>
      <c r="J359" s="308">
        <v>68</v>
      </c>
      <c r="K359" s="155">
        <f>J359/G359</f>
        <v>34</v>
      </c>
      <c r="L359" s="156">
        <f>I359/J359</f>
        <v>5.426470588235294</v>
      </c>
      <c r="M359" s="154">
        <v>962041</v>
      </c>
      <c r="N359" s="155">
        <v>103478</v>
      </c>
      <c r="O359" s="103">
        <f t="shared" si="21"/>
        <v>9.29705831191171</v>
      </c>
      <c r="P359" s="330"/>
    </row>
    <row r="360" spans="1:16" ht="15">
      <c r="A360" s="66">
        <v>358</v>
      </c>
      <c r="B360" s="293" t="s">
        <v>147</v>
      </c>
      <c r="C360" s="286">
        <v>39801</v>
      </c>
      <c r="D360" s="285" t="s">
        <v>134</v>
      </c>
      <c r="E360" s="285" t="s">
        <v>148</v>
      </c>
      <c r="F360" s="287">
        <v>42</v>
      </c>
      <c r="G360" s="287">
        <v>2</v>
      </c>
      <c r="H360" s="287">
        <v>15</v>
      </c>
      <c r="I360" s="288">
        <v>366</v>
      </c>
      <c r="J360" s="289">
        <v>52</v>
      </c>
      <c r="K360" s="290">
        <f>(J360/G360)</f>
        <v>26</v>
      </c>
      <c r="L360" s="291">
        <f>I360/J360</f>
        <v>7.038461538461538</v>
      </c>
      <c r="M360" s="292">
        <f>295344+204961.5+145464.5+116108.5+111972.5+49984+26327+32042+18579+20005+19180+15980+2686.5+3166.5+366</f>
        <v>1062167</v>
      </c>
      <c r="N360" s="290">
        <f>36142+24747+19417+15404+14719+7567+3314+5289+3173+3275+3534+2826+540+724+52</f>
        <v>140723</v>
      </c>
      <c r="O360" s="294">
        <f>M360/N360</f>
        <v>7.547927488754503</v>
      </c>
      <c r="P360" s="330">
        <v>1</v>
      </c>
    </row>
    <row r="361" spans="1:16" ht="15">
      <c r="A361" s="66">
        <v>359</v>
      </c>
      <c r="B361" s="293" t="s">
        <v>145</v>
      </c>
      <c r="C361" s="286">
        <v>39801</v>
      </c>
      <c r="D361" s="285" t="s">
        <v>136</v>
      </c>
      <c r="E361" s="285" t="s">
        <v>146</v>
      </c>
      <c r="F361" s="287">
        <v>84</v>
      </c>
      <c r="G361" s="287">
        <v>1</v>
      </c>
      <c r="H361" s="287">
        <v>10</v>
      </c>
      <c r="I361" s="288">
        <v>354</v>
      </c>
      <c r="J361" s="289">
        <v>69</v>
      </c>
      <c r="K361" s="290">
        <f>IF(I361&lt;&gt;0,J361/G361,"")</f>
        <v>69</v>
      </c>
      <c r="L361" s="291">
        <f>I361/J361</f>
        <v>5.130434782608695</v>
      </c>
      <c r="M361" s="292">
        <f>369313.5+145108.5+43813+31258+11772.5+5392.5+2080+3225+50+354</f>
        <v>612367</v>
      </c>
      <c r="N361" s="290">
        <f>41017+16460+6346+5364+2357+1094+419+545+10+69</f>
        <v>73681</v>
      </c>
      <c r="O361" s="294">
        <f>+M361/N361</f>
        <v>8.311057124631859</v>
      </c>
      <c r="P361" s="330"/>
    </row>
    <row r="362" spans="1:16" ht="15">
      <c r="A362" s="66">
        <v>360</v>
      </c>
      <c r="B362" s="49" t="s">
        <v>49</v>
      </c>
      <c r="C362" s="40">
        <v>39710</v>
      </c>
      <c r="D362" s="44" t="s">
        <v>107</v>
      </c>
      <c r="E362" s="44" t="s">
        <v>107</v>
      </c>
      <c r="F362" s="41">
        <v>66</v>
      </c>
      <c r="G362" s="41">
        <v>4</v>
      </c>
      <c r="H362" s="41">
        <v>16</v>
      </c>
      <c r="I362" s="307">
        <v>351.5</v>
      </c>
      <c r="J362" s="308">
        <v>65</v>
      </c>
      <c r="K362" s="152">
        <f>+J362/G362</f>
        <v>16.25</v>
      </c>
      <c r="L362" s="153">
        <f>+I362/J362</f>
        <v>5.407692307692308</v>
      </c>
      <c r="M362" s="154">
        <f>152576+127511+68854.5+21974+10111.5+7103+7290+0.5+1014+3149+989+3524+0.5+3768+138+2528+257+351.5</f>
        <v>411139.5</v>
      </c>
      <c r="N362" s="155">
        <f>50018+825+47+65</f>
        <v>50955</v>
      </c>
      <c r="O362" s="104">
        <f>+M362/N362</f>
        <v>8.068678245510744</v>
      </c>
      <c r="P362" s="332"/>
    </row>
    <row r="363" spans="1:16" ht="15">
      <c r="A363" s="66">
        <v>361</v>
      </c>
      <c r="B363" s="363" t="s">
        <v>395</v>
      </c>
      <c r="C363" s="39">
        <v>39696</v>
      </c>
      <c r="D363" s="44" t="s">
        <v>4</v>
      </c>
      <c r="E363" s="44" t="s">
        <v>77</v>
      </c>
      <c r="F363" s="41">
        <v>1</v>
      </c>
      <c r="G363" s="41">
        <v>1</v>
      </c>
      <c r="H363" s="41">
        <v>39</v>
      </c>
      <c r="I363" s="267">
        <v>350</v>
      </c>
      <c r="J363" s="155">
        <v>41</v>
      </c>
      <c r="K363" s="155">
        <f>+J363/G363</f>
        <v>41</v>
      </c>
      <c r="L363" s="356">
        <f>+I363/J363</f>
        <v>8.536585365853659</v>
      </c>
      <c r="M363" s="267">
        <v>4575</v>
      </c>
      <c r="N363" s="155">
        <v>407</v>
      </c>
      <c r="O363" s="357">
        <f>+M363/N363</f>
        <v>11.24078624078624</v>
      </c>
      <c r="P363" s="330"/>
    </row>
    <row r="364" spans="1:16" ht="15">
      <c r="A364" s="66">
        <v>362</v>
      </c>
      <c r="B364" s="49" t="s">
        <v>302</v>
      </c>
      <c r="C364" s="39">
        <v>39528</v>
      </c>
      <c r="D364" s="44" t="s">
        <v>4</v>
      </c>
      <c r="E364" s="44" t="s">
        <v>303</v>
      </c>
      <c r="F364" s="41">
        <v>34</v>
      </c>
      <c r="G364" s="41">
        <v>1</v>
      </c>
      <c r="H364" s="41">
        <v>56</v>
      </c>
      <c r="I364" s="307">
        <v>347</v>
      </c>
      <c r="J364" s="308">
        <v>67</v>
      </c>
      <c r="K364" s="155">
        <f>+J364/G364</f>
        <v>67</v>
      </c>
      <c r="L364" s="156">
        <f>+I364/J364</f>
        <v>5.17910447761194</v>
      </c>
      <c r="M364" s="154">
        <v>910275</v>
      </c>
      <c r="N364" s="155">
        <v>102714</v>
      </c>
      <c r="O364" s="103">
        <f>+M364/N364</f>
        <v>8.862229102167182</v>
      </c>
      <c r="P364" s="332">
        <v>1</v>
      </c>
    </row>
    <row r="365" spans="1:16" ht="15">
      <c r="A365" s="66">
        <v>363</v>
      </c>
      <c r="B365" s="293" t="s">
        <v>40</v>
      </c>
      <c r="C365" s="286">
        <v>39752</v>
      </c>
      <c r="D365" s="285" t="s">
        <v>258</v>
      </c>
      <c r="E365" s="285" t="s">
        <v>1</v>
      </c>
      <c r="F365" s="287">
        <v>1</v>
      </c>
      <c r="G365" s="287">
        <v>1</v>
      </c>
      <c r="H365" s="287">
        <v>7</v>
      </c>
      <c r="I365" s="288">
        <v>345</v>
      </c>
      <c r="J365" s="289">
        <v>69</v>
      </c>
      <c r="K365" s="290">
        <f>(J365/G365)</f>
        <v>69</v>
      </c>
      <c r="L365" s="291">
        <f aca="true" t="shared" si="22" ref="L365:L371">I365/J365</f>
        <v>5</v>
      </c>
      <c r="M365" s="292">
        <f>5026+4844+3356+2376+712+1590+345</f>
        <v>18249</v>
      </c>
      <c r="N365" s="290">
        <f>591+575+394+594+178+189+69</f>
        <v>2590</v>
      </c>
      <c r="O365" s="294">
        <f>M365/N365</f>
        <v>7.045945945945946</v>
      </c>
      <c r="P365" s="321"/>
    </row>
    <row r="366" spans="1:16" ht="15">
      <c r="A366" s="66">
        <v>364</v>
      </c>
      <c r="B366" s="49" t="s">
        <v>20</v>
      </c>
      <c r="C366" s="40">
        <v>39773</v>
      </c>
      <c r="D366" s="44" t="s">
        <v>132</v>
      </c>
      <c r="E366" s="44" t="s">
        <v>21</v>
      </c>
      <c r="F366" s="41">
        <v>10</v>
      </c>
      <c r="G366" s="41">
        <v>2</v>
      </c>
      <c r="H366" s="41">
        <v>5</v>
      </c>
      <c r="I366" s="307">
        <v>344</v>
      </c>
      <c r="J366" s="308">
        <v>61</v>
      </c>
      <c r="K366" s="158">
        <f>(J366/G366)</f>
        <v>30.5</v>
      </c>
      <c r="L366" s="159">
        <f t="shared" si="22"/>
        <v>5.639344262295082</v>
      </c>
      <c r="M366" s="154">
        <f>43532.5+13875+1400+341+344</f>
        <v>59492.5</v>
      </c>
      <c r="N366" s="155">
        <f>3969+1359+251+52+61</f>
        <v>5692</v>
      </c>
      <c r="O366" s="105">
        <f>M366/N366</f>
        <v>10.451950105411104</v>
      </c>
      <c r="P366" s="330"/>
    </row>
    <row r="367" spans="1:16" ht="15">
      <c r="A367" s="66">
        <v>365</v>
      </c>
      <c r="B367" s="293" t="s">
        <v>44</v>
      </c>
      <c r="C367" s="286">
        <v>39780</v>
      </c>
      <c r="D367" s="285" t="s">
        <v>131</v>
      </c>
      <c r="E367" s="285" t="s">
        <v>127</v>
      </c>
      <c r="F367" s="287">
        <v>121</v>
      </c>
      <c r="G367" s="287">
        <v>2</v>
      </c>
      <c r="H367" s="287">
        <v>17</v>
      </c>
      <c r="I367" s="288">
        <v>341</v>
      </c>
      <c r="J367" s="289">
        <v>57</v>
      </c>
      <c r="K367" s="290">
        <f>J367/G367</f>
        <v>28.5</v>
      </c>
      <c r="L367" s="291">
        <f t="shared" si="22"/>
        <v>5.982456140350878</v>
      </c>
      <c r="M367" s="292">
        <v>3457039</v>
      </c>
      <c r="N367" s="290">
        <v>406135</v>
      </c>
      <c r="O367" s="294">
        <f>+M367/N367</f>
        <v>8.51204402477009</v>
      </c>
      <c r="P367" s="332"/>
    </row>
    <row r="368" spans="1:16" ht="15">
      <c r="A368" s="66">
        <v>366</v>
      </c>
      <c r="B368" s="293" t="s">
        <v>69</v>
      </c>
      <c r="C368" s="286">
        <v>39766</v>
      </c>
      <c r="D368" s="285" t="s">
        <v>134</v>
      </c>
      <c r="E368" s="285" t="s">
        <v>50</v>
      </c>
      <c r="F368" s="287">
        <v>20</v>
      </c>
      <c r="G368" s="287">
        <v>1</v>
      </c>
      <c r="H368" s="287">
        <v>13</v>
      </c>
      <c r="I368" s="288">
        <v>338</v>
      </c>
      <c r="J368" s="289">
        <v>68</v>
      </c>
      <c r="K368" s="290">
        <f>(J368/G368)</f>
        <v>68</v>
      </c>
      <c r="L368" s="291">
        <f t="shared" si="22"/>
        <v>4.970588235294118</v>
      </c>
      <c r="M368" s="292">
        <f>109364.5+38539+31287+12101+5368+8640.5+12331+9410+9143+5719+2775+1424+1017+338</f>
        <v>247457</v>
      </c>
      <c r="N368" s="290">
        <f>11866+4674+4443+2133+1061+1670+2334+1542+1728+1224+544+356+207+68</f>
        <v>33850</v>
      </c>
      <c r="O368" s="294">
        <f>M368/N368</f>
        <v>7.3103988183161</v>
      </c>
      <c r="P368" s="321"/>
    </row>
    <row r="369" spans="1:16" ht="15">
      <c r="A369" s="66">
        <v>367</v>
      </c>
      <c r="B369" s="363" t="s">
        <v>26</v>
      </c>
      <c r="C369" s="39">
        <v>39808</v>
      </c>
      <c r="D369" s="44" t="s">
        <v>134</v>
      </c>
      <c r="E369" s="44" t="s">
        <v>133</v>
      </c>
      <c r="F369" s="41">
        <v>75</v>
      </c>
      <c r="G369" s="41">
        <v>1</v>
      </c>
      <c r="H369" s="41">
        <v>16</v>
      </c>
      <c r="I369" s="263">
        <v>316</v>
      </c>
      <c r="J369" s="308">
        <v>62</v>
      </c>
      <c r="K369" s="155">
        <f>(J369/G369)</f>
        <v>62</v>
      </c>
      <c r="L369" s="356">
        <f t="shared" si="22"/>
        <v>5.096774193548387</v>
      </c>
      <c r="M369" s="267">
        <f>681566+578530+317284.5+141025.5+34373.5+6375+4225+7402.5+1014+4479+2688+2267+1765+1219+204+316</f>
        <v>1784734</v>
      </c>
      <c r="N369" s="155">
        <f>64102+57106+32401+16644+4655+1030+644+1623+143+828+480+469+323+195+43+62</f>
        <v>180748</v>
      </c>
      <c r="O369" s="357">
        <f>M369/N369</f>
        <v>9.87415628388696</v>
      </c>
      <c r="P369" s="330">
        <v>1</v>
      </c>
    </row>
    <row r="370" spans="1:16" ht="15">
      <c r="A370" s="66">
        <v>368</v>
      </c>
      <c r="B370" s="49" t="s">
        <v>425</v>
      </c>
      <c r="C370" s="39">
        <v>37162</v>
      </c>
      <c r="D370" s="44" t="s">
        <v>92</v>
      </c>
      <c r="E370" s="44" t="s">
        <v>426</v>
      </c>
      <c r="F370" s="41">
        <v>9</v>
      </c>
      <c r="G370" s="41">
        <v>1</v>
      </c>
      <c r="H370" s="41">
        <v>64</v>
      </c>
      <c r="I370" s="154">
        <v>315</v>
      </c>
      <c r="J370" s="155">
        <v>63</v>
      </c>
      <c r="K370" s="155">
        <f>J370/G370</f>
        <v>63</v>
      </c>
      <c r="L370" s="156">
        <f t="shared" si="22"/>
        <v>5</v>
      </c>
      <c r="M370" s="154">
        <v>172554.15</v>
      </c>
      <c r="N370" s="155">
        <v>51899</v>
      </c>
      <c r="O370" s="103">
        <f>+M370/N370</f>
        <v>3.3248068363552283</v>
      </c>
      <c r="P370" s="387"/>
    </row>
    <row r="371" spans="1:16" ht="15">
      <c r="A371" s="66">
        <v>369</v>
      </c>
      <c r="B371" s="49" t="s">
        <v>47</v>
      </c>
      <c r="C371" s="39">
        <v>39780</v>
      </c>
      <c r="D371" s="44" t="s">
        <v>134</v>
      </c>
      <c r="E371" s="44" t="s">
        <v>299</v>
      </c>
      <c r="F371" s="41">
        <v>6</v>
      </c>
      <c r="G371" s="41">
        <v>1</v>
      </c>
      <c r="H371" s="41">
        <v>13</v>
      </c>
      <c r="I371" s="307">
        <v>312</v>
      </c>
      <c r="J371" s="308">
        <v>68</v>
      </c>
      <c r="K371" s="155">
        <f>(J371/G371)</f>
        <v>68</v>
      </c>
      <c r="L371" s="156">
        <f t="shared" si="22"/>
        <v>4.588235294117647</v>
      </c>
      <c r="M371" s="154">
        <f>25457+3030+1123+7370+430+997+6202+886+691.5+1289+1188+504+312</f>
        <v>49479.5</v>
      </c>
      <c r="N371" s="155">
        <f>2151+404+165+1079+59+230+1523+213+105+142+297+108+68</f>
        <v>6544</v>
      </c>
      <c r="O371" s="103">
        <f>M371/N371</f>
        <v>7.561048288508557</v>
      </c>
      <c r="P371" s="331"/>
    </row>
    <row r="372" spans="1:16" ht="15">
      <c r="A372" s="66">
        <v>370</v>
      </c>
      <c r="B372" s="244" t="s">
        <v>25</v>
      </c>
      <c r="C372" s="40">
        <v>39808</v>
      </c>
      <c r="D372" s="65" t="s">
        <v>131</v>
      </c>
      <c r="E372" s="44" t="s">
        <v>111</v>
      </c>
      <c r="F372" s="41">
        <v>112</v>
      </c>
      <c r="G372" s="41">
        <v>1</v>
      </c>
      <c r="H372" s="41">
        <v>24</v>
      </c>
      <c r="I372" s="307">
        <v>309</v>
      </c>
      <c r="J372" s="308">
        <v>50</v>
      </c>
      <c r="K372" s="155">
        <f>J372/G372</f>
        <v>50</v>
      </c>
      <c r="L372" s="156">
        <f>+I372/J372</f>
        <v>6.18</v>
      </c>
      <c r="M372" s="154">
        <v>2064640</v>
      </c>
      <c r="N372" s="155">
        <v>216792</v>
      </c>
      <c r="O372" s="103">
        <f>+M372/N372</f>
        <v>9.523598656777002</v>
      </c>
      <c r="P372" s="332"/>
    </row>
    <row r="373" spans="1:16" ht="15">
      <c r="A373" s="66">
        <v>371</v>
      </c>
      <c r="B373" s="53" t="s">
        <v>51</v>
      </c>
      <c r="C373" s="39">
        <v>39731</v>
      </c>
      <c r="D373" s="45" t="s">
        <v>4</v>
      </c>
      <c r="E373" s="45" t="s">
        <v>77</v>
      </c>
      <c r="F373" s="50">
        <v>20</v>
      </c>
      <c r="G373" s="50">
        <v>1</v>
      </c>
      <c r="H373" s="50">
        <v>13</v>
      </c>
      <c r="I373" s="303">
        <v>305</v>
      </c>
      <c r="J373" s="313">
        <v>61</v>
      </c>
      <c r="K373" s="152">
        <f>+J373/G373</f>
        <v>61</v>
      </c>
      <c r="L373" s="153">
        <f>+I373/J373</f>
        <v>5</v>
      </c>
      <c r="M373" s="150">
        <v>397120</v>
      </c>
      <c r="N373" s="151">
        <v>35350</v>
      </c>
      <c r="O373" s="104">
        <f>+M373/N373</f>
        <v>11.233946251768034</v>
      </c>
      <c r="P373" s="331">
        <v>1</v>
      </c>
    </row>
    <row r="374" spans="1:16" ht="15">
      <c r="A374" s="66">
        <v>372</v>
      </c>
      <c r="B374" s="363" t="s">
        <v>69</v>
      </c>
      <c r="C374" s="39">
        <v>39766</v>
      </c>
      <c r="D374" s="44" t="s">
        <v>134</v>
      </c>
      <c r="E374" s="44" t="s">
        <v>50</v>
      </c>
      <c r="F374" s="41">
        <v>20</v>
      </c>
      <c r="G374" s="41">
        <v>1</v>
      </c>
      <c r="H374" s="41">
        <v>20</v>
      </c>
      <c r="I374" s="267">
        <v>304</v>
      </c>
      <c r="J374" s="155">
        <v>76</v>
      </c>
      <c r="K374" s="155">
        <f>(J374/G374)</f>
        <v>76</v>
      </c>
      <c r="L374" s="356">
        <f aca="true" t="shared" si="23" ref="L374:L389">I374/J374</f>
        <v>4</v>
      </c>
      <c r="M374" s="267">
        <f>109364.5+38539+31287+12101+5368+8640.5+12331+9410+9143+5719+2775+1424+1017+338+1223+1447+5587+2013+2140+304</f>
        <v>260171</v>
      </c>
      <c r="N374" s="155">
        <f>11866+4674+4443+2133+1061+1670+2334+1542+1728+1224+544+356+207+68+185+229+749+298+535+76</f>
        <v>35922</v>
      </c>
      <c r="O374" s="357">
        <f>M374/N374</f>
        <v>7.242664662323924</v>
      </c>
      <c r="P374" s="332">
        <v>1</v>
      </c>
    </row>
    <row r="375" spans="1:16" ht="15">
      <c r="A375" s="66">
        <v>373</v>
      </c>
      <c r="B375" s="235" t="s">
        <v>52</v>
      </c>
      <c r="C375" s="229">
        <v>39738</v>
      </c>
      <c r="D375" s="217" t="s">
        <v>134</v>
      </c>
      <c r="E375" s="227" t="s">
        <v>133</v>
      </c>
      <c r="F375" s="228">
        <v>65</v>
      </c>
      <c r="G375" s="228">
        <v>2</v>
      </c>
      <c r="H375" s="228">
        <v>12</v>
      </c>
      <c r="I375" s="297">
        <v>302</v>
      </c>
      <c r="J375" s="298">
        <v>50</v>
      </c>
      <c r="K375" s="223">
        <f>(J375/G375)</f>
        <v>25</v>
      </c>
      <c r="L375" s="224">
        <f t="shared" si="23"/>
        <v>6.04</v>
      </c>
      <c r="M375" s="225">
        <f>502954.7+385847+127398.5+41644+35371+15703.5+9494+704+1120.5+952+891+302</f>
        <v>1122382.2</v>
      </c>
      <c r="N375" s="226">
        <f>51438+39611+14487+7156+6343+2488+1591+176+567+238+149+50</f>
        <v>124294</v>
      </c>
      <c r="O375" s="233">
        <f>M375/N375</f>
        <v>9.030059375351987</v>
      </c>
      <c r="P375" s="345">
        <v>1</v>
      </c>
    </row>
    <row r="376" spans="1:16" ht="15">
      <c r="A376" s="66">
        <v>374</v>
      </c>
      <c r="B376" s="363" t="s">
        <v>26</v>
      </c>
      <c r="C376" s="39">
        <v>39808</v>
      </c>
      <c r="D376" s="44" t="s">
        <v>134</v>
      </c>
      <c r="E376" s="44" t="s">
        <v>133</v>
      </c>
      <c r="F376" s="41">
        <v>75</v>
      </c>
      <c r="G376" s="41">
        <v>1</v>
      </c>
      <c r="H376" s="41">
        <v>17</v>
      </c>
      <c r="I376" s="267">
        <v>300</v>
      </c>
      <c r="J376" s="155">
        <v>60</v>
      </c>
      <c r="K376" s="155">
        <f>(J376/G376)</f>
        <v>60</v>
      </c>
      <c r="L376" s="356">
        <f t="shared" si="23"/>
        <v>5</v>
      </c>
      <c r="M376" s="267">
        <f>681566+578530+317284.5+141025.5+34373.5+6375+4225+7402.5+1014+4479+2688+2267+1765+1219+204+316+300</f>
        <v>1785034</v>
      </c>
      <c r="N376" s="155">
        <f>64102+57106+32401+16644+4655+1030+644+1623+143+828+480+469+323+195+43+62+60</f>
        <v>180808</v>
      </c>
      <c r="O376" s="357">
        <f>M376/N376</f>
        <v>9.872538825715676</v>
      </c>
      <c r="P376" s="331"/>
    </row>
    <row r="377" spans="1:16" ht="15">
      <c r="A377" s="66">
        <v>375</v>
      </c>
      <c r="B377" s="363" t="s">
        <v>371</v>
      </c>
      <c r="C377" s="39">
        <v>39738</v>
      </c>
      <c r="D377" s="44" t="s">
        <v>131</v>
      </c>
      <c r="E377" s="44" t="s">
        <v>43</v>
      </c>
      <c r="F377" s="41">
        <v>62</v>
      </c>
      <c r="G377" s="41">
        <v>1</v>
      </c>
      <c r="H377" s="41">
        <v>31</v>
      </c>
      <c r="I377" s="263">
        <v>294</v>
      </c>
      <c r="J377" s="308">
        <v>113</v>
      </c>
      <c r="K377" s="155">
        <f>J377/G377</f>
        <v>113</v>
      </c>
      <c r="L377" s="356">
        <f t="shared" si="23"/>
        <v>2.601769911504425</v>
      </c>
      <c r="M377" s="267">
        <v>731858</v>
      </c>
      <c r="N377" s="155">
        <v>88302</v>
      </c>
      <c r="O377" s="357">
        <f>+M377/N377</f>
        <v>8.288124844284388</v>
      </c>
      <c r="P377" s="332"/>
    </row>
    <row r="378" spans="1:16" ht="15">
      <c r="A378" s="66">
        <v>376</v>
      </c>
      <c r="B378" s="293" t="s">
        <v>167</v>
      </c>
      <c r="C378" s="286">
        <v>39703</v>
      </c>
      <c r="D378" s="285" t="s">
        <v>199</v>
      </c>
      <c r="E378" s="285" t="s">
        <v>168</v>
      </c>
      <c r="F378" s="287">
        <v>16</v>
      </c>
      <c r="G378" s="287">
        <v>1</v>
      </c>
      <c r="H378" s="287">
        <v>13</v>
      </c>
      <c r="I378" s="288">
        <v>288</v>
      </c>
      <c r="J378" s="289">
        <v>59</v>
      </c>
      <c r="K378" s="290">
        <f>J378/G378</f>
        <v>59</v>
      </c>
      <c r="L378" s="291">
        <f t="shared" si="23"/>
        <v>4.88135593220339</v>
      </c>
      <c r="M378" s="292">
        <v>74288</v>
      </c>
      <c r="N378" s="290">
        <v>10179</v>
      </c>
      <c r="O378" s="294">
        <f>M378/N378</f>
        <v>7.298162884369781</v>
      </c>
      <c r="P378" s="332"/>
    </row>
    <row r="379" spans="1:16" ht="15">
      <c r="A379" s="66">
        <v>377</v>
      </c>
      <c r="B379" s="293" t="s">
        <v>53</v>
      </c>
      <c r="C379" s="286">
        <v>39738</v>
      </c>
      <c r="D379" s="285" t="s">
        <v>134</v>
      </c>
      <c r="E379" s="285" t="s">
        <v>54</v>
      </c>
      <c r="F379" s="287">
        <v>67</v>
      </c>
      <c r="G379" s="287">
        <v>1</v>
      </c>
      <c r="H379" s="287">
        <v>20</v>
      </c>
      <c r="I379" s="288">
        <v>288</v>
      </c>
      <c r="J379" s="289">
        <v>56</v>
      </c>
      <c r="K379" s="290">
        <f>(J379/G379)</f>
        <v>56</v>
      </c>
      <c r="L379" s="291">
        <f t="shared" si="23"/>
        <v>5.142857142857143</v>
      </c>
      <c r="M379" s="292">
        <f>167196+176809+54428+37340+38330.5+23467+11581+5867+4382+2577+3552+2137+545+4006+9422+7992+4936+1547+1147+288</f>
        <v>557549.5</v>
      </c>
      <c r="N379" s="290">
        <f>19168+21164+7719+6215+6404+4964+2339+1306+907+580+859+440+127+905+2170+1822+1050+392+333+56</f>
        <v>78920</v>
      </c>
      <c r="O379" s="294">
        <f>M379/N379</f>
        <v>7.064742777496199</v>
      </c>
      <c r="P379" s="331"/>
    </row>
    <row r="380" spans="1:16" ht="15">
      <c r="A380" s="66">
        <v>378</v>
      </c>
      <c r="B380" s="49" t="s">
        <v>142</v>
      </c>
      <c r="C380" s="39">
        <v>39794</v>
      </c>
      <c r="D380" s="44" t="s">
        <v>134</v>
      </c>
      <c r="E380" s="44" t="s">
        <v>133</v>
      </c>
      <c r="F380" s="41">
        <v>100</v>
      </c>
      <c r="G380" s="41">
        <v>1</v>
      </c>
      <c r="H380" s="41">
        <v>16</v>
      </c>
      <c r="I380" s="307">
        <v>280</v>
      </c>
      <c r="J380" s="308">
        <v>55</v>
      </c>
      <c r="K380" s="155">
        <f>(J380/G380)</f>
        <v>55</v>
      </c>
      <c r="L380" s="156">
        <f t="shared" si="23"/>
        <v>5.090909090909091</v>
      </c>
      <c r="M380" s="154">
        <f>1276778.5+626123+380324+112679.5+54533+36086+4129+3620.5+4348+1030+1904+420+1049+5940+2263+280</f>
        <v>2511507.5</v>
      </c>
      <c r="N380" s="155">
        <f>133555+68793+41581+14968+8873+6454+539+324+976+204+524+65+169+1485+444+55</f>
        <v>279009</v>
      </c>
      <c r="O380" s="103">
        <f>M380/N380</f>
        <v>9.001528624524656</v>
      </c>
      <c r="P380" s="332"/>
    </row>
    <row r="381" spans="1:16" ht="15">
      <c r="A381" s="66">
        <v>379</v>
      </c>
      <c r="B381" s="293" t="s">
        <v>58</v>
      </c>
      <c r="C381" s="286">
        <v>39745</v>
      </c>
      <c r="D381" s="285" t="s">
        <v>4</v>
      </c>
      <c r="E381" s="285" t="s">
        <v>59</v>
      </c>
      <c r="F381" s="287">
        <v>71</v>
      </c>
      <c r="G381" s="287">
        <v>1</v>
      </c>
      <c r="H381" s="287">
        <v>18</v>
      </c>
      <c r="I381" s="288">
        <v>278</v>
      </c>
      <c r="J381" s="289">
        <v>54</v>
      </c>
      <c r="K381" s="290">
        <f>+J381/G381</f>
        <v>54</v>
      </c>
      <c r="L381" s="291">
        <f t="shared" si="23"/>
        <v>5.148148148148148</v>
      </c>
      <c r="M381" s="292">
        <v>1288867</v>
      </c>
      <c r="N381" s="290">
        <v>145997</v>
      </c>
      <c r="O381" s="294">
        <f>+M381/N381</f>
        <v>8.828037562415666</v>
      </c>
      <c r="P381" s="332">
        <v>1</v>
      </c>
    </row>
    <row r="382" spans="1:16" ht="15">
      <c r="A382" s="66">
        <v>380</v>
      </c>
      <c r="B382" s="48" t="s">
        <v>62</v>
      </c>
      <c r="C382" s="39">
        <v>39689</v>
      </c>
      <c r="D382" s="43" t="s">
        <v>130</v>
      </c>
      <c r="E382" s="42" t="s">
        <v>63</v>
      </c>
      <c r="F382" s="54">
        <v>100</v>
      </c>
      <c r="G382" s="54">
        <v>1</v>
      </c>
      <c r="H382" s="54">
        <v>9</v>
      </c>
      <c r="I382" s="303">
        <v>276</v>
      </c>
      <c r="J382" s="304">
        <v>55</v>
      </c>
      <c r="K382" s="158">
        <f>J382/G382</f>
        <v>55</v>
      </c>
      <c r="L382" s="159">
        <f t="shared" si="23"/>
        <v>5.0181818181818185</v>
      </c>
      <c r="M382" s="150">
        <f>17818+1364876+864151+384239+240974+16635+2871+5064-50+5187+276</f>
        <v>2902041</v>
      </c>
      <c r="N382" s="151">
        <f>1487+139515+89937+39711+26370+2302+499+787-9+1471+55</f>
        <v>302125</v>
      </c>
      <c r="O382" s="105">
        <f>+M382/N382</f>
        <v>9.605431526685974</v>
      </c>
      <c r="P382" s="330">
        <v>1</v>
      </c>
    </row>
    <row r="383" spans="1:16" ht="15">
      <c r="A383" s="66">
        <v>381</v>
      </c>
      <c r="B383" s="281" t="s">
        <v>167</v>
      </c>
      <c r="C383" s="40">
        <v>39766</v>
      </c>
      <c r="D383" s="261" t="s">
        <v>164</v>
      </c>
      <c r="E383" s="261" t="s">
        <v>168</v>
      </c>
      <c r="F383" s="262">
        <v>17</v>
      </c>
      <c r="G383" s="262">
        <v>1</v>
      </c>
      <c r="H383" s="262">
        <v>11</v>
      </c>
      <c r="I383" s="278">
        <v>260</v>
      </c>
      <c r="J383" s="279">
        <v>57</v>
      </c>
      <c r="K383" s="265">
        <f>J383/G383</f>
        <v>57</v>
      </c>
      <c r="L383" s="266">
        <f t="shared" si="23"/>
        <v>4.56140350877193</v>
      </c>
      <c r="M383" s="280">
        <v>72802</v>
      </c>
      <c r="N383" s="265">
        <v>9877</v>
      </c>
      <c r="O383" s="282">
        <f>M383/N383</f>
        <v>7.370861597651109</v>
      </c>
      <c r="P383" s="332"/>
    </row>
    <row r="384" spans="1:16" ht="15">
      <c r="A384" s="66">
        <v>382</v>
      </c>
      <c r="B384" s="318" t="s">
        <v>139</v>
      </c>
      <c r="C384" s="286">
        <v>39787</v>
      </c>
      <c r="D384" s="285" t="s">
        <v>132</v>
      </c>
      <c r="E384" s="285" t="s">
        <v>140</v>
      </c>
      <c r="F384" s="287">
        <v>1</v>
      </c>
      <c r="G384" s="287">
        <v>1</v>
      </c>
      <c r="H384" s="287">
        <v>16</v>
      </c>
      <c r="I384" s="288">
        <v>260</v>
      </c>
      <c r="J384" s="289">
        <v>49</v>
      </c>
      <c r="K384" s="290">
        <f>J384/G384</f>
        <v>49</v>
      </c>
      <c r="L384" s="291">
        <f t="shared" si="23"/>
        <v>5.3061224489795915</v>
      </c>
      <c r="M384" s="292">
        <f>9280968+4694050.5+1992628+1117778+528440.5+225948.5+100229.5+60712.5+23747.5+18022-1837+3858+1591+1095+16460.5+3147+260</f>
        <v>18067099.5</v>
      </c>
      <c r="N384" s="290">
        <f>1147876+614752+261380+141495+73035+33259+17736+11735+4194+3845-458+781+321+218+3333+770+49</f>
        <v>2314321</v>
      </c>
      <c r="O384" s="294">
        <f>+M384/N384</f>
        <v>7.806652361534981</v>
      </c>
      <c r="P384" s="332"/>
    </row>
    <row r="385" spans="1:16" ht="15">
      <c r="A385" s="66">
        <v>383</v>
      </c>
      <c r="B385" s="293" t="s">
        <v>203</v>
      </c>
      <c r="C385" s="286">
        <v>39703</v>
      </c>
      <c r="D385" s="285" t="s">
        <v>199</v>
      </c>
      <c r="E385" s="285" t="s">
        <v>235</v>
      </c>
      <c r="F385" s="287">
        <v>54</v>
      </c>
      <c r="G385" s="287">
        <v>1</v>
      </c>
      <c r="H385" s="287">
        <v>11</v>
      </c>
      <c r="I385" s="288">
        <v>254</v>
      </c>
      <c r="J385" s="289">
        <v>46</v>
      </c>
      <c r="K385" s="290">
        <f>J385/G385</f>
        <v>46</v>
      </c>
      <c r="L385" s="291">
        <f t="shared" si="23"/>
        <v>5.521739130434782</v>
      </c>
      <c r="M385" s="292">
        <v>680198</v>
      </c>
      <c r="N385" s="290">
        <v>66500</v>
      </c>
      <c r="O385" s="294">
        <f>+M385/N385</f>
        <v>10.22854135338346</v>
      </c>
      <c r="P385" s="332"/>
    </row>
    <row r="386" spans="1:16" ht="15">
      <c r="A386" s="66">
        <v>384</v>
      </c>
      <c r="B386" s="293" t="s">
        <v>144</v>
      </c>
      <c r="C386" s="286">
        <v>39801</v>
      </c>
      <c r="D386" s="285" t="s">
        <v>130</v>
      </c>
      <c r="E386" s="285" t="s">
        <v>122</v>
      </c>
      <c r="F386" s="287">
        <v>69</v>
      </c>
      <c r="G386" s="287">
        <v>1</v>
      </c>
      <c r="H386" s="287">
        <v>10</v>
      </c>
      <c r="I386" s="288">
        <v>251</v>
      </c>
      <c r="J386" s="289">
        <v>41</v>
      </c>
      <c r="K386" s="290">
        <f>J386/G386</f>
        <v>41</v>
      </c>
      <c r="L386" s="291">
        <f t="shared" si="23"/>
        <v>6.121951219512195</v>
      </c>
      <c r="M386" s="292">
        <f>820286+588484+413907+112495+41441-111+9385+4586+8718+1191+251</f>
        <v>2000633</v>
      </c>
      <c r="N386" s="290">
        <f>83839+57678+42374+12212+5722-11+2124+1350+1256+191+41</f>
        <v>206776</v>
      </c>
      <c r="O386" s="294">
        <f>+M386/N386</f>
        <v>9.675363678570047</v>
      </c>
      <c r="P386" s="331"/>
    </row>
    <row r="387" spans="1:16" ht="15">
      <c r="A387" s="66">
        <v>385</v>
      </c>
      <c r="B387" s="363" t="s">
        <v>147</v>
      </c>
      <c r="C387" s="39">
        <v>39801</v>
      </c>
      <c r="D387" s="44" t="s">
        <v>134</v>
      </c>
      <c r="E387" s="44" t="s">
        <v>148</v>
      </c>
      <c r="F387" s="41">
        <v>42</v>
      </c>
      <c r="G387" s="41">
        <v>3</v>
      </c>
      <c r="H387" s="41">
        <v>24</v>
      </c>
      <c r="I387" s="267">
        <v>248</v>
      </c>
      <c r="J387" s="155">
        <v>51</v>
      </c>
      <c r="K387" s="155">
        <f>(J387/G387)</f>
        <v>17</v>
      </c>
      <c r="L387" s="356">
        <f t="shared" si="23"/>
        <v>4.862745098039215</v>
      </c>
      <c r="M387" s="267">
        <f>295344+204961.5+145464.5+116108.5+111972.5+49984+26327+32042+18579+20005+19180+15980+2686.5+3166.5+366+13433+4493+735.5+607.5+2528+83+198+248</f>
        <v>1084493</v>
      </c>
      <c r="N387" s="155">
        <f>36142+24747+19417+15404+14719+7567+3314+5289+3173+3275+3534+2826+540+724+52+2536+882+130+150+615+21+66+51</f>
        <v>145174</v>
      </c>
      <c r="O387" s="357">
        <f>M387/N387</f>
        <v>7.4702977117114635</v>
      </c>
      <c r="P387" s="321">
        <v>1</v>
      </c>
    </row>
    <row r="388" spans="1:16" ht="15">
      <c r="A388" s="66">
        <v>386</v>
      </c>
      <c r="B388" s="363" t="s">
        <v>326</v>
      </c>
      <c r="C388" s="39">
        <v>39766</v>
      </c>
      <c r="D388" s="44" t="s">
        <v>132</v>
      </c>
      <c r="E388" s="44" t="s">
        <v>107</v>
      </c>
      <c r="F388" s="41">
        <v>44</v>
      </c>
      <c r="G388" s="41">
        <v>1</v>
      </c>
      <c r="H388" s="41">
        <v>6</v>
      </c>
      <c r="I388" s="263">
        <v>246</v>
      </c>
      <c r="J388" s="308">
        <v>41</v>
      </c>
      <c r="K388" s="155">
        <f>(J388/G388)</f>
        <v>41</v>
      </c>
      <c r="L388" s="356">
        <f t="shared" si="23"/>
        <v>6</v>
      </c>
      <c r="M388" s="267">
        <f>155654+80570.5+22675+7882+15+246</f>
        <v>267042.5</v>
      </c>
      <c r="N388" s="155">
        <f>15277+7852+3194+1551+3+41</f>
        <v>27918</v>
      </c>
      <c r="O388" s="357">
        <f>M388/N388</f>
        <v>9.565244645031878</v>
      </c>
      <c r="P388" s="330"/>
    </row>
    <row r="389" spans="1:16" ht="15">
      <c r="A389" s="66">
        <v>387</v>
      </c>
      <c r="B389" s="293" t="s">
        <v>290</v>
      </c>
      <c r="C389" s="286">
        <v>39521</v>
      </c>
      <c r="D389" s="285" t="s">
        <v>282</v>
      </c>
      <c r="E389" s="285" t="s">
        <v>291</v>
      </c>
      <c r="F389" s="287">
        <v>42</v>
      </c>
      <c r="G389" s="287">
        <v>1</v>
      </c>
      <c r="H389" s="287">
        <v>19</v>
      </c>
      <c r="I389" s="292">
        <v>230</v>
      </c>
      <c r="J389" s="290">
        <v>46</v>
      </c>
      <c r="K389" s="290">
        <f>J389/G389</f>
        <v>46</v>
      </c>
      <c r="L389" s="291">
        <f t="shared" si="23"/>
        <v>5</v>
      </c>
      <c r="M389" s="292">
        <v>1595933</v>
      </c>
      <c r="N389" s="290">
        <v>196123</v>
      </c>
      <c r="O389" s="294">
        <f>+M389/N389</f>
        <v>8.13740866700999</v>
      </c>
      <c r="P389" s="332">
        <v>1</v>
      </c>
    </row>
    <row r="390" spans="1:16" ht="15">
      <c r="A390" s="66">
        <v>388</v>
      </c>
      <c r="B390" s="53" t="s">
        <v>68</v>
      </c>
      <c r="C390" s="39">
        <v>39759</v>
      </c>
      <c r="D390" s="127" t="s">
        <v>136</v>
      </c>
      <c r="E390" s="127" t="s">
        <v>31</v>
      </c>
      <c r="F390" s="50">
        <v>40</v>
      </c>
      <c r="G390" s="50">
        <v>1</v>
      </c>
      <c r="H390" s="50">
        <v>12</v>
      </c>
      <c r="I390" s="269">
        <v>228</v>
      </c>
      <c r="J390" s="270">
        <v>39</v>
      </c>
      <c r="K390" s="271">
        <f>IF(I390&lt;&gt;0,J390/G390,"")</f>
        <v>39</v>
      </c>
      <c r="L390" s="153">
        <f>IF(I390&lt;&gt;0,I390/J390,"")</f>
        <v>5.846153846153846</v>
      </c>
      <c r="M390" s="272">
        <f>84918+52341+11404+7823+3207+2014+937+2034+556+1450+3725+228</f>
        <v>170637</v>
      </c>
      <c r="N390" s="268">
        <f>10694+7043+2046+1560+538+345+174+389+77+318+659+39</f>
        <v>23882</v>
      </c>
      <c r="O390" s="104">
        <f>IF(M390&lt;&gt;0,M390/N390,"")</f>
        <v>7.145004605979398</v>
      </c>
      <c r="P390" s="332">
        <v>1</v>
      </c>
    </row>
    <row r="391" spans="1:16" ht="15">
      <c r="A391" s="66">
        <v>389</v>
      </c>
      <c r="B391" s="293" t="s">
        <v>23</v>
      </c>
      <c r="C391" s="286">
        <v>39808</v>
      </c>
      <c r="D391" s="285" t="s">
        <v>136</v>
      </c>
      <c r="E391" s="285" t="s">
        <v>24</v>
      </c>
      <c r="F391" s="287">
        <v>198</v>
      </c>
      <c r="G391" s="287">
        <v>1</v>
      </c>
      <c r="H391" s="287">
        <v>12</v>
      </c>
      <c r="I391" s="288">
        <v>223</v>
      </c>
      <c r="J391" s="289">
        <v>43</v>
      </c>
      <c r="K391" s="290">
        <f>J391/G391</f>
        <v>43</v>
      </c>
      <c r="L391" s="291">
        <f>I391/J391</f>
        <v>5.186046511627907</v>
      </c>
      <c r="M391" s="292">
        <v>1757618</v>
      </c>
      <c r="N391" s="290">
        <v>227516</v>
      </c>
      <c r="O391" s="294">
        <f>+M391/N391</f>
        <v>7.7252500923012</v>
      </c>
      <c r="P391" s="332"/>
    </row>
    <row r="392" spans="1:16" ht="15">
      <c r="A392" s="66">
        <v>390</v>
      </c>
      <c r="B392" s="293" t="s">
        <v>204</v>
      </c>
      <c r="C392" s="286">
        <v>39808</v>
      </c>
      <c r="D392" s="285" t="s">
        <v>131</v>
      </c>
      <c r="E392" s="285" t="s">
        <v>124</v>
      </c>
      <c r="F392" s="287">
        <v>34</v>
      </c>
      <c r="G392" s="287">
        <v>1</v>
      </c>
      <c r="H392" s="287">
        <v>8</v>
      </c>
      <c r="I392" s="288">
        <v>223</v>
      </c>
      <c r="J392" s="289">
        <v>37</v>
      </c>
      <c r="K392" s="290">
        <f>J392/G392</f>
        <v>37</v>
      </c>
      <c r="L392" s="291">
        <f>+I392/J392</f>
        <v>6.027027027027027</v>
      </c>
      <c r="M392" s="292">
        <v>802197</v>
      </c>
      <c r="N392" s="290">
        <v>90066</v>
      </c>
      <c r="O392" s="294">
        <f>+M392/N392</f>
        <v>8.906768369862101</v>
      </c>
      <c r="P392" s="331"/>
    </row>
    <row r="393" spans="1:16" ht="15">
      <c r="A393" s="66">
        <v>391</v>
      </c>
      <c r="B393" s="49" t="s">
        <v>49</v>
      </c>
      <c r="C393" s="39">
        <v>39710</v>
      </c>
      <c r="D393" s="44" t="s">
        <v>132</v>
      </c>
      <c r="E393" s="44" t="s">
        <v>179</v>
      </c>
      <c r="F393" s="41">
        <v>24</v>
      </c>
      <c r="G393" s="41">
        <v>1</v>
      </c>
      <c r="H393" s="41">
        <v>1</v>
      </c>
      <c r="I393" s="267">
        <v>210</v>
      </c>
      <c r="J393" s="155">
        <v>35</v>
      </c>
      <c r="K393" s="155">
        <f>J393/G393</f>
        <v>35</v>
      </c>
      <c r="L393" s="356">
        <f>I393/J393</f>
        <v>6</v>
      </c>
      <c r="M393" s="267">
        <f>152576+127511+68854.5+21974+10111.5+7103+7290+0.5+1014+3149+989+3524+0.5+3768+138+2528+257+351.5+573.5+184+3655+10+15+10+210</f>
        <v>415797</v>
      </c>
      <c r="N393" s="155">
        <f>50018+825+47+65+137+67+1215+2+3+2+35</f>
        <v>52416</v>
      </c>
      <c r="O393" s="357">
        <f>+M393/N393</f>
        <v>7.932635073260073</v>
      </c>
      <c r="P393" s="330"/>
    </row>
    <row r="394" spans="1:16" ht="15">
      <c r="A394" s="66">
        <v>392</v>
      </c>
      <c r="B394" s="49" t="s">
        <v>26</v>
      </c>
      <c r="C394" s="39">
        <v>39808</v>
      </c>
      <c r="D394" s="44" t="s">
        <v>134</v>
      </c>
      <c r="E394" s="44" t="s">
        <v>133</v>
      </c>
      <c r="F394" s="41">
        <v>75</v>
      </c>
      <c r="G394" s="41">
        <v>1</v>
      </c>
      <c r="H394" s="41">
        <v>15</v>
      </c>
      <c r="I394" s="307">
        <v>204</v>
      </c>
      <c r="J394" s="308">
        <v>43</v>
      </c>
      <c r="K394" s="155">
        <f>(J394/G394)</f>
        <v>43</v>
      </c>
      <c r="L394" s="156">
        <f>I394/J394</f>
        <v>4.744186046511628</v>
      </c>
      <c r="M394" s="154">
        <f>681566+578530+317284.5+141025.5+34373.5+6375+4225+7402.5+1014+4479+2688+2267+1765+1219+204</f>
        <v>1784418</v>
      </c>
      <c r="N394" s="155">
        <f>64102+57106+32401+16644+4655+1030+644+1623+143+828+480+469+323+195+43</f>
        <v>180686</v>
      </c>
      <c r="O394" s="103">
        <f>M394/N394</f>
        <v>9.875795579070875</v>
      </c>
      <c r="P394" s="321"/>
    </row>
    <row r="395" spans="1:16" ht="15">
      <c r="A395" s="66">
        <v>393</v>
      </c>
      <c r="B395" s="363" t="s">
        <v>147</v>
      </c>
      <c r="C395" s="39">
        <v>39801</v>
      </c>
      <c r="D395" s="44" t="s">
        <v>134</v>
      </c>
      <c r="E395" s="44" t="s">
        <v>148</v>
      </c>
      <c r="F395" s="41">
        <v>42</v>
      </c>
      <c r="G395" s="41">
        <v>1</v>
      </c>
      <c r="H395" s="41">
        <v>22</v>
      </c>
      <c r="I395" s="267">
        <v>198</v>
      </c>
      <c r="J395" s="155">
        <v>66</v>
      </c>
      <c r="K395" s="155">
        <f>(J395/G395)</f>
        <v>66</v>
      </c>
      <c r="L395" s="356">
        <f>I395/J395</f>
        <v>3</v>
      </c>
      <c r="M395" s="267">
        <f>295344+204961.5+145464.5+116108.5+111972.5+49984+26327+32042+18579+20005+19180+15980+2686.5+3166.5+366+13433+4493+735.5+607.5+2528+83+198</f>
        <v>1084245</v>
      </c>
      <c r="N395" s="155">
        <f>36142+24747+19417+15404+14719+7567+3314+5289+3173+3275+3534+2826+540+724+52+2536+882+130+150+615+21+66</f>
        <v>145123</v>
      </c>
      <c r="O395" s="357">
        <f>M395/N395</f>
        <v>7.471214073578964</v>
      </c>
      <c r="P395" s="332"/>
    </row>
    <row r="396" spans="1:16" ht="15">
      <c r="A396" s="66">
        <v>394</v>
      </c>
      <c r="B396" s="49" t="s">
        <v>49</v>
      </c>
      <c r="C396" s="40">
        <v>39710</v>
      </c>
      <c r="D396" s="44" t="s">
        <v>107</v>
      </c>
      <c r="E396" s="44" t="s">
        <v>107</v>
      </c>
      <c r="F396" s="41">
        <v>66</v>
      </c>
      <c r="G396" s="41">
        <v>1</v>
      </c>
      <c r="H396" s="41">
        <v>18</v>
      </c>
      <c r="I396" s="307">
        <v>184</v>
      </c>
      <c r="J396" s="308">
        <v>67</v>
      </c>
      <c r="K396" s="158">
        <f>(J396/G396)</f>
        <v>67</v>
      </c>
      <c r="L396" s="159">
        <f>I396/J396</f>
        <v>2.746268656716418</v>
      </c>
      <c r="M396" s="154">
        <f>152576+127511+68854.5+21974+10111.5+7103+7290+0.5+1014+3149+989+3524+0.5+3768+138+2528+257+351.5+573.5+184</f>
        <v>411897</v>
      </c>
      <c r="N396" s="155">
        <f>50018+825+47+65+137+67</f>
        <v>51159</v>
      </c>
      <c r="O396" s="105">
        <f>M396/N396</f>
        <v>8.051310619832288</v>
      </c>
      <c r="P396" s="331"/>
    </row>
    <row r="397" spans="1:16" ht="15">
      <c r="A397" s="66">
        <v>395</v>
      </c>
      <c r="B397" s="281" t="s">
        <v>169</v>
      </c>
      <c r="C397" s="40">
        <v>39472</v>
      </c>
      <c r="D397" s="261" t="s">
        <v>107</v>
      </c>
      <c r="E397" s="261" t="s">
        <v>107</v>
      </c>
      <c r="F397" s="262">
        <v>1</v>
      </c>
      <c r="G397" s="262">
        <v>1</v>
      </c>
      <c r="H397" s="262">
        <v>29</v>
      </c>
      <c r="I397" s="263">
        <v>183.5</v>
      </c>
      <c r="J397" s="264">
        <v>68</v>
      </c>
      <c r="K397" s="271">
        <f>+J397/G397</f>
        <v>68</v>
      </c>
      <c r="L397" s="153">
        <f>+I397/J397</f>
        <v>2.698529411764706</v>
      </c>
      <c r="M397" s="267">
        <f>395290.5+262822+75939+23709.5+4083+1327+9321+1445+1267+2173+4575+201+1748+3343+728+28+948+1329+163+182+173+15521.5+171+40+110+75+183.5</f>
        <v>806896</v>
      </c>
      <c r="N397" s="268">
        <f>47426+32442+9866+4010+887+225+2185+263+226+460+1077+33+367+887+230+4+139+355+32+35+32+3859+49+8+22+15+68</f>
        <v>105202</v>
      </c>
      <c r="O397" s="104">
        <f>+M397/N397</f>
        <v>7.669968251554153</v>
      </c>
      <c r="P397" s="332"/>
    </row>
    <row r="398" spans="1:16" ht="15">
      <c r="A398" s="66">
        <v>396</v>
      </c>
      <c r="B398" s="293" t="s">
        <v>163</v>
      </c>
      <c r="C398" s="286">
        <v>39766</v>
      </c>
      <c r="D398" s="285" t="s">
        <v>199</v>
      </c>
      <c r="E398" s="285" t="s">
        <v>200</v>
      </c>
      <c r="F398" s="287">
        <v>50</v>
      </c>
      <c r="G398" s="287">
        <v>1</v>
      </c>
      <c r="H398" s="287">
        <v>16</v>
      </c>
      <c r="I398" s="288">
        <v>174</v>
      </c>
      <c r="J398" s="289">
        <v>58</v>
      </c>
      <c r="K398" s="290">
        <f>J398/G398</f>
        <v>58</v>
      </c>
      <c r="L398" s="291">
        <f>I398/J398</f>
        <v>3</v>
      </c>
      <c r="M398" s="292">
        <v>225537</v>
      </c>
      <c r="N398" s="290">
        <v>32942</v>
      </c>
      <c r="O398" s="294">
        <f>M398/N398</f>
        <v>6.846487766377269</v>
      </c>
      <c r="P398" s="332"/>
    </row>
    <row r="399" spans="1:16" ht="15">
      <c r="A399" s="66">
        <v>397</v>
      </c>
      <c r="B399" s="53" t="s">
        <v>395</v>
      </c>
      <c r="C399" s="39">
        <v>39696</v>
      </c>
      <c r="D399" s="45" t="s">
        <v>4</v>
      </c>
      <c r="E399" s="127" t="s">
        <v>77</v>
      </c>
      <c r="F399" s="50">
        <v>1</v>
      </c>
      <c r="G399" s="50">
        <v>1</v>
      </c>
      <c r="H399" s="50">
        <v>40</v>
      </c>
      <c r="I399" s="303">
        <v>163</v>
      </c>
      <c r="J399" s="304">
        <v>25</v>
      </c>
      <c r="K399" s="152">
        <f>+J399/G399</f>
        <v>25</v>
      </c>
      <c r="L399" s="153">
        <f>+I399/J399</f>
        <v>6.52</v>
      </c>
      <c r="M399" s="150">
        <v>4738</v>
      </c>
      <c r="N399" s="151">
        <v>432</v>
      </c>
      <c r="O399" s="104">
        <f>+M399/N399</f>
        <v>10.967592592592593</v>
      </c>
      <c r="P399" s="332"/>
    </row>
    <row r="400" spans="1:16" ht="15">
      <c r="A400" s="66">
        <v>398</v>
      </c>
      <c r="B400" s="363" t="s">
        <v>49</v>
      </c>
      <c r="C400" s="39">
        <v>39710</v>
      </c>
      <c r="D400" s="44" t="s">
        <v>132</v>
      </c>
      <c r="E400" s="44" t="s">
        <v>179</v>
      </c>
      <c r="F400" s="41">
        <v>7</v>
      </c>
      <c r="G400" s="41">
        <v>1</v>
      </c>
      <c r="H400" s="41">
        <v>25</v>
      </c>
      <c r="I400" s="263">
        <v>156</v>
      </c>
      <c r="J400" s="308">
        <v>26</v>
      </c>
      <c r="K400" s="155">
        <f>(J400/G400)</f>
        <v>26</v>
      </c>
      <c r="L400" s="356">
        <f>I400/J400</f>
        <v>6</v>
      </c>
      <c r="M400" s="267">
        <f>152576+127511+68854.5+21974+10111.5+7103+7290+0.5+1014+3149+989+3524+0.5+3768+138+2528+257+351.5+573.5+184+3655+10+15+10+210+156</f>
        <v>415953</v>
      </c>
      <c r="N400" s="155">
        <f>50018+825+47+65+137+67+1215+2+3+2+35+26</f>
        <v>52442</v>
      </c>
      <c r="O400" s="357">
        <f>M400/N400</f>
        <v>7.931676900194501</v>
      </c>
      <c r="P400" s="330"/>
    </row>
    <row r="401" spans="1:16" ht="15">
      <c r="A401" s="66">
        <v>399</v>
      </c>
      <c r="B401" s="293" t="s">
        <v>236</v>
      </c>
      <c r="C401" s="286">
        <v>39717</v>
      </c>
      <c r="D401" s="285" t="s">
        <v>136</v>
      </c>
      <c r="E401" s="285" t="s">
        <v>237</v>
      </c>
      <c r="F401" s="287">
        <v>199</v>
      </c>
      <c r="G401" s="287">
        <v>2</v>
      </c>
      <c r="H401" s="287">
        <v>10</v>
      </c>
      <c r="I401" s="288">
        <v>153</v>
      </c>
      <c r="J401" s="289">
        <v>32</v>
      </c>
      <c r="K401" s="290">
        <f>J401/G401</f>
        <v>16</v>
      </c>
      <c r="L401" s="291">
        <f>I401/J401</f>
        <v>4.78125</v>
      </c>
      <c r="M401" s="292">
        <v>1396188</v>
      </c>
      <c r="N401" s="290">
        <v>190962</v>
      </c>
      <c r="O401" s="294">
        <f>+M401/N401</f>
        <v>7.311339428786879</v>
      </c>
      <c r="P401" s="330"/>
    </row>
    <row r="402" spans="1:16" ht="15">
      <c r="A402" s="66">
        <v>400</v>
      </c>
      <c r="B402" s="293" t="s">
        <v>56</v>
      </c>
      <c r="C402" s="286">
        <v>39745</v>
      </c>
      <c r="D402" s="285" t="s">
        <v>136</v>
      </c>
      <c r="E402" s="285" t="s">
        <v>46</v>
      </c>
      <c r="F402" s="287">
        <v>104</v>
      </c>
      <c r="G402" s="287">
        <v>1</v>
      </c>
      <c r="H402" s="287">
        <v>18</v>
      </c>
      <c r="I402" s="288">
        <v>150</v>
      </c>
      <c r="J402" s="289">
        <v>28</v>
      </c>
      <c r="K402" s="290">
        <f>IF(I402&lt;&gt;0,J402/G402,"")</f>
        <v>28</v>
      </c>
      <c r="L402" s="291">
        <f>I402/J402</f>
        <v>5.357142857142857</v>
      </c>
      <c r="M402" s="292">
        <f>821522+622841.5+494230+434015.5+185757.5+145248.5+16130+16159+2033+6489+4346+3565+2540+1323+139+686+2328+150</f>
        <v>2759503</v>
      </c>
      <c r="N402" s="290">
        <f>99216+78381+65128+58419+30420+24530+3077+3918+431+1704+1003+785+507+195+19+106+426+28</f>
        <v>368293</v>
      </c>
      <c r="O402" s="294">
        <f>+M402/N402</f>
        <v>7.492683814245723</v>
      </c>
      <c r="P402" s="332">
        <v>1</v>
      </c>
    </row>
    <row r="403" spans="1:16" ht="15">
      <c r="A403" s="66">
        <v>401</v>
      </c>
      <c r="B403" s="363" t="s">
        <v>82</v>
      </c>
      <c r="C403" s="39">
        <v>39633</v>
      </c>
      <c r="D403" s="44" t="s">
        <v>4</v>
      </c>
      <c r="E403" s="44" t="s">
        <v>77</v>
      </c>
      <c r="F403" s="41">
        <v>28</v>
      </c>
      <c r="G403" s="41">
        <v>1</v>
      </c>
      <c r="H403" s="41">
        <v>45</v>
      </c>
      <c r="I403" s="267">
        <v>140</v>
      </c>
      <c r="J403" s="155">
        <v>27</v>
      </c>
      <c r="K403" s="155">
        <f>+J403/G403</f>
        <v>27</v>
      </c>
      <c r="L403" s="356">
        <f>+I403/J403</f>
        <v>5.185185185185185</v>
      </c>
      <c r="M403" s="267">
        <v>315737</v>
      </c>
      <c r="N403" s="155">
        <v>42164</v>
      </c>
      <c r="O403" s="357">
        <f>+M403/N403</f>
        <v>7.488307560952471</v>
      </c>
      <c r="P403" s="332">
        <v>1</v>
      </c>
    </row>
    <row r="404" spans="1:16" ht="15">
      <c r="A404" s="66">
        <v>402</v>
      </c>
      <c r="B404" s="293" t="s">
        <v>56</v>
      </c>
      <c r="C404" s="286">
        <v>39745</v>
      </c>
      <c r="D404" s="285" t="s">
        <v>136</v>
      </c>
      <c r="E404" s="285" t="s">
        <v>46</v>
      </c>
      <c r="F404" s="287">
        <v>104</v>
      </c>
      <c r="G404" s="287">
        <v>1</v>
      </c>
      <c r="H404" s="287">
        <v>15</v>
      </c>
      <c r="I404" s="288">
        <v>139</v>
      </c>
      <c r="J404" s="289">
        <v>19</v>
      </c>
      <c r="K404" s="290">
        <f>IF(I404&lt;&gt;0,J404/G404,"")</f>
        <v>19</v>
      </c>
      <c r="L404" s="291">
        <f>IF(I404&lt;&gt;0,I404/J404,"")</f>
        <v>7.315789473684211</v>
      </c>
      <c r="M404" s="292">
        <f>821522+622841.5+494230+434015.5+185757.5+145248.5+16130+16159+2033+6489+4346+3565+2540+1323+139</f>
        <v>2756339</v>
      </c>
      <c r="N404" s="290">
        <f>99216+78381+65128+58419+30420+24530+3077+3918+431+1704+1003+785+507+195+19</f>
        <v>367733</v>
      </c>
      <c r="O404" s="294">
        <f>IF(M404&lt;&gt;0,M404/N404,"")</f>
        <v>7.495489934272964</v>
      </c>
      <c r="P404" s="332"/>
    </row>
    <row r="405" spans="1:16" ht="15">
      <c r="A405" s="66">
        <v>403</v>
      </c>
      <c r="B405" s="293" t="s">
        <v>56</v>
      </c>
      <c r="C405" s="286">
        <v>39745</v>
      </c>
      <c r="D405" s="285" t="s">
        <v>136</v>
      </c>
      <c r="E405" s="285" t="s">
        <v>46</v>
      </c>
      <c r="F405" s="287">
        <v>104</v>
      </c>
      <c r="G405" s="287">
        <v>1</v>
      </c>
      <c r="H405" s="287">
        <v>19</v>
      </c>
      <c r="I405" s="288">
        <v>137</v>
      </c>
      <c r="J405" s="289">
        <v>29</v>
      </c>
      <c r="K405" s="290">
        <f>J405/G405</f>
        <v>29</v>
      </c>
      <c r="L405" s="291">
        <f>I405/J405</f>
        <v>4.724137931034483</v>
      </c>
      <c r="M405" s="292">
        <v>2759640</v>
      </c>
      <c r="N405" s="290">
        <v>368322</v>
      </c>
      <c r="O405" s="294">
        <f>+M405/N405</f>
        <v>7.492465831527848</v>
      </c>
      <c r="P405" s="330"/>
    </row>
    <row r="406" spans="1:16" ht="15">
      <c r="A406" s="66">
        <v>404</v>
      </c>
      <c r="B406" s="234" t="s">
        <v>60</v>
      </c>
      <c r="C406" s="229">
        <v>39745</v>
      </c>
      <c r="D406" s="217" t="s">
        <v>134</v>
      </c>
      <c r="E406" s="227" t="s">
        <v>106</v>
      </c>
      <c r="F406" s="228">
        <v>7</v>
      </c>
      <c r="G406" s="228">
        <v>1</v>
      </c>
      <c r="H406" s="228">
        <v>11</v>
      </c>
      <c r="I406" s="297">
        <v>135</v>
      </c>
      <c r="J406" s="298">
        <v>23</v>
      </c>
      <c r="K406" s="223">
        <f>(J406/G406)</f>
        <v>23</v>
      </c>
      <c r="L406" s="224">
        <f>I406/J406</f>
        <v>5.869565217391305</v>
      </c>
      <c r="M406" s="225">
        <f>31758.5+8225.5+1958+2180+395+7254.5+494+2046+429+128+135</f>
        <v>55003.5</v>
      </c>
      <c r="N406" s="226">
        <f>2732+851+288+247+46+761+52+333+72+22+23</f>
        <v>5427</v>
      </c>
      <c r="O406" s="233">
        <f>M406/N406</f>
        <v>10.135157545605306</v>
      </c>
      <c r="P406" s="332"/>
    </row>
    <row r="407" spans="1:16" ht="15">
      <c r="A407" s="66">
        <v>405</v>
      </c>
      <c r="B407" s="363" t="s">
        <v>82</v>
      </c>
      <c r="C407" s="39">
        <v>39633</v>
      </c>
      <c r="D407" s="44" t="s">
        <v>4</v>
      </c>
      <c r="E407" s="44" t="s">
        <v>77</v>
      </c>
      <c r="F407" s="41">
        <v>28</v>
      </c>
      <c r="G407" s="41">
        <v>1</v>
      </c>
      <c r="H407" s="41">
        <v>45</v>
      </c>
      <c r="I407" s="267">
        <v>134</v>
      </c>
      <c r="J407" s="155">
        <v>29</v>
      </c>
      <c r="K407" s="155">
        <f>+J407/G407</f>
        <v>29</v>
      </c>
      <c r="L407" s="356">
        <f>+I407/J407</f>
        <v>4.620689655172414</v>
      </c>
      <c r="M407" s="267">
        <v>315597</v>
      </c>
      <c r="N407" s="155">
        <v>42137</v>
      </c>
      <c r="O407" s="357">
        <f>+M407/N407</f>
        <v>7.4897833258181645</v>
      </c>
      <c r="P407" s="332"/>
    </row>
    <row r="408" spans="1:16" ht="15">
      <c r="A408" s="66">
        <v>406</v>
      </c>
      <c r="B408" s="293" t="s">
        <v>97</v>
      </c>
      <c r="C408" s="286">
        <v>39752</v>
      </c>
      <c r="D408" s="285" t="s">
        <v>131</v>
      </c>
      <c r="E408" s="285" t="s">
        <v>124</v>
      </c>
      <c r="F408" s="287">
        <v>45</v>
      </c>
      <c r="G408" s="287">
        <v>1</v>
      </c>
      <c r="H408" s="287">
        <v>14</v>
      </c>
      <c r="I408" s="288">
        <v>134</v>
      </c>
      <c r="J408" s="289">
        <v>22</v>
      </c>
      <c r="K408" s="290">
        <f>J408/G408</f>
        <v>22</v>
      </c>
      <c r="L408" s="291">
        <f>I408/J408</f>
        <v>6.090909090909091</v>
      </c>
      <c r="M408" s="292">
        <v>457245</v>
      </c>
      <c r="N408" s="290">
        <v>49875</v>
      </c>
      <c r="O408" s="294">
        <f>+M408/N408</f>
        <v>9.167819548872181</v>
      </c>
      <c r="P408" s="321">
        <v>1</v>
      </c>
    </row>
    <row r="409" spans="1:16" ht="15">
      <c r="A409" s="66">
        <v>407</v>
      </c>
      <c r="B409" s="49" t="s">
        <v>60</v>
      </c>
      <c r="C409" s="40">
        <v>39745</v>
      </c>
      <c r="D409" s="45" t="s">
        <v>134</v>
      </c>
      <c r="E409" s="44" t="s">
        <v>106</v>
      </c>
      <c r="F409" s="41">
        <v>7</v>
      </c>
      <c r="G409" s="41">
        <v>1</v>
      </c>
      <c r="H409" s="41">
        <v>10</v>
      </c>
      <c r="I409" s="303">
        <v>128</v>
      </c>
      <c r="J409" s="304">
        <v>22</v>
      </c>
      <c r="K409" s="158">
        <f>(J409/G409)</f>
        <v>22</v>
      </c>
      <c r="L409" s="159">
        <f>I409/J409</f>
        <v>5.818181818181818</v>
      </c>
      <c r="M409" s="150">
        <f>31758.5+8225.5+1958+2180+395+7254.5+494+2046+429+128</f>
        <v>54868.5</v>
      </c>
      <c r="N409" s="151">
        <f>2732+851+288+247+46+761+52+333+72+22</f>
        <v>5404</v>
      </c>
      <c r="O409" s="105">
        <f>M409/N409</f>
        <v>10.153312361213915</v>
      </c>
      <c r="P409" s="331"/>
    </row>
    <row r="410" spans="1:16" ht="15">
      <c r="A410" s="66">
        <v>408</v>
      </c>
      <c r="B410" s="293" t="s">
        <v>167</v>
      </c>
      <c r="C410" s="286">
        <v>39766</v>
      </c>
      <c r="D410" s="285" t="s">
        <v>282</v>
      </c>
      <c r="E410" s="285" t="s">
        <v>168</v>
      </c>
      <c r="F410" s="287">
        <v>17</v>
      </c>
      <c r="G410" s="287">
        <v>1</v>
      </c>
      <c r="H410" s="287">
        <v>17</v>
      </c>
      <c r="I410" s="292">
        <v>127.5</v>
      </c>
      <c r="J410" s="290">
        <v>25</v>
      </c>
      <c r="K410" s="290">
        <f aca="true" t="shared" si="24" ref="K410:K416">J410/G410</f>
        <v>25</v>
      </c>
      <c r="L410" s="291">
        <f>I410/J410</f>
        <v>5.1</v>
      </c>
      <c r="M410" s="292">
        <v>77557</v>
      </c>
      <c r="N410" s="290">
        <v>10720</v>
      </c>
      <c r="O410" s="294">
        <f aca="true" t="shared" si="25" ref="O410:O416">+M410/N410</f>
        <v>7.234794776119403</v>
      </c>
      <c r="P410" s="321">
        <v>1</v>
      </c>
    </row>
    <row r="411" spans="1:16" ht="15">
      <c r="A411" s="66">
        <v>409</v>
      </c>
      <c r="B411" s="293" t="s">
        <v>169</v>
      </c>
      <c r="C411" s="286">
        <v>39472</v>
      </c>
      <c r="D411" s="285" t="s">
        <v>107</v>
      </c>
      <c r="E411" s="285" t="s">
        <v>107</v>
      </c>
      <c r="F411" s="287">
        <v>1</v>
      </c>
      <c r="G411" s="287">
        <v>1</v>
      </c>
      <c r="H411" s="287">
        <v>30</v>
      </c>
      <c r="I411" s="288">
        <v>127</v>
      </c>
      <c r="J411" s="289">
        <v>46</v>
      </c>
      <c r="K411" s="290">
        <f t="shared" si="24"/>
        <v>46</v>
      </c>
      <c r="L411" s="291">
        <f>I411/J411</f>
        <v>2.760869565217391</v>
      </c>
      <c r="M411" s="292">
        <f>395290.5+262822+75939+23709.5+4083+1327+9321+1445+1267+2173+4575+201+1748+3343+728+28+948+1329+163+182+173+15521.5+171+40+110+75+183.5+127</f>
        <v>807023</v>
      </c>
      <c r="N411" s="290">
        <f>47426+32442+9866+4010+887+225+2185+263+226+460+1077+33+367+887+230+4+139+355+32+35+32+3859+49+8+22+15+68+46</f>
        <v>105248</v>
      </c>
      <c r="O411" s="294">
        <f t="shared" si="25"/>
        <v>7.66782266646397</v>
      </c>
      <c r="P411" s="330"/>
    </row>
    <row r="412" spans="1:16" ht="15">
      <c r="A412" s="66">
        <v>410</v>
      </c>
      <c r="B412" s="293" t="s">
        <v>169</v>
      </c>
      <c r="C412" s="286">
        <v>39472</v>
      </c>
      <c r="D412" s="285" t="s">
        <v>132</v>
      </c>
      <c r="E412" s="285" t="s">
        <v>92</v>
      </c>
      <c r="F412" s="287">
        <v>1</v>
      </c>
      <c r="G412" s="287">
        <v>1</v>
      </c>
      <c r="H412" s="287">
        <v>31</v>
      </c>
      <c r="I412" s="288">
        <v>124.5</v>
      </c>
      <c r="J412" s="289">
        <v>45</v>
      </c>
      <c r="K412" s="290">
        <f t="shared" si="24"/>
        <v>45</v>
      </c>
      <c r="L412" s="291">
        <f>I412/J412</f>
        <v>2.7666666666666666</v>
      </c>
      <c r="M412" s="292">
        <f>395290.5+262822+75939+23709.5+4083+1327+9321+1445+1267+2173+4575+201+1748+3343+728+28+948+1329+163+182+173+15521.5+171+40+110+75+183.5+127+124.5</f>
        <v>807147.5</v>
      </c>
      <c r="N412" s="290">
        <f>47426+32442+9866+4010+887+225+2185+263+226+460+1077+33+367+887+230+4+139+355+32+35+32+3859+49+8+22+15+68+46+45</f>
        <v>105293</v>
      </c>
      <c r="O412" s="294">
        <f t="shared" si="25"/>
        <v>7.665728016107433</v>
      </c>
      <c r="P412" s="332"/>
    </row>
    <row r="413" spans="1:16" ht="15">
      <c r="A413" s="66">
        <v>411</v>
      </c>
      <c r="B413" s="293" t="s">
        <v>22</v>
      </c>
      <c r="C413" s="286">
        <v>39787</v>
      </c>
      <c r="D413" s="285" t="s">
        <v>131</v>
      </c>
      <c r="E413" s="285" t="s">
        <v>138</v>
      </c>
      <c r="F413" s="287">
        <v>406</v>
      </c>
      <c r="G413" s="287">
        <v>1</v>
      </c>
      <c r="H413" s="287">
        <v>11</v>
      </c>
      <c r="I413" s="288">
        <v>110</v>
      </c>
      <c r="J413" s="289">
        <v>11</v>
      </c>
      <c r="K413" s="290">
        <f t="shared" si="24"/>
        <v>11</v>
      </c>
      <c r="L413" s="291">
        <f>+I413/J413</f>
        <v>10</v>
      </c>
      <c r="M413" s="292">
        <v>30391026</v>
      </c>
      <c r="N413" s="290">
        <v>3700053</v>
      </c>
      <c r="O413" s="294">
        <f t="shared" si="25"/>
        <v>8.213673155492637</v>
      </c>
      <c r="P413" s="332">
        <v>1</v>
      </c>
    </row>
    <row r="414" spans="1:16" ht="15">
      <c r="A414" s="66">
        <v>412</v>
      </c>
      <c r="B414" s="49" t="s">
        <v>424</v>
      </c>
      <c r="C414" s="39">
        <v>38275</v>
      </c>
      <c r="D414" s="44" t="s">
        <v>92</v>
      </c>
      <c r="E414" s="44" t="s">
        <v>107</v>
      </c>
      <c r="F414" s="41">
        <v>13</v>
      </c>
      <c r="G414" s="41">
        <v>1</v>
      </c>
      <c r="H414" s="41">
        <v>28</v>
      </c>
      <c r="I414" s="154">
        <v>105</v>
      </c>
      <c r="J414" s="155">
        <v>21</v>
      </c>
      <c r="K414" s="155">
        <f t="shared" si="24"/>
        <v>21</v>
      </c>
      <c r="L414" s="156">
        <f>I414/J414</f>
        <v>5</v>
      </c>
      <c r="M414" s="154">
        <v>89119.5</v>
      </c>
      <c r="N414" s="155">
        <v>14243</v>
      </c>
      <c r="O414" s="103">
        <f t="shared" si="25"/>
        <v>6.25707365021414</v>
      </c>
      <c r="P414" s="387"/>
    </row>
    <row r="415" spans="1:16" ht="15">
      <c r="A415" s="66">
        <v>413</v>
      </c>
      <c r="B415" s="293" t="s">
        <v>259</v>
      </c>
      <c r="C415" s="286">
        <v>39703</v>
      </c>
      <c r="D415" s="285" t="s">
        <v>136</v>
      </c>
      <c r="E415" s="285" t="s">
        <v>245</v>
      </c>
      <c r="F415" s="287">
        <v>24</v>
      </c>
      <c r="G415" s="287">
        <v>1</v>
      </c>
      <c r="H415" s="287">
        <v>11</v>
      </c>
      <c r="I415" s="288">
        <v>102</v>
      </c>
      <c r="J415" s="289">
        <v>22</v>
      </c>
      <c r="K415" s="290">
        <f t="shared" si="24"/>
        <v>22</v>
      </c>
      <c r="L415" s="291">
        <f>I415/J415</f>
        <v>4.636363636363637</v>
      </c>
      <c r="M415" s="292">
        <v>133004</v>
      </c>
      <c r="N415" s="290">
        <v>14872</v>
      </c>
      <c r="O415" s="294">
        <f t="shared" si="25"/>
        <v>8.943249058633674</v>
      </c>
      <c r="P415" s="332"/>
    </row>
    <row r="416" spans="1:16" ht="15">
      <c r="A416" s="66">
        <v>414</v>
      </c>
      <c r="B416" s="49" t="s">
        <v>25</v>
      </c>
      <c r="C416" s="39">
        <v>39808</v>
      </c>
      <c r="D416" s="44" t="s">
        <v>131</v>
      </c>
      <c r="E416" s="44" t="s">
        <v>111</v>
      </c>
      <c r="F416" s="41">
        <v>112</v>
      </c>
      <c r="G416" s="41">
        <v>1</v>
      </c>
      <c r="H416" s="41">
        <v>17</v>
      </c>
      <c r="I416" s="267">
        <v>90</v>
      </c>
      <c r="J416" s="155">
        <v>18</v>
      </c>
      <c r="K416" s="155">
        <f t="shared" si="24"/>
        <v>18</v>
      </c>
      <c r="L416" s="356">
        <f>+I416/J416</f>
        <v>5</v>
      </c>
      <c r="M416" s="267">
        <v>2051844</v>
      </c>
      <c r="N416" s="155">
        <v>212663</v>
      </c>
      <c r="O416" s="357">
        <f t="shared" si="25"/>
        <v>9.648335629611168</v>
      </c>
      <c r="P416" s="331"/>
    </row>
    <row r="417" spans="1:16" ht="15">
      <c r="A417" s="66">
        <v>415</v>
      </c>
      <c r="B417" s="363" t="s">
        <v>147</v>
      </c>
      <c r="C417" s="39">
        <v>39801</v>
      </c>
      <c r="D417" s="44" t="s">
        <v>134</v>
      </c>
      <c r="E417" s="44" t="s">
        <v>198</v>
      </c>
      <c r="F417" s="41">
        <v>42</v>
      </c>
      <c r="G417" s="41">
        <v>1</v>
      </c>
      <c r="H417" s="41">
        <v>21</v>
      </c>
      <c r="I417" s="267">
        <v>83</v>
      </c>
      <c r="J417" s="155">
        <v>21</v>
      </c>
      <c r="K417" s="155">
        <f>(J417/G417)</f>
        <v>21</v>
      </c>
      <c r="L417" s="356">
        <f>I417/J417</f>
        <v>3.9523809523809526</v>
      </c>
      <c r="M417" s="267">
        <f>295344+204961.5+145464.5+116108.5+111972.5+49984+26327+32042+18579+20005+19180+15980+2686.5+3166.5+366+13433+4493+735.5+607.5+2528+83</f>
        <v>1084047</v>
      </c>
      <c r="N417" s="155">
        <f>36142+24747+19417+15404+14719+7567+3314+5289+3173+3275+3534+2826+540+724+52+2536+882+130+150+615+21</f>
        <v>145057</v>
      </c>
      <c r="O417" s="357">
        <f>M417/N417</f>
        <v>7.47324844716215</v>
      </c>
      <c r="P417" s="330"/>
    </row>
    <row r="418" spans="1:16" ht="15">
      <c r="A418" s="66">
        <v>416</v>
      </c>
      <c r="B418" s="53" t="s">
        <v>141</v>
      </c>
      <c r="C418" s="39">
        <v>39780</v>
      </c>
      <c r="D418" s="127" t="s">
        <v>79</v>
      </c>
      <c r="E418" s="127" t="s">
        <v>48</v>
      </c>
      <c r="F418" s="54">
        <v>3</v>
      </c>
      <c r="G418" s="54">
        <v>1</v>
      </c>
      <c r="H418" s="54">
        <v>6</v>
      </c>
      <c r="I418" s="314">
        <v>81</v>
      </c>
      <c r="J418" s="315">
        <v>13</v>
      </c>
      <c r="K418" s="161"/>
      <c r="L418" s="215">
        <f>IF(I418&lt;&gt;0,I418/J418,"")</f>
        <v>6.230769230769231</v>
      </c>
      <c r="M418" s="160">
        <v>42285.5</v>
      </c>
      <c r="N418" s="161">
        <v>3919</v>
      </c>
      <c r="O418" s="104">
        <f>IF(M418&lt;&gt;0,M418/N418,"")</f>
        <v>10.78986986476142</v>
      </c>
      <c r="P418" s="330"/>
    </row>
    <row r="419" spans="1:16" ht="15">
      <c r="A419" s="66">
        <v>417</v>
      </c>
      <c r="B419" s="363" t="s">
        <v>70</v>
      </c>
      <c r="C419" s="39">
        <v>39766</v>
      </c>
      <c r="D419" s="44" t="s">
        <v>132</v>
      </c>
      <c r="E419" s="44" t="s">
        <v>71</v>
      </c>
      <c r="F419" s="41">
        <v>24</v>
      </c>
      <c r="G419" s="41">
        <v>1</v>
      </c>
      <c r="H419" s="41">
        <v>23</v>
      </c>
      <c r="I419" s="267">
        <v>80</v>
      </c>
      <c r="J419" s="155">
        <v>20</v>
      </c>
      <c r="K419" s="155">
        <f>J419/G419</f>
        <v>20</v>
      </c>
      <c r="L419" s="356">
        <f>I419/J419</f>
        <v>4</v>
      </c>
      <c r="M419" s="267">
        <f>191668+16358.5+8305+0.5+19699.5+16705.5+7289+4467+3138+2267+1882+6536+9273+1289+852+1124+2416+1164+28+80</f>
        <v>294542</v>
      </c>
      <c r="N419" s="155">
        <f>10324+8249+7871+7121+4755+3362+1751+2958+2636+1185+800+596+440+265+961+1648+202+172+213+528+291+7+20</f>
        <v>56355</v>
      </c>
      <c r="O419" s="357">
        <f>+M419/N419</f>
        <v>5.226546003016591</v>
      </c>
      <c r="P419" s="330">
        <v>1</v>
      </c>
    </row>
    <row r="420" spans="1:16" ht="15">
      <c r="A420" s="66">
        <v>418</v>
      </c>
      <c r="B420" s="49" t="s">
        <v>80</v>
      </c>
      <c r="C420" s="40">
        <v>39703</v>
      </c>
      <c r="D420" s="45" t="s">
        <v>134</v>
      </c>
      <c r="E420" s="44" t="s">
        <v>81</v>
      </c>
      <c r="F420" s="41">
        <v>6</v>
      </c>
      <c r="G420" s="41">
        <v>1</v>
      </c>
      <c r="H420" s="41">
        <v>14</v>
      </c>
      <c r="I420" s="303">
        <v>73</v>
      </c>
      <c r="J420" s="304">
        <v>11</v>
      </c>
      <c r="K420" s="158">
        <f>(J420/G420)</f>
        <v>11</v>
      </c>
      <c r="L420" s="159">
        <f>I420/J420</f>
        <v>6.636363636363637</v>
      </c>
      <c r="M420" s="150">
        <f>18453+18044+4959+3105.5+2221+2795+1156+907+1188+3416+108+86+53+73</f>
        <v>56564.5</v>
      </c>
      <c r="N420" s="151">
        <f>1896+1808+596+485+314+510+270+216+297+854+33+15+9+11</f>
        <v>7314</v>
      </c>
      <c r="O420" s="105">
        <f>M420/N420</f>
        <v>7.733729833196609</v>
      </c>
      <c r="P420" s="345">
        <v>1</v>
      </c>
    </row>
    <row r="421" spans="1:16" ht="15">
      <c r="A421" s="66">
        <v>419</v>
      </c>
      <c r="B421" s="49" t="s">
        <v>52</v>
      </c>
      <c r="C421" s="40">
        <v>39738</v>
      </c>
      <c r="D421" s="45" t="s">
        <v>134</v>
      </c>
      <c r="E421" s="44" t="s">
        <v>133</v>
      </c>
      <c r="F421" s="41">
        <v>65</v>
      </c>
      <c r="G421" s="41">
        <v>1</v>
      </c>
      <c r="H421" s="41">
        <v>13</v>
      </c>
      <c r="I421" s="303">
        <v>72</v>
      </c>
      <c r="J421" s="304">
        <v>12</v>
      </c>
      <c r="K421" s="158">
        <f>(J421/G421)</f>
        <v>12</v>
      </c>
      <c r="L421" s="159">
        <f>I421/J421</f>
        <v>6</v>
      </c>
      <c r="M421" s="150">
        <f>502954.7+385847+127398.5+41644+35371+15703.5+9494+704+1120.5+952+891+302+72</f>
        <v>1122454.2</v>
      </c>
      <c r="N421" s="151">
        <f>51438+39611+14487+7156+6343+2488+1591+176+567+238+149+50+12</f>
        <v>124306</v>
      </c>
      <c r="O421" s="105">
        <f>M421/N421</f>
        <v>9.029766865638022</v>
      </c>
      <c r="P421" s="332"/>
    </row>
    <row r="422" spans="1:16" ht="15">
      <c r="A422" s="66">
        <v>420</v>
      </c>
      <c r="B422" s="49" t="s">
        <v>98</v>
      </c>
      <c r="C422" s="40">
        <v>39724</v>
      </c>
      <c r="D422" s="45" t="s">
        <v>134</v>
      </c>
      <c r="E422" s="44" t="s">
        <v>106</v>
      </c>
      <c r="F422" s="41">
        <v>2</v>
      </c>
      <c r="G422" s="41">
        <v>1</v>
      </c>
      <c r="H422" s="41">
        <v>11</v>
      </c>
      <c r="I422" s="303">
        <v>67</v>
      </c>
      <c r="J422" s="304">
        <v>10</v>
      </c>
      <c r="K422" s="158">
        <f>(J422/G422)</f>
        <v>10</v>
      </c>
      <c r="L422" s="159">
        <f>I422/J422</f>
        <v>6.7</v>
      </c>
      <c r="M422" s="150">
        <f>10160+3974+2322+148+808+1106+1364.5+963+712+38+67</f>
        <v>21662.5</v>
      </c>
      <c r="N422" s="151">
        <f>966+422+271+18+130+124+165+258+178+6+10</f>
        <v>2548</v>
      </c>
      <c r="O422" s="105">
        <f>M422/N422</f>
        <v>8.501766091051806</v>
      </c>
      <c r="P422" s="321"/>
    </row>
    <row r="423" spans="1:16" ht="15">
      <c r="A423" s="66">
        <v>421</v>
      </c>
      <c r="B423" s="49" t="s">
        <v>61</v>
      </c>
      <c r="C423" s="40">
        <v>39752</v>
      </c>
      <c r="D423" s="45" t="s">
        <v>134</v>
      </c>
      <c r="E423" s="44" t="s">
        <v>112</v>
      </c>
      <c r="F423" s="41">
        <v>27</v>
      </c>
      <c r="G423" s="41">
        <v>1</v>
      </c>
      <c r="H423" s="41">
        <v>10</v>
      </c>
      <c r="I423" s="303">
        <v>67</v>
      </c>
      <c r="J423" s="304">
        <v>10</v>
      </c>
      <c r="K423" s="158">
        <f>(J423/G423)</f>
        <v>10</v>
      </c>
      <c r="L423" s="159">
        <f>I423/J423</f>
        <v>6.7</v>
      </c>
      <c r="M423" s="150">
        <f>122635.5+51150+18262+4454+16388.5+1375+1246+204+334+67</f>
        <v>216116</v>
      </c>
      <c r="N423" s="151">
        <f>11002+4826+2043+624+2156+227+195+32+110+10</f>
        <v>21225</v>
      </c>
      <c r="O423" s="105">
        <f>M423/N423</f>
        <v>10.182143698468787</v>
      </c>
      <c r="P423" s="332"/>
    </row>
    <row r="424" spans="1:16" ht="15">
      <c r="A424" s="66">
        <v>422</v>
      </c>
      <c r="B424" s="363" t="s">
        <v>398</v>
      </c>
      <c r="C424" s="39">
        <v>39689</v>
      </c>
      <c r="D424" s="44" t="s">
        <v>4</v>
      </c>
      <c r="E424" s="44" t="s">
        <v>77</v>
      </c>
      <c r="F424" s="41">
        <v>4</v>
      </c>
      <c r="G424" s="41">
        <v>1</v>
      </c>
      <c r="H424" s="41">
        <v>38</v>
      </c>
      <c r="I424" s="267">
        <v>66</v>
      </c>
      <c r="J424" s="155">
        <v>9</v>
      </c>
      <c r="K424" s="155">
        <f>+J424/G424</f>
        <v>9</v>
      </c>
      <c r="L424" s="356">
        <f>+I424/J424</f>
        <v>7.333333333333333</v>
      </c>
      <c r="M424" s="267">
        <v>40311</v>
      </c>
      <c r="N424" s="155">
        <v>3411</v>
      </c>
      <c r="O424" s="357">
        <f>+M424/N424</f>
        <v>11.817941952506596</v>
      </c>
      <c r="P424" s="332"/>
    </row>
    <row r="425" spans="1:16" ht="15">
      <c r="A425" s="66">
        <v>423</v>
      </c>
      <c r="B425" s="281" t="s">
        <v>98</v>
      </c>
      <c r="C425" s="40">
        <v>39724</v>
      </c>
      <c r="D425" s="127" t="s">
        <v>134</v>
      </c>
      <c r="E425" s="261" t="s">
        <v>106</v>
      </c>
      <c r="F425" s="262">
        <v>2</v>
      </c>
      <c r="G425" s="262">
        <v>1</v>
      </c>
      <c r="H425" s="262">
        <v>12</v>
      </c>
      <c r="I425" s="273">
        <v>64</v>
      </c>
      <c r="J425" s="274">
        <v>10</v>
      </c>
      <c r="K425" s="275">
        <f>(J425/G425)</f>
        <v>10</v>
      </c>
      <c r="L425" s="159">
        <f>I425/J425</f>
        <v>6.4</v>
      </c>
      <c r="M425" s="276">
        <f>10160+3974+2322+148+808+1106+1364.5+963+712+38+67+64</f>
        <v>21726.5</v>
      </c>
      <c r="N425" s="277">
        <f>966+422+271+18+130+124+165+258+178+6+10+10</f>
        <v>2558</v>
      </c>
      <c r="O425" s="105">
        <f>M425/N425</f>
        <v>8.493549648162627</v>
      </c>
      <c r="P425" s="332"/>
    </row>
    <row r="426" spans="1:16" ht="15">
      <c r="A426" s="66">
        <v>424</v>
      </c>
      <c r="B426" s="293" t="s">
        <v>248</v>
      </c>
      <c r="C426" s="286">
        <v>39731</v>
      </c>
      <c r="D426" s="285" t="s">
        <v>136</v>
      </c>
      <c r="E426" s="285" t="s">
        <v>249</v>
      </c>
      <c r="F426" s="287">
        <v>131</v>
      </c>
      <c r="G426" s="287">
        <v>1</v>
      </c>
      <c r="H426" s="287">
        <v>13</v>
      </c>
      <c r="I426" s="288">
        <v>55</v>
      </c>
      <c r="J426" s="289">
        <v>11</v>
      </c>
      <c r="K426" s="290">
        <f>IF(I426&lt;&gt;0,J426/G426,"")</f>
        <v>11</v>
      </c>
      <c r="L426" s="291">
        <f>IF(I426&lt;&gt;0,I426/J426,"")</f>
        <v>5</v>
      </c>
      <c r="M426" s="292">
        <v>1232074</v>
      </c>
      <c r="N426" s="290">
        <v>157539</v>
      </c>
      <c r="O426" s="294">
        <v>7.83</v>
      </c>
      <c r="P426" s="321"/>
    </row>
    <row r="427" spans="1:16" ht="15">
      <c r="A427" s="66">
        <v>425</v>
      </c>
      <c r="B427" s="281" t="s">
        <v>52</v>
      </c>
      <c r="C427" s="40">
        <v>39738</v>
      </c>
      <c r="D427" s="127" t="s">
        <v>134</v>
      </c>
      <c r="E427" s="261" t="s">
        <v>133</v>
      </c>
      <c r="F427" s="262">
        <v>65</v>
      </c>
      <c r="G427" s="262">
        <v>1</v>
      </c>
      <c r="H427" s="262">
        <v>14</v>
      </c>
      <c r="I427" s="273">
        <v>55</v>
      </c>
      <c r="J427" s="274">
        <v>9</v>
      </c>
      <c r="K427" s="275">
        <f>(J427/G427)</f>
        <v>9</v>
      </c>
      <c r="L427" s="159">
        <f>I427/J427</f>
        <v>6.111111111111111</v>
      </c>
      <c r="M427" s="276">
        <f>502954.7+385847+127398.5+41644+35371+15703.5+9494+704+1120.5+952+891+302+72+55</f>
        <v>1122509.2</v>
      </c>
      <c r="N427" s="277">
        <f>51438+39611+14487+7156+6343+2488+1591+176+567+238+149+50+12+9</f>
        <v>124315</v>
      </c>
      <c r="O427" s="105">
        <f>M427/N427</f>
        <v>9.029555564493423</v>
      </c>
      <c r="P427" s="332">
        <v>1</v>
      </c>
    </row>
    <row r="428" spans="1:16" ht="15">
      <c r="A428" s="66">
        <v>426</v>
      </c>
      <c r="B428" s="293" t="s">
        <v>44</v>
      </c>
      <c r="C428" s="286">
        <v>39780</v>
      </c>
      <c r="D428" s="285" t="s">
        <v>131</v>
      </c>
      <c r="E428" s="285" t="s">
        <v>127</v>
      </c>
      <c r="F428" s="287">
        <v>121</v>
      </c>
      <c r="G428" s="287">
        <v>2</v>
      </c>
      <c r="H428" s="287">
        <v>14</v>
      </c>
      <c r="I428" s="288">
        <v>54</v>
      </c>
      <c r="J428" s="289">
        <v>9</v>
      </c>
      <c r="K428" s="290">
        <f>J428/G428</f>
        <v>4.5</v>
      </c>
      <c r="L428" s="291">
        <f>+I428/J428</f>
        <v>6</v>
      </c>
      <c r="M428" s="292">
        <v>3456633</v>
      </c>
      <c r="N428" s="290">
        <v>406065</v>
      </c>
      <c r="O428" s="294">
        <f aca="true" t="shared" si="26" ref="O428:O436">+M428/N428</f>
        <v>8.51251154371837</v>
      </c>
      <c r="P428" s="332"/>
    </row>
    <row r="429" spans="1:16" ht="15">
      <c r="A429" s="66">
        <v>427</v>
      </c>
      <c r="B429" s="293" t="s">
        <v>44</v>
      </c>
      <c r="C429" s="286">
        <v>39780</v>
      </c>
      <c r="D429" s="285" t="s">
        <v>131</v>
      </c>
      <c r="E429" s="285" t="s">
        <v>127</v>
      </c>
      <c r="F429" s="287">
        <v>121</v>
      </c>
      <c r="G429" s="287">
        <v>2</v>
      </c>
      <c r="H429" s="287">
        <v>15</v>
      </c>
      <c r="I429" s="288">
        <v>50</v>
      </c>
      <c r="J429" s="289">
        <v>10</v>
      </c>
      <c r="K429" s="290">
        <f>J429/G429</f>
        <v>5</v>
      </c>
      <c r="L429" s="291">
        <f>+I429/J429</f>
        <v>5</v>
      </c>
      <c r="M429" s="292">
        <v>3456683</v>
      </c>
      <c r="N429" s="290">
        <v>406075</v>
      </c>
      <c r="O429" s="294">
        <f t="shared" si="26"/>
        <v>8.512425044634611</v>
      </c>
      <c r="P429" s="330"/>
    </row>
    <row r="430" spans="1:16" ht="15">
      <c r="A430" s="66">
        <v>428</v>
      </c>
      <c r="B430" s="293" t="s">
        <v>145</v>
      </c>
      <c r="C430" s="286">
        <v>39801</v>
      </c>
      <c r="D430" s="285" t="s">
        <v>136</v>
      </c>
      <c r="E430" s="285" t="s">
        <v>146</v>
      </c>
      <c r="F430" s="287">
        <v>84</v>
      </c>
      <c r="G430" s="287">
        <v>1</v>
      </c>
      <c r="H430" s="287">
        <v>9</v>
      </c>
      <c r="I430" s="288">
        <v>50</v>
      </c>
      <c r="J430" s="289">
        <v>10</v>
      </c>
      <c r="K430" s="290">
        <f>IF(I430&lt;&gt;0,J430/G430,"")</f>
        <v>10</v>
      </c>
      <c r="L430" s="291">
        <f>IF(I430&lt;&gt;0,I430/J430,"")</f>
        <v>5</v>
      </c>
      <c r="M430" s="292">
        <f>369313.5+145108.5+43813+31258+11772.5+5392.5+2080+3225+50</f>
        <v>612013</v>
      </c>
      <c r="N430" s="290">
        <f>41017+16460+6346+5364+2357+1094+419+545+10</f>
        <v>73612</v>
      </c>
      <c r="O430" s="294">
        <f t="shared" si="26"/>
        <v>8.314038471988264</v>
      </c>
      <c r="P430" s="332"/>
    </row>
    <row r="431" spans="1:16" ht="15">
      <c r="A431" s="66">
        <v>429</v>
      </c>
      <c r="B431" s="363" t="s">
        <v>346</v>
      </c>
      <c r="C431" s="39">
        <v>8</v>
      </c>
      <c r="D431" s="44" t="s">
        <v>132</v>
      </c>
      <c r="E431" s="44" t="s">
        <v>21</v>
      </c>
      <c r="F431" s="41">
        <v>39</v>
      </c>
      <c r="G431" s="41">
        <v>1</v>
      </c>
      <c r="H431" s="41">
        <v>8</v>
      </c>
      <c r="I431" s="267">
        <v>48</v>
      </c>
      <c r="J431" s="155">
        <v>12</v>
      </c>
      <c r="K431" s="155">
        <f>J431/G431</f>
        <v>12</v>
      </c>
      <c r="L431" s="356">
        <f>I431/J431</f>
        <v>4</v>
      </c>
      <c r="M431" s="267">
        <f>155297+102243.5+44566+14322.5+10689.5+2748+1324+20+48</f>
        <v>331258.5</v>
      </c>
      <c r="N431" s="155">
        <f>14452+9703+4988+2246+1834+340+173+5+12</f>
        <v>33753</v>
      </c>
      <c r="O431" s="357">
        <f t="shared" si="26"/>
        <v>9.814194293840547</v>
      </c>
      <c r="P431" s="332">
        <v>1</v>
      </c>
    </row>
    <row r="432" spans="1:16" ht="15">
      <c r="A432" s="66">
        <v>430</v>
      </c>
      <c r="B432" s="363" t="s">
        <v>343</v>
      </c>
      <c r="C432" s="39">
        <v>39577</v>
      </c>
      <c r="D432" s="44" t="s">
        <v>92</v>
      </c>
      <c r="E432" s="44" t="s">
        <v>344</v>
      </c>
      <c r="F432" s="41">
        <v>26</v>
      </c>
      <c r="G432" s="41">
        <v>2</v>
      </c>
      <c r="H432" s="41">
        <v>13</v>
      </c>
      <c r="I432" s="267">
        <v>44</v>
      </c>
      <c r="J432" s="155">
        <v>11</v>
      </c>
      <c r="K432" s="155">
        <f>J432/G432</f>
        <v>5.5</v>
      </c>
      <c r="L432" s="356">
        <f>I432/J432</f>
        <v>4</v>
      </c>
      <c r="M432" s="267">
        <v>115578.42</v>
      </c>
      <c r="N432" s="155">
        <v>13497</v>
      </c>
      <c r="O432" s="357">
        <f t="shared" si="26"/>
        <v>8.563267392753945</v>
      </c>
      <c r="P432" s="332"/>
    </row>
    <row r="433" spans="1:16" ht="15">
      <c r="A433" s="66">
        <v>431</v>
      </c>
      <c r="B433" s="293" t="s">
        <v>149</v>
      </c>
      <c r="C433" s="286">
        <v>39801</v>
      </c>
      <c r="D433" s="285" t="s">
        <v>4</v>
      </c>
      <c r="E433" s="285" t="s">
        <v>77</v>
      </c>
      <c r="F433" s="287">
        <v>19</v>
      </c>
      <c r="G433" s="287">
        <v>1</v>
      </c>
      <c r="H433" s="287">
        <v>9</v>
      </c>
      <c r="I433" s="288">
        <v>43</v>
      </c>
      <c r="J433" s="289">
        <v>7</v>
      </c>
      <c r="K433" s="290">
        <f>+J433/G433</f>
        <v>7</v>
      </c>
      <c r="L433" s="291">
        <f>+I433/J433</f>
        <v>6.142857142857143</v>
      </c>
      <c r="M433" s="292">
        <v>140010</v>
      </c>
      <c r="N433" s="290">
        <v>13242</v>
      </c>
      <c r="O433" s="294">
        <f t="shared" si="26"/>
        <v>10.573176257362936</v>
      </c>
      <c r="P433" s="321"/>
    </row>
    <row r="434" spans="1:16" ht="15">
      <c r="A434" s="66">
        <v>432</v>
      </c>
      <c r="B434" s="293" t="s">
        <v>20</v>
      </c>
      <c r="C434" s="286">
        <v>39773</v>
      </c>
      <c r="D434" s="285" t="s">
        <v>132</v>
      </c>
      <c r="E434" s="285" t="s">
        <v>21</v>
      </c>
      <c r="F434" s="287">
        <v>1</v>
      </c>
      <c r="G434" s="287">
        <v>1</v>
      </c>
      <c r="H434" s="287">
        <v>7</v>
      </c>
      <c r="I434" s="292">
        <v>42</v>
      </c>
      <c r="J434" s="290">
        <v>7</v>
      </c>
      <c r="K434" s="290">
        <f>J434/G434</f>
        <v>7</v>
      </c>
      <c r="L434" s="291">
        <f>I434/J434</f>
        <v>6</v>
      </c>
      <c r="M434" s="292">
        <f>43532.5+13875+1400+341+344+969+42</f>
        <v>60503.5</v>
      </c>
      <c r="N434" s="290">
        <f>3969+1359+251+52+61+210+7</f>
        <v>5909</v>
      </c>
      <c r="O434" s="294">
        <f t="shared" si="26"/>
        <v>10.239211372482654</v>
      </c>
      <c r="P434" s="321"/>
    </row>
    <row r="435" spans="1:16" ht="15">
      <c r="A435" s="66">
        <v>433</v>
      </c>
      <c r="B435" s="363" t="s">
        <v>271</v>
      </c>
      <c r="C435" s="39">
        <v>39724</v>
      </c>
      <c r="D435" s="44" t="s">
        <v>132</v>
      </c>
      <c r="E435" s="44" t="s">
        <v>107</v>
      </c>
      <c r="F435" s="41">
        <v>40</v>
      </c>
      <c r="G435" s="41">
        <v>1</v>
      </c>
      <c r="H435" s="41">
        <v>15</v>
      </c>
      <c r="I435" s="267">
        <v>40</v>
      </c>
      <c r="J435" s="155">
        <v>7</v>
      </c>
      <c r="K435" s="155">
        <f>J435/G435</f>
        <v>7</v>
      </c>
      <c r="L435" s="356">
        <f>I435/J435</f>
        <v>5.714285714285714</v>
      </c>
      <c r="M435" s="267">
        <f>192113+96740+52854+14954+6896+10470+13434+2509+289+62+1274+1363+35+40</f>
        <v>393033</v>
      </c>
      <c r="N435" s="155">
        <f>19993+10602+7693+2633+1151+1896+3059+485+49+7+235+227+5+7</f>
        <v>48042</v>
      </c>
      <c r="O435" s="357">
        <f t="shared" si="26"/>
        <v>8.181029099537904</v>
      </c>
      <c r="P435" s="321"/>
    </row>
    <row r="436" spans="1:16" ht="15">
      <c r="A436" s="66">
        <v>434</v>
      </c>
      <c r="B436" s="53" t="s">
        <v>149</v>
      </c>
      <c r="C436" s="39">
        <v>39801</v>
      </c>
      <c r="D436" s="127" t="s">
        <v>4</v>
      </c>
      <c r="E436" s="127" t="s">
        <v>77</v>
      </c>
      <c r="F436" s="50">
        <v>19</v>
      </c>
      <c r="G436" s="50">
        <v>1</v>
      </c>
      <c r="H436" s="50">
        <v>6</v>
      </c>
      <c r="I436" s="273">
        <v>40</v>
      </c>
      <c r="J436" s="274">
        <v>6</v>
      </c>
      <c r="K436" s="271">
        <f>+J436/G436</f>
        <v>6</v>
      </c>
      <c r="L436" s="153">
        <f>+I436/J436</f>
        <v>6.666666666666667</v>
      </c>
      <c r="M436" s="276">
        <v>137893</v>
      </c>
      <c r="N436" s="277">
        <v>12890</v>
      </c>
      <c r="O436" s="104">
        <f t="shared" si="26"/>
        <v>10.697672614429791</v>
      </c>
      <c r="P436" s="321">
        <v>1</v>
      </c>
    </row>
    <row r="437" spans="1:16" ht="15">
      <c r="A437" s="66">
        <v>435</v>
      </c>
      <c r="B437" s="234" t="s">
        <v>98</v>
      </c>
      <c r="C437" s="229">
        <v>39724</v>
      </c>
      <c r="D437" s="217" t="s">
        <v>134</v>
      </c>
      <c r="E437" s="227" t="s">
        <v>106</v>
      </c>
      <c r="F437" s="228">
        <v>2</v>
      </c>
      <c r="G437" s="228">
        <v>1</v>
      </c>
      <c r="H437" s="228">
        <v>10</v>
      </c>
      <c r="I437" s="297">
        <v>38</v>
      </c>
      <c r="J437" s="298">
        <v>6</v>
      </c>
      <c r="K437" s="223">
        <f>(J437/G437)</f>
        <v>6</v>
      </c>
      <c r="L437" s="224">
        <f>I437/J437</f>
        <v>6.333333333333333</v>
      </c>
      <c r="M437" s="225">
        <f>10160+3974+2322+148+808+1106+1364.5+963+712+38</f>
        <v>21595.5</v>
      </c>
      <c r="N437" s="226">
        <f>966+422+271+18+130+124+165+258+178+6</f>
        <v>2538</v>
      </c>
      <c r="O437" s="233">
        <f>M437/N437</f>
        <v>8.50886524822695</v>
      </c>
      <c r="P437" s="321">
        <v>1</v>
      </c>
    </row>
    <row r="438" spans="1:16" ht="15">
      <c r="A438" s="66">
        <v>436</v>
      </c>
      <c r="B438" s="244" t="s">
        <v>44</v>
      </c>
      <c r="C438" s="40">
        <v>39780</v>
      </c>
      <c r="D438" s="65" t="s">
        <v>131</v>
      </c>
      <c r="E438" s="44" t="s">
        <v>127</v>
      </c>
      <c r="F438" s="41">
        <v>121</v>
      </c>
      <c r="G438" s="41">
        <v>1</v>
      </c>
      <c r="H438" s="41">
        <v>28</v>
      </c>
      <c r="I438" s="307">
        <v>36</v>
      </c>
      <c r="J438" s="308">
        <v>9</v>
      </c>
      <c r="K438" s="155">
        <f>J438/G438</f>
        <v>9</v>
      </c>
      <c r="L438" s="156">
        <f>+I438/J438</f>
        <v>4</v>
      </c>
      <c r="M438" s="154">
        <v>3471128</v>
      </c>
      <c r="N438" s="155">
        <v>409946</v>
      </c>
      <c r="O438" s="103">
        <f>+M438/N438</f>
        <v>8.467281056529396</v>
      </c>
      <c r="P438" s="332"/>
    </row>
    <row r="439" spans="1:16" ht="15">
      <c r="A439" s="66">
        <v>437</v>
      </c>
      <c r="B439" s="234" t="s">
        <v>61</v>
      </c>
      <c r="C439" s="229">
        <v>39752</v>
      </c>
      <c r="D439" s="217" t="s">
        <v>134</v>
      </c>
      <c r="E439" s="227" t="s">
        <v>112</v>
      </c>
      <c r="F439" s="228">
        <v>27</v>
      </c>
      <c r="G439" s="228">
        <v>1</v>
      </c>
      <c r="H439" s="228">
        <v>11</v>
      </c>
      <c r="I439" s="297">
        <v>36</v>
      </c>
      <c r="J439" s="298">
        <v>6</v>
      </c>
      <c r="K439" s="223">
        <f>(J439/G439)</f>
        <v>6</v>
      </c>
      <c r="L439" s="224">
        <f>I439/J439</f>
        <v>6</v>
      </c>
      <c r="M439" s="225">
        <f>122635.5+51150+18262+4454+16388.5+1375+1246+204+334+67+36</f>
        <v>216152</v>
      </c>
      <c r="N439" s="226">
        <f>11002+4826+2043+624+2156+227+195+32+110+10+6</f>
        <v>21231</v>
      </c>
      <c r="O439" s="233">
        <f>M439/N439</f>
        <v>10.180961801139842</v>
      </c>
      <c r="P439" s="321">
        <v>1</v>
      </c>
    </row>
    <row r="440" spans="1:16" ht="15">
      <c r="A440" s="66">
        <v>438</v>
      </c>
      <c r="B440" s="363" t="s">
        <v>271</v>
      </c>
      <c r="C440" s="39">
        <v>39724</v>
      </c>
      <c r="D440" s="44" t="s">
        <v>132</v>
      </c>
      <c r="E440" s="44" t="s">
        <v>107</v>
      </c>
      <c r="F440" s="41">
        <v>1</v>
      </c>
      <c r="G440" s="41">
        <v>1</v>
      </c>
      <c r="H440" s="41">
        <v>14</v>
      </c>
      <c r="I440" s="267">
        <v>35</v>
      </c>
      <c r="J440" s="155">
        <v>5</v>
      </c>
      <c r="K440" s="155">
        <f aca="true" t="shared" si="27" ref="K440:K449">J440/G440</f>
        <v>5</v>
      </c>
      <c r="L440" s="356">
        <f>I440/J440</f>
        <v>7</v>
      </c>
      <c r="M440" s="267">
        <f>192113+96740+52854+14954+6896+10470+13434+2509+289+62+1274+1363+35</f>
        <v>392993</v>
      </c>
      <c r="N440" s="155">
        <f>19993+10602+7693+2633+1151+1896+3059+485+49+7+235+227+5</f>
        <v>48035</v>
      </c>
      <c r="O440" s="357">
        <f aca="true" t="shared" si="28" ref="O440:O457">+M440/N440</f>
        <v>8.181388570833768</v>
      </c>
      <c r="P440" s="321">
        <v>1</v>
      </c>
    </row>
    <row r="441" spans="1:16" ht="15">
      <c r="A441" s="66">
        <v>439</v>
      </c>
      <c r="B441" s="363" t="s">
        <v>70</v>
      </c>
      <c r="C441" s="39">
        <v>39766</v>
      </c>
      <c r="D441" s="44" t="s">
        <v>132</v>
      </c>
      <c r="E441" s="44" t="s">
        <v>345</v>
      </c>
      <c r="F441" s="41">
        <v>1</v>
      </c>
      <c r="G441" s="41">
        <v>1</v>
      </c>
      <c r="H441" s="41">
        <v>22</v>
      </c>
      <c r="I441" s="267">
        <v>28</v>
      </c>
      <c r="J441" s="155">
        <v>7</v>
      </c>
      <c r="K441" s="155">
        <f t="shared" si="27"/>
        <v>7</v>
      </c>
      <c r="L441" s="356">
        <f>I441/J441</f>
        <v>4</v>
      </c>
      <c r="M441" s="267">
        <f>191668+16358.5+8305+0.5+19699.5+16705.5+7289+4467+3138+2267+1882+6536+9273+1289+852+1124+2416+1164+28</f>
        <v>294462</v>
      </c>
      <c r="N441" s="155">
        <f>10324+8249+7871+7121+4755+3362+1751+2958+2636+1185+800+596+440+265+961+1648+202+172+213+528+291+7</f>
        <v>56335</v>
      </c>
      <c r="O441" s="357">
        <f t="shared" si="28"/>
        <v>5.226981450252951</v>
      </c>
      <c r="P441" s="321"/>
    </row>
    <row r="442" spans="1:16" ht="15">
      <c r="A442" s="66">
        <v>440</v>
      </c>
      <c r="B442" s="363" t="s">
        <v>44</v>
      </c>
      <c r="C442" s="39">
        <v>39780</v>
      </c>
      <c r="D442" s="44" t="s">
        <v>131</v>
      </c>
      <c r="E442" s="44" t="s">
        <v>127</v>
      </c>
      <c r="F442" s="41">
        <v>121</v>
      </c>
      <c r="G442" s="41">
        <v>1</v>
      </c>
      <c r="H442" s="41">
        <v>27</v>
      </c>
      <c r="I442" s="267">
        <v>24</v>
      </c>
      <c r="J442" s="155">
        <v>6</v>
      </c>
      <c r="K442" s="155">
        <f t="shared" si="27"/>
        <v>6</v>
      </c>
      <c r="L442" s="356">
        <f>+I442/J442</f>
        <v>4</v>
      </c>
      <c r="M442" s="267">
        <v>3471092</v>
      </c>
      <c r="N442" s="155">
        <v>409937</v>
      </c>
      <c r="O442" s="357">
        <f t="shared" si="28"/>
        <v>8.467379133866912</v>
      </c>
      <c r="P442" s="321">
        <v>1</v>
      </c>
    </row>
    <row r="443" spans="1:16" ht="15">
      <c r="A443" s="66">
        <v>441</v>
      </c>
      <c r="B443" s="363" t="s">
        <v>347</v>
      </c>
      <c r="C443" s="39">
        <v>39388</v>
      </c>
      <c r="D443" s="44" t="s">
        <v>132</v>
      </c>
      <c r="E443" s="44" t="s">
        <v>348</v>
      </c>
      <c r="F443" s="41">
        <v>1</v>
      </c>
      <c r="G443" s="41">
        <v>1</v>
      </c>
      <c r="H443" s="41">
        <v>9</v>
      </c>
      <c r="I443" s="267">
        <v>20</v>
      </c>
      <c r="J443" s="155">
        <v>5</v>
      </c>
      <c r="K443" s="155">
        <f t="shared" si="27"/>
        <v>5</v>
      </c>
      <c r="L443" s="356">
        <f aca="true" t="shared" si="29" ref="L443:L448">I443/J443</f>
        <v>4</v>
      </c>
      <c r="M443" s="267">
        <f>31108.5+12339+4008+1827+3573.5+1219.5+765.5+108+20</f>
        <v>54969</v>
      </c>
      <c r="N443" s="155">
        <f>3175+1380+493+264+592+165+99+18+5</f>
        <v>6191</v>
      </c>
      <c r="O443" s="357">
        <f t="shared" si="28"/>
        <v>8.878856404458084</v>
      </c>
      <c r="P443" s="321"/>
    </row>
    <row r="444" spans="1:16" ht="15">
      <c r="A444" s="66">
        <v>442</v>
      </c>
      <c r="B444" s="363" t="s">
        <v>346</v>
      </c>
      <c r="C444" s="39">
        <v>39752</v>
      </c>
      <c r="D444" s="44" t="s">
        <v>132</v>
      </c>
      <c r="E444" s="44" t="s">
        <v>21</v>
      </c>
      <c r="F444" s="41">
        <v>1</v>
      </c>
      <c r="G444" s="41">
        <v>1</v>
      </c>
      <c r="H444" s="41">
        <v>7</v>
      </c>
      <c r="I444" s="267">
        <v>20</v>
      </c>
      <c r="J444" s="155">
        <v>5</v>
      </c>
      <c r="K444" s="155">
        <f t="shared" si="27"/>
        <v>5</v>
      </c>
      <c r="L444" s="356">
        <f t="shared" si="29"/>
        <v>4</v>
      </c>
      <c r="M444" s="267">
        <f>155297+102243.5+44566+14322.5+10689.5+2748+1324+20</f>
        <v>331210.5</v>
      </c>
      <c r="N444" s="155">
        <f>14452+9703+4988+2246+1834+340+173+5</f>
        <v>33741</v>
      </c>
      <c r="O444" s="357">
        <f t="shared" si="28"/>
        <v>9.816262114341603</v>
      </c>
      <c r="P444" s="332"/>
    </row>
    <row r="445" spans="1:16" ht="15">
      <c r="A445" s="66">
        <v>443</v>
      </c>
      <c r="B445" s="49">
        <v>120</v>
      </c>
      <c r="C445" s="39">
        <v>39493</v>
      </c>
      <c r="D445" s="44" t="s">
        <v>132</v>
      </c>
      <c r="E445" s="44" t="s">
        <v>94</v>
      </c>
      <c r="F445" s="41">
        <v>42</v>
      </c>
      <c r="G445" s="41">
        <v>179</v>
      </c>
      <c r="H445" s="41">
        <v>1</v>
      </c>
      <c r="I445" s="267">
        <v>20</v>
      </c>
      <c r="J445" s="155">
        <v>5</v>
      </c>
      <c r="K445" s="155">
        <f t="shared" si="27"/>
        <v>0.027932960893854747</v>
      </c>
      <c r="L445" s="356">
        <f t="shared" si="29"/>
        <v>4</v>
      </c>
      <c r="M445" s="267">
        <f>940515+844172.5+750489+533469+396399.5+362067.5+228159+211115.5+153941.5+48+73076.5+60280+47290.5+46690+13789+13717.5+9809+2709.5+1288.5+22597.5+10821.5+12218+7313+44774.5+111294+3629+0.5+41599.5+20470.5+5217-3719.5+10067+1376+10253+13391+15635+48+500+2820+500+666+1758+12+12+20</f>
        <v>5022300.5</v>
      </c>
      <c r="N445" s="155">
        <f>135921+127724+124508+97493+101422+99063+62455+57586+44490+6+19837+19877+15923+15427+4822+4847+3310+822+280+7405+3528+4050+2428+14923+37098+1709+6180+3303+3114+328+3418+4411+5191+12+100+806+100+222+586+3+3+5</f>
        <v>1034736</v>
      </c>
      <c r="O445" s="357">
        <f t="shared" si="28"/>
        <v>4.853702297011025</v>
      </c>
      <c r="P445" s="332">
        <v>1</v>
      </c>
    </row>
    <row r="446" spans="1:16" ht="15">
      <c r="A446" s="66">
        <v>444</v>
      </c>
      <c r="B446" s="49" t="s">
        <v>423</v>
      </c>
      <c r="C446" s="39">
        <v>38450</v>
      </c>
      <c r="D446" s="44" t="s">
        <v>92</v>
      </c>
      <c r="E446" s="44" t="s">
        <v>107</v>
      </c>
      <c r="F446" s="41">
        <v>18</v>
      </c>
      <c r="G446" s="41">
        <v>1</v>
      </c>
      <c r="H446" s="41">
        <v>25</v>
      </c>
      <c r="I446" s="154">
        <v>20</v>
      </c>
      <c r="J446" s="155">
        <v>4</v>
      </c>
      <c r="K446" s="155">
        <f t="shared" si="27"/>
        <v>4</v>
      </c>
      <c r="L446" s="156">
        <f t="shared" si="29"/>
        <v>5</v>
      </c>
      <c r="M446" s="154">
        <v>94138.5</v>
      </c>
      <c r="N446" s="155">
        <v>14857</v>
      </c>
      <c r="O446" s="103">
        <f t="shared" si="28"/>
        <v>6.336306118328061</v>
      </c>
      <c r="P446" s="387"/>
    </row>
    <row r="447" spans="1:16" ht="15">
      <c r="A447" s="66">
        <v>445</v>
      </c>
      <c r="B447" s="49" t="s">
        <v>44</v>
      </c>
      <c r="C447" s="39">
        <v>39780</v>
      </c>
      <c r="D447" s="44" t="s">
        <v>131</v>
      </c>
      <c r="E447" s="44" t="s">
        <v>127</v>
      </c>
      <c r="F447" s="41">
        <v>121</v>
      </c>
      <c r="G447" s="41">
        <v>1</v>
      </c>
      <c r="H447" s="41">
        <v>29</v>
      </c>
      <c r="I447" s="154">
        <v>16</v>
      </c>
      <c r="J447" s="155">
        <v>4</v>
      </c>
      <c r="K447" s="155">
        <f t="shared" si="27"/>
        <v>4</v>
      </c>
      <c r="L447" s="156">
        <f t="shared" si="29"/>
        <v>4</v>
      </c>
      <c r="M447" s="154">
        <v>3471144</v>
      </c>
      <c r="N447" s="155">
        <v>409950</v>
      </c>
      <c r="O447" s="103">
        <f t="shared" si="28"/>
        <v>8.467237467983901</v>
      </c>
      <c r="P447" s="321"/>
    </row>
    <row r="448" spans="1:16" ht="15">
      <c r="A448" s="66">
        <v>446</v>
      </c>
      <c r="B448" s="363" t="s">
        <v>326</v>
      </c>
      <c r="C448" s="39">
        <v>39766</v>
      </c>
      <c r="D448" s="44" t="s">
        <v>132</v>
      </c>
      <c r="E448" s="44" t="s">
        <v>107</v>
      </c>
      <c r="F448" s="41">
        <v>18</v>
      </c>
      <c r="G448" s="41">
        <v>1</v>
      </c>
      <c r="H448" s="41">
        <v>8</v>
      </c>
      <c r="I448" s="267">
        <v>16</v>
      </c>
      <c r="J448" s="155">
        <v>4</v>
      </c>
      <c r="K448" s="155">
        <f t="shared" si="27"/>
        <v>4</v>
      </c>
      <c r="L448" s="356">
        <f t="shared" si="29"/>
        <v>4</v>
      </c>
      <c r="M448" s="267">
        <f>155654+80570.5+22675+7882+15+246+8+16</f>
        <v>267066.5</v>
      </c>
      <c r="N448" s="155">
        <f>15277+7852+3194+1551+3+41+2+4</f>
        <v>27924</v>
      </c>
      <c r="O448" s="357">
        <f t="shared" si="28"/>
        <v>9.564048846870076</v>
      </c>
      <c r="P448" s="321"/>
    </row>
    <row r="449" spans="1:16" ht="15">
      <c r="A449" s="66">
        <v>447</v>
      </c>
      <c r="B449" s="293" t="s">
        <v>44</v>
      </c>
      <c r="C449" s="286">
        <v>39780</v>
      </c>
      <c r="D449" s="285" t="s">
        <v>131</v>
      </c>
      <c r="E449" s="285" t="s">
        <v>127</v>
      </c>
      <c r="F449" s="287">
        <v>121</v>
      </c>
      <c r="G449" s="287">
        <v>1</v>
      </c>
      <c r="H449" s="287">
        <v>16</v>
      </c>
      <c r="I449" s="288">
        <v>15</v>
      </c>
      <c r="J449" s="289">
        <v>3</v>
      </c>
      <c r="K449" s="290">
        <f t="shared" si="27"/>
        <v>3</v>
      </c>
      <c r="L449" s="291">
        <f>+I449/J449</f>
        <v>5</v>
      </c>
      <c r="M449" s="292">
        <v>3456698</v>
      </c>
      <c r="N449" s="290">
        <v>406078</v>
      </c>
      <c r="O449" s="294">
        <f t="shared" si="28"/>
        <v>8.512399095740227</v>
      </c>
      <c r="P449" s="331"/>
    </row>
    <row r="450" spans="1:16" ht="15">
      <c r="A450" s="66">
        <v>448</v>
      </c>
      <c r="B450" s="293" t="s">
        <v>49</v>
      </c>
      <c r="C450" s="286">
        <v>39710</v>
      </c>
      <c r="D450" s="285" t="s">
        <v>132</v>
      </c>
      <c r="E450" s="285" t="s">
        <v>179</v>
      </c>
      <c r="F450" s="287">
        <v>1</v>
      </c>
      <c r="G450" s="287">
        <v>1</v>
      </c>
      <c r="H450" s="287">
        <v>21</v>
      </c>
      <c r="I450" s="288">
        <v>15</v>
      </c>
      <c r="J450" s="289">
        <v>3</v>
      </c>
      <c r="K450" s="290">
        <f>(J450/G450)</f>
        <v>3</v>
      </c>
      <c r="L450" s="291">
        <f>I450/J450</f>
        <v>5</v>
      </c>
      <c r="M450" s="292">
        <f>152576+127511+68854.5+21974+10111.5+7103+7290+0.5+1014+3149+989+3524+0.5+3768+138+2528+257+351.5+573.5+184+3655+10+15</f>
        <v>415577</v>
      </c>
      <c r="N450" s="290">
        <f>50018+825+47+65+137+67+1215+2+3</f>
        <v>52379</v>
      </c>
      <c r="O450" s="294">
        <f t="shared" si="28"/>
        <v>7.934038450524065</v>
      </c>
      <c r="P450" s="331"/>
    </row>
    <row r="451" spans="1:16" ht="15">
      <c r="A451" s="66">
        <v>449</v>
      </c>
      <c r="B451" s="49">
        <v>120</v>
      </c>
      <c r="C451" s="39">
        <v>39493</v>
      </c>
      <c r="D451" s="44" t="s">
        <v>132</v>
      </c>
      <c r="E451" s="44" t="s">
        <v>94</v>
      </c>
      <c r="F451" s="41">
        <v>179</v>
      </c>
      <c r="G451" s="41">
        <v>1</v>
      </c>
      <c r="H451" s="41">
        <v>41</v>
      </c>
      <c r="I451" s="307">
        <v>12</v>
      </c>
      <c r="J451" s="308">
        <v>3</v>
      </c>
      <c r="K451" s="155">
        <f aca="true" t="shared" si="30" ref="K451:K457">J451/G451</f>
        <v>3</v>
      </c>
      <c r="L451" s="156">
        <f>I451/J451</f>
        <v>4</v>
      </c>
      <c r="M451" s="154">
        <f>940515+844172.5+750489+533469+396399.5+362067.5+228159+211115.5+153941.5+48+73076.5+60280+47290.5+46690+13789+13717.5+9809+2709.5+1288.5+22597.5+10821.5+12218+7313+44774.5+111294+3629+0.5+41599.5+20470.5+5217-3719.5+10067+1376+10253+13391+15635+48+500+2820+500+666+1758+12+12</f>
        <v>5022280.5</v>
      </c>
      <c r="N451" s="155">
        <f>135921+127724+124508+97493+101422+99063+62455+57586+44490+6+19837+19877+15923+15427+4822+4847+3310+822+280+7405+3528+4050+2428+14923+37098+1709+6180+3303+3114+328+3418+4411+5191+12+100+806+100+222+586+3+3</f>
        <v>1034731</v>
      </c>
      <c r="O451" s="103">
        <f t="shared" si="28"/>
        <v>4.853706422248874</v>
      </c>
      <c r="P451" s="345"/>
    </row>
    <row r="452" spans="1:16" ht="15">
      <c r="A452" s="66">
        <v>450</v>
      </c>
      <c r="B452" s="293">
        <v>120</v>
      </c>
      <c r="C452" s="286">
        <v>39493</v>
      </c>
      <c r="D452" s="285" t="s">
        <v>132</v>
      </c>
      <c r="E452" s="285" t="s">
        <v>94</v>
      </c>
      <c r="F452" s="287">
        <v>179</v>
      </c>
      <c r="G452" s="287">
        <v>1</v>
      </c>
      <c r="H452" s="287">
        <v>40</v>
      </c>
      <c r="I452" s="292">
        <v>12</v>
      </c>
      <c r="J452" s="290">
        <v>3</v>
      </c>
      <c r="K452" s="290">
        <f t="shared" si="30"/>
        <v>3</v>
      </c>
      <c r="L452" s="291">
        <f>I452/J452</f>
        <v>4</v>
      </c>
      <c r="M452" s="292">
        <f>940515+844172.5+750489+533469+396399.5+362067.5+228159+211115.5+153941.5+48+73076.5+60280+47290.5+46690+13789+13717.5+9809+2709.5+1288.5+22597.5+10821.5+12218+7313+44774.5+111294+3629+0.5+41599.5+20470.5+5217-3719.5+10067+1376+10253+13391+15635+48+500+2820+500+666+1758+12</f>
        <v>5022268.5</v>
      </c>
      <c r="N452" s="290">
        <f>135921+127724+124508+97493+101422+99063+62455+57586+44490+6+19837+19877+15923+15427+4822+4847+3310+822+280+7405+3528+4050+2428+14923+37098+1709+6180+3303+3114+328+3418+4411+5191+12+100+806+100+222+586+3</f>
        <v>1034728</v>
      </c>
      <c r="O452" s="294">
        <f t="shared" si="28"/>
        <v>4.85370889741072</v>
      </c>
      <c r="P452" s="332"/>
    </row>
    <row r="453" spans="1:16" ht="15">
      <c r="A453" s="66">
        <v>451</v>
      </c>
      <c r="B453" s="293" t="s">
        <v>49</v>
      </c>
      <c r="C453" s="286">
        <v>39710</v>
      </c>
      <c r="D453" s="285" t="s">
        <v>132</v>
      </c>
      <c r="E453" s="285" t="s">
        <v>179</v>
      </c>
      <c r="F453" s="287">
        <v>1</v>
      </c>
      <c r="G453" s="287">
        <v>1</v>
      </c>
      <c r="H453" s="287">
        <v>23</v>
      </c>
      <c r="I453" s="288">
        <v>10</v>
      </c>
      <c r="J453" s="289">
        <v>2</v>
      </c>
      <c r="K453" s="290">
        <f t="shared" si="30"/>
        <v>2</v>
      </c>
      <c r="L453" s="291">
        <f>IF(I453&lt;&gt;0,I453/J453,"")</f>
        <v>5</v>
      </c>
      <c r="M453" s="292">
        <v>415587</v>
      </c>
      <c r="N453" s="290">
        <v>52381</v>
      </c>
      <c r="O453" s="294">
        <f t="shared" si="28"/>
        <v>7.933926423703251</v>
      </c>
      <c r="P453" s="332"/>
    </row>
    <row r="454" spans="1:16" ht="15">
      <c r="A454" s="66">
        <v>452</v>
      </c>
      <c r="B454" s="293" t="s">
        <v>49</v>
      </c>
      <c r="C454" s="286">
        <v>39710</v>
      </c>
      <c r="D454" s="285" t="s">
        <v>132</v>
      </c>
      <c r="E454" s="285" t="s">
        <v>179</v>
      </c>
      <c r="F454" s="287">
        <v>1</v>
      </c>
      <c r="G454" s="287">
        <v>1</v>
      </c>
      <c r="H454" s="287">
        <v>20</v>
      </c>
      <c r="I454" s="288">
        <v>10</v>
      </c>
      <c r="J454" s="289">
        <v>2</v>
      </c>
      <c r="K454" s="290">
        <f t="shared" si="30"/>
        <v>2</v>
      </c>
      <c r="L454" s="291">
        <f>I454/J454</f>
        <v>5</v>
      </c>
      <c r="M454" s="292">
        <f>152576+127511+68854.5+21974+10111.5+7103+7290+0.5+1014+3149+989+3524+0.5+3768+138+2528+257+351.5+573.5+184+3655+10</f>
        <v>415562</v>
      </c>
      <c r="N454" s="290">
        <f>50018+825+47+65+137+67+1215+2</f>
        <v>52376</v>
      </c>
      <c r="O454" s="294">
        <f t="shared" si="28"/>
        <v>7.934206506797007</v>
      </c>
      <c r="P454" s="332"/>
    </row>
    <row r="455" spans="1:16" ht="15">
      <c r="A455" s="66">
        <v>453</v>
      </c>
      <c r="B455" s="363" t="s">
        <v>347</v>
      </c>
      <c r="C455" s="39">
        <v>39388</v>
      </c>
      <c r="D455" s="44" t="s">
        <v>132</v>
      </c>
      <c r="E455" s="44" t="s">
        <v>348</v>
      </c>
      <c r="F455" s="41">
        <v>22</v>
      </c>
      <c r="G455" s="41">
        <v>1</v>
      </c>
      <c r="H455" s="41">
        <v>10</v>
      </c>
      <c r="I455" s="267">
        <v>8</v>
      </c>
      <c r="J455" s="155">
        <v>2</v>
      </c>
      <c r="K455" s="155">
        <f t="shared" si="30"/>
        <v>2</v>
      </c>
      <c r="L455" s="356">
        <f>I455/J455</f>
        <v>4</v>
      </c>
      <c r="M455" s="267">
        <f>31108.5+12339+4008+1827+3573.5+1219.5+765.5+108+20+8</f>
        <v>54977</v>
      </c>
      <c r="N455" s="155">
        <f>3175+1380+493+264+592+165+99+18+5+2</f>
        <v>6193</v>
      </c>
      <c r="O455" s="357">
        <f t="shared" si="28"/>
        <v>8.877280800904247</v>
      </c>
      <c r="P455" s="321"/>
    </row>
    <row r="456" spans="1:16" ht="15">
      <c r="A456" s="66">
        <v>454</v>
      </c>
      <c r="B456" s="363" t="s">
        <v>343</v>
      </c>
      <c r="C456" s="39">
        <v>39577</v>
      </c>
      <c r="D456" s="44" t="s">
        <v>92</v>
      </c>
      <c r="E456" s="44" t="s">
        <v>344</v>
      </c>
      <c r="F456" s="41">
        <v>26</v>
      </c>
      <c r="G456" s="41">
        <v>2</v>
      </c>
      <c r="H456" s="41">
        <v>14</v>
      </c>
      <c r="I456" s="267">
        <v>8</v>
      </c>
      <c r="J456" s="155">
        <v>2</v>
      </c>
      <c r="K456" s="155">
        <f t="shared" si="30"/>
        <v>1</v>
      </c>
      <c r="L456" s="356">
        <f>I456/J456</f>
        <v>4</v>
      </c>
      <c r="M456" s="267">
        <v>115586.42</v>
      </c>
      <c r="N456" s="155">
        <v>13499</v>
      </c>
      <c r="O456" s="357">
        <f t="shared" si="28"/>
        <v>8.562591303059486</v>
      </c>
      <c r="P456" s="321"/>
    </row>
    <row r="457" spans="1:16" ht="15.75" thickBot="1">
      <c r="A457" s="66">
        <v>455</v>
      </c>
      <c r="B457" s="364" t="s">
        <v>326</v>
      </c>
      <c r="C457" s="337">
        <v>39766</v>
      </c>
      <c r="D457" s="338" t="s">
        <v>132</v>
      </c>
      <c r="E457" s="338" t="s">
        <v>107</v>
      </c>
      <c r="F457" s="339">
        <v>1</v>
      </c>
      <c r="G457" s="339">
        <v>1</v>
      </c>
      <c r="H457" s="339">
        <v>7</v>
      </c>
      <c r="I457" s="358">
        <v>8</v>
      </c>
      <c r="J457" s="355">
        <v>2</v>
      </c>
      <c r="K457" s="355">
        <f t="shared" si="30"/>
        <v>2</v>
      </c>
      <c r="L457" s="359">
        <f>I457/J457</f>
        <v>4</v>
      </c>
      <c r="M457" s="358">
        <f>155654+80570.5+22675+7882+15+246+8</f>
        <v>267050.5</v>
      </c>
      <c r="N457" s="355">
        <f>15277+7852+3194+1551+3+41+2</f>
        <v>27920</v>
      </c>
      <c r="O457" s="360">
        <f t="shared" si="28"/>
        <v>9.564845988538682</v>
      </c>
      <c r="P457" s="332"/>
    </row>
    <row r="458" spans="1:15" ht="12.75">
      <c r="A458" s="88"/>
      <c r="B458" s="89"/>
      <c r="C458" s="90"/>
      <c r="D458" s="90"/>
      <c r="E458" s="90"/>
      <c r="F458" s="95"/>
      <c r="G458" s="96"/>
      <c r="H458" s="97"/>
      <c r="I458" s="145">
        <f>SUM(I4:I457)</f>
        <v>14769736.5</v>
      </c>
      <c r="J458" s="134">
        <f>SUM(J4:J457)</f>
        <v>1961410</v>
      </c>
      <c r="K458" s="136"/>
      <c r="L458" s="142"/>
      <c r="M458" s="129"/>
      <c r="N458" s="136"/>
      <c r="O458" s="142"/>
    </row>
    <row r="459" spans="1:7" ht="12.75">
      <c r="A459" s="32"/>
      <c r="B459" s="30"/>
      <c r="C459" s="24"/>
      <c r="D459" s="24"/>
      <c r="E459" s="24"/>
      <c r="F459" s="98"/>
      <c r="G459" s="99"/>
    </row>
    <row r="460" spans="1:15" ht="13.5">
      <c r="A460" s="32"/>
      <c r="B460" s="30"/>
      <c r="C460" s="85"/>
      <c r="D460" s="86"/>
      <c r="E460" s="86"/>
      <c r="F460" s="24"/>
      <c r="G460" s="24"/>
      <c r="K460" s="433" t="s">
        <v>74</v>
      </c>
      <c r="L460" s="420"/>
      <c r="M460" s="420"/>
      <c r="N460" s="420"/>
      <c r="O460" s="420"/>
    </row>
    <row r="461" spans="1:15" ht="12.75">
      <c r="A461" s="32"/>
      <c r="B461" s="30"/>
      <c r="C461" s="86"/>
      <c r="D461" s="86"/>
      <c r="E461" s="86"/>
      <c r="F461" s="24"/>
      <c r="G461" s="24"/>
      <c r="K461" s="420"/>
      <c r="L461" s="420"/>
      <c r="M461" s="420"/>
      <c r="N461" s="420"/>
      <c r="O461" s="420"/>
    </row>
    <row r="462" spans="1:15" ht="12.75">
      <c r="A462" s="32"/>
      <c r="B462" s="30"/>
      <c r="C462" s="86"/>
      <c r="D462" s="86"/>
      <c r="E462" s="86"/>
      <c r="F462" s="24"/>
      <c r="G462" s="24"/>
      <c r="K462" s="420"/>
      <c r="L462" s="420"/>
      <c r="M462" s="420"/>
      <c r="N462" s="420"/>
      <c r="O462" s="420"/>
    </row>
    <row r="463" spans="1:15" ht="12.75">
      <c r="A463" s="32"/>
      <c r="B463" s="30"/>
      <c r="C463" s="86"/>
      <c r="D463" s="86"/>
      <c r="E463" s="86"/>
      <c r="F463" s="24"/>
      <c r="G463" s="24"/>
      <c r="K463" s="420"/>
      <c r="L463" s="420"/>
      <c r="M463" s="420"/>
      <c r="N463" s="420"/>
      <c r="O463" s="420"/>
    </row>
    <row r="464" spans="1:15" ht="12.75">
      <c r="A464" s="32"/>
      <c r="B464" s="30"/>
      <c r="C464" s="86"/>
      <c r="D464" s="86"/>
      <c r="E464" s="86"/>
      <c r="F464" s="24"/>
      <c r="G464" s="24"/>
      <c r="K464" s="420"/>
      <c r="L464" s="420"/>
      <c r="M464" s="420"/>
      <c r="N464" s="420"/>
      <c r="O464" s="420"/>
    </row>
    <row r="465" spans="1:15" ht="12.75">
      <c r="A465" s="32"/>
      <c r="B465" s="30"/>
      <c r="C465" s="86"/>
      <c r="D465" s="86"/>
      <c r="E465" s="86"/>
      <c r="F465" s="24"/>
      <c r="G465" s="24"/>
      <c r="K465" s="420"/>
      <c r="L465" s="420"/>
      <c r="M465" s="420"/>
      <c r="N465" s="420"/>
      <c r="O465" s="420"/>
    </row>
    <row r="466" spans="1:15" ht="12.75">
      <c r="A466" s="32"/>
      <c r="B466" s="30"/>
      <c r="C466" s="24"/>
      <c r="D466" s="86"/>
      <c r="E466" s="86"/>
      <c r="F466" s="98"/>
      <c r="G466" s="99"/>
      <c r="K466" s="138"/>
      <c r="L466" s="140"/>
      <c r="M466" s="132"/>
      <c r="N466" s="139"/>
      <c r="O466" s="140"/>
    </row>
    <row r="467" spans="1:15" ht="13.5">
      <c r="A467" s="32"/>
      <c r="B467" s="30"/>
      <c r="C467" s="87"/>
      <c r="D467" s="86"/>
      <c r="E467" s="86"/>
      <c r="F467" s="24"/>
      <c r="G467" s="24"/>
      <c r="K467" s="418" t="s">
        <v>0</v>
      </c>
      <c r="L467" s="419"/>
      <c r="M467" s="419"/>
      <c r="N467" s="420"/>
      <c r="O467" s="419"/>
    </row>
    <row r="468" spans="1:15" ht="12.75">
      <c r="A468" s="32"/>
      <c r="B468" s="30"/>
      <c r="C468" s="86"/>
      <c r="D468" s="86"/>
      <c r="E468" s="86"/>
      <c r="F468" s="24"/>
      <c r="G468" s="24"/>
      <c r="K468" s="419"/>
      <c r="L468" s="419"/>
      <c r="M468" s="419"/>
      <c r="N468" s="420"/>
      <c r="O468" s="419"/>
    </row>
    <row r="469" spans="1:15" ht="12.75">
      <c r="A469" s="32"/>
      <c r="B469" s="30"/>
      <c r="C469" s="86"/>
      <c r="D469" s="86"/>
      <c r="E469" s="86"/>
      <c r="F469" s="24"/>
      <c r="G469" s="24"/>
      <c r="K469" s="419"/>
      <c r="L469" s="419"/>
      <c r="M469" s="419"/>
      <c r="N469" s="420"/>
      <c r="O469" s="419"/>
    </row>
    <row r="470" spans="1:15" ht="12.75">
      <c r="A470" s="32"/>
      <c r="B470" s="30"/>
      <c r="C470" s="86"/>
      <c r="D470" s="86"/>
      <c r="E470" s="86"/>
      <c r="F470" s="24"/>
      <c r="G470" s="24"/>
      <c r="K470" s="419"/>
      <c r="L470" s="419"/>
      <c r="M470" s="419"/>
      <c r="N470" s="420"/>
      <c r="O470" s="419"/>
    </row>
    <row r="471" spans="1:15" ht="12.75">
      <c r="A471" s="32"/>
      <c r="B471" s="30"/>
      <c r="C471" s="86"/>
      <c r="D471" s="86"/>
      <c r="E471" s="86"/>
      <c r="F471" s="24"/>
      <c r="G471" s="24"/>
      <c r="K471" s="419"/>
      <c r="L471" s="419"/>
      <c r="M471" s="419"/>
      <c r="N471" s="420"/>
      <c r="O471" s="419"/>
    </row>
    <row r="472" spans="1:15" ht="12.75">
      <c r="A472" s="32"/>
      <c r="B472" s="30"/>
      <c r="C472" s="86"/>
      <c r="D472" s="86"/>
      <c r="E472" s="86"/>
      <c r="F472" s="24"/>
      <c r="G472" s="24"/>
      <c r="K472" s="419"/>
      <c r="L472" s="419"/>
      <c r="M472" s="419"/>
      <c r="N472" s="420"/>
      <c r="O472" s="419"/>
    </row>
    <row r="473" spans="1:15" ht="12.75">
      <c r="A473" s="32"/>
      <c r="B473" s="30"/>
      <c r="C473" s="30"/>
      <c r="D473" s="30"/>
      <c r="E473" s="30"/>
      <c r="F473" s="24"/>
      <c r="G473" s="24"/>
      <c r="K473" s="421"/>
      <c r="L473" s="421"/>
      <c r="M473" s="421"/>
      <c r="N473" s="422"/>
      <c r="O473" s="421"/>
    </row>
    <row r="474" spans="1:7" ht="12.75">
      <c r="A474" s="32"/>
      <c r="B474" s="30"/>
      <c r="C474" s="24"/>
      <c r="D474" s="24"/>
      <c r="E474" s="24"/>
      <c r="F474" s="98"/>
      <c r="G474" s="99"/>
    </row>
    <row r="475" spans="1:7" ht="12.75">
      <c r="A475" s="32"/>
      <c r="B475" s="30"/>
      <c r="C475" s="24"/>
      <c r="D475" s="24"/>
      <c r="E475" s="24"/>
      <c r="F475" s="98"/>
      <c r="G475" s="99"/>
    </row>
  </sheetData>
  <sheetProtection/>
  <mergeCells count="12">
    <mergeCell ref="A1:O1"/>
    <mergeCell ref="K460:O465"/>
    <mergeCell ref="B2:B3"/>
    <mergeCell ref="C2:C3"/>
    <mergeCell ref="D2:D3"/>
    <mergeCell ref="K467:O473"/>
    <mergeCell ref="G2:G3"/>
    <mergeCell ref="H2:H3"/>
    <mergeCell ref="I2:L2"/>
    <mergeCell ref="M2:O2"/>
    <mergeCell ref="E2:E3"/>
    <mergeCell ref="F2:F3"/>
  </mergeCells>
  <printOptions/>
  <pageMargins left="0.75" right="0.75" top="1" bottom="1" header="0.5" footer="0.5"/>
  <pageSetup orientation="portrait" paperSize="9"/>
  <ignoredErrors>
    <ignoredError sqref="Q112:Q147 M18:N41 M9:N17 M42:N43 O18:O41 L44 K44 K57:K63 L57:L63 M57:M63 N49:N56 M49:M56 L49:L56 K49:K56 N57:N63 N101:N103 O84:O100 N84:N100 O101:O103 M82:M83 N82:N83 O82:O83 M84:M100 M101:M103" formula="1" unlockedFormula="1"/>
    <ignoredError sqref="Q47 Q107:Q111 Q9:Q11 O45:O46 O9:O17 O42:O43 M45:N46 M44:N44 O44 L45:L48 K45:K48 I44:J63 M47:N48" unlockedFormula="1"/>
    <ignoredError sqref="M7:N8 L7:L17 L18:L43 K18:K43 K64:K76 L64:L76 M64:M76 N64:N76 O104 N77:N79 O57:O79 N80:N81 O80:O81 M80:M81 N104 L80:L83 L84:L100 M104:M113 K84:K113 L101:L113"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25" sqref="A25"/>
    </sheetView>
  </sheetViews>
  <sheetFormatPr defaultColWidth="9.140625" defaultRowHeight="12.75"/>
  <cols>
    <col min="1" max="1" width="3.421875" style="181" bestFit="1" customWidth="1"/>
    <col min="2" max="2" width="6.28125" style="182" bestFit="1" customWidth="1"/>
    <col min="3" max="3" width="11.7109375" style="181" bestFit="1" customWidth="1"/>
    <col min="4" max="4" width="6.28125" style="206" bestFit="1" customWidth="1"/>
    <col min="5" max="5" width="14.7109375" style="207" bestFit="1" customWidth="1"/>
    <col min="6" max="6" width="11.7109375" style="206" bestFit="1" customWidth="1"/>
    <col min="7" max="7" width="3.421875" style="181" bestFit="1" customWidth="1"/>
    <col min="8" max="8" width="16.00390625" style="189" bestFit="1" customWidth="1"/>
    <col min="9" max="9" width="11.7109375" style="190" customWidth="1"/>
    <col min="10" max="10" width="7.7109375" style="198" bestFit="1" customWidth="1"/>
    <col min="11" max="11" width="1.8515625" style="119" bestFit="1" customWidth="1"/>
    <col min="12" max="12" width="10.421875" style="119" bestFit="1" customWidth="1"/>
    <col min="13" max="16384" width="9.140625" style="119" customWidth="1"/>
  </cols>
  <sheetData>
    <row r="1" spans="1:10" ht="15.75" thickBot="1">
      <c r="A1" s="171">
        <v>1</v>
      </c>
      <c r="B1" s="172" t="s">
        <v>108</v>
      </c>
      <c r="C1" s="173" t="s">
        <v>75</v>
      </c>
      <c r="D1" s="199">
        <v>45</v>
      </c>
      <c r="E1" s="200">
        <v>6658013.5</v>
      </c>
      <c r="F1" s="201">
        <v>793660</v>
      </c>
      <c r="G1" s="174">
        <v>17</v>
      </c>
      <c r="H1" s="183">
        <v>4239918.5</v>
      </c>
      <c r="I1" s="184">
        <v>539295</v>
      </c>
      <c r="J1" s="185">
        <f aca="true" t="shared" si="0" ref="J1:J24">SUM(I1/F1)</f>
        <v>0.679503817755714</v>
      </c>
    </row>
    <row r="2" spans="1:10" ht="15.75" thickBot="1">
      <c r="A2" s="171">
        <v>2</v>
      </c>
      <c r="B2" s="172" t="s">
        <v>85</v>
      </c>
      <c r="C2" s="173" t="s">
        <v>75</v>
      </c>
      <c r="D2" s="202">
        <v>43</v>
      </c>
      <c r="E2" s="200">
        <v>6639071.5</v>
      </c>
      <c r="F2" s="201">
        <v>832213</v>
      </c>
      <c r="G2" s="174">
        <v>17</v>
      </c>
      <c r="H2" s="183">
        <v>4079062</v>
      </c>
      <c r="I2" s="184">
        <v>562422</v>
      </c>
      <c r="J2" s="185">
        <f t="shared" si="0"/>
        <v>0.6758149656398061</v>
      </c>
    </row>
    <row r="3" spans="1:10" ht="15.75" thickBot="1">
      <c r="A3" s="171">
        <v>3</v>
      </c>
      <c r="B3" s="172" t="s">
        <v>99</v>
      </c>
      <c r="C3" s="173" t="s">
        <v>75</v>
      </c>
      <c r="D3" s="202">
        <v>53</v>
      </c>
      <c r="E3" s="200">
        <v>8733845</v>
      </c>
      <c r="F3" s="201">
        <v>1080261</v>
      </c>
      <c r="G3" s="174">
        <v>23</v>
      </c>
      <c r="H3" s="183">
        <v>5039182</v>
      </c>
      <c r="I3" s="184">
        <v>673682</v>
      </c>
      <c r="J3" s="185">
        <f t="shared" si="0"/>
        <v>0.6236289193074637</v>
      </c>
    </row>
    <row r="4" spans="1:10" ht="15.75" thickBot="1">
      <c r="A4" s="171">
        <v>4</v>
      </c>
      <c r="B4" s="172" t="s">
        <v>150</v>
      </c>
      <c r="C4" s="173" t="s">
        <v>75</v>
      </c>
      <c r="D4" s="202">
        <v>53</v>
      </c>
      <c r="E4" s="200">
        <v>8888659</v>
      </c>
      <c r="F4" s="201">
        <v>1070929</v>
      </c>
      <c r="G4" s="174">
        <v>23</v>
      </c>
      <c r="H4" s="183">
        <v>4693311.5</v>
      </c>
      <c r="I4" s="184">
        <v>608301</v>
      </c>
      <c r="J4" s="185">
        <f t="shared" si="0"/>
        <v>0.568012445269481</v>
      </c>
    </row>
    <row r="5" spans="1:10" ht="15.75" thickBot="1">
      <c r="A5" s="171">
        <v>5</v>
      </c>
      <c r="B5" s="172" t="s">
        <v>170</v>
      </c>
      <c r="C5" s="173" t="s">
        <v>171</v>
      </c>
      <c r="D5" s="202">
        <v>49</v>
      </c>
      <c r="E5" s="200">
        <v>8052708</v>
      </c>
      <c r="F5" s="201">
        <v>964107</v>
      </c>
      <c r="G5" s="174">
        <v>17</v>
      </c>
      <c r="H5" s="183">
        <v>3630761.5</v>
      </c>
      <c r="I5" s="184">
        <v>475853</v>
      </c>
      <c r="J5" s="185">
        <f t="shared" si="0"/>
        <v>0.4935686599101552</v>
      </c>
    </row>
    <row r="6" spans="1:10" ht="15.75" thickBot="1">
      <c r="A6" s="171">
        <v>6</v>
      </c>
      <c r="B6" s="172" t="s">
        <v>182</v>
      </c>
      <c r="C6" s="173" t="s">
        <v>171</v>
      </c>
      <c r="D6" s="202">
        <v>54</v>
      </c>
      <c r="E6" s="200">
        <v>6370282.5</v>
      </c>
      <c r="F6" s="201">
        <v>748726</v>
      </c>
      <c r="G6" s="174">
        <v>16</v>
      </c>
      <c r="H6" s="183">
        <v>2051397.5</v>
      </c>
      <c r="I6" s="184">
        <v>278469</v>
      </c>
      <c r="J6" s="185">
        <f t="shared" si="0"/>
        <v>0.3719237745183151</v>
      </c>
    </row>
    <row r="7" spans="1:10" ht="15.75" thickBot="1">
      <c r="A7" s="171">
        <v>7</v>
      </c>
      <c r="B7" s="172" t="s">
        <v>195</v>
      </c>
      <c r="C7" s="173" t="s">
        <v>171</v>
      </c>
      <c r="D7" s="202">
        <v>56</v>
      </c>
      <c r="E7" s="200">
        <v>20271309</v>
      </c>
      <c r="F7" s="201">
        <v>2575383</v>
      </c>
      <c r="G7" s="174">
        <v>20</v>
      </c>
      <c r="H7" s="183">
        <v>17871756.5</v>
      </c>
      <c r="I7" s="184">
        <v>2319917</v>
      </c>
      <c r="J7" s="185">
        <f t="shared" si="0"/>
        <v>0.9008046570160633</v>
      </c>
    </row>
    <row r="8" spans="1:10" ht="15.75" thickBot="1">
      <c r="A8" s="171">
        <v>8</v>
      </c>
      <c r="B8" s="172" t="s">
        <v>205</v>
      </c>
      <c r="C8" s="173" t="s">
        <v>171</v>
      </c>
      <c r="D8" s="202">
        <v>58</v>
      </c>
      <c r="E8" s="200">
        <v>12304820.5</v>
      </c>
      <c r="F8" s="201">
        <v>1540913</v>
      </c>
      <c r="G8" s="174">
        <v>18</v>
      </c>
      <c r="H8" s="183">
        <v>9751608</v>
      </c>
      <c r="I8" s="184">
        <v>1260008</v>
      </c>
      <c r="J8" s="185">
        <f t="shared" si="0"/>
        <v>0.8177022323778176</v>
      </c>
    </row>
    <row r="9" spans="1:10" ht="15.75" thickBot="1">
      <c r="A9" s="171">
        <v>9</v>
      </c>
      <c r="B9" s="172" t="s">
        <v>218</v>
      </c>
      <c r="C9" s="173" t="s">
        <v>217</v>
      </c>
      <c r="D9" s="202">
        <v>47</v>
      </c>
      <c r="E9" s="200">
        <v>7856404.5</v>
      </c>
      <c r="F9" s="201">
        <v>962930</v>
      </c>
      <c r="G9" s="174">
        <v>21</v>
      </c>
      <c r="H9" s="183">
        <v>4911121</v>
      </c>
      <c r="I9" s="184">
        <v>644142</v>
      </c>
      <c r="J9" s="185">
        <f t="shared" si="0"/>
        <v>0.6689395906244483</v>
      </c>
    </row>
    <row r="10" spans="1:10" ht="15.75" thickBot="1">
      <c r="A10" s="171">
        <v>10</v>
      </c>
      <c r="B10" s="172" t="s">
        <v>182</v>
      </c>
      <c r="C10" s="173" t="s">
        <v>217</v>
      </c>
      <c r="D10" s="202">
        <v>74</v>
      </c>
      <c r="E10" s="200">
        <v>5262665.5</v>
      </c>
      <c r="F10" s="201">
        <v>640692</v>
      </c>
      <c r="G10" s="174">
        <v>26</v>
      </c>
      <c r="H10" s="183">
        <v>2385212</v>
      </c>
      <c r="I10" s="184">
        <v>321514</v>
      </c>
      <c r="J10" s="185">
        <f t="shared" si="0"/>
        <v>0.5018230288500559</v>
      </c>
    </row>
    <row r="11" spans="1:10" ht="15.75" thickBot="1">
      <c r="A11" s="171">
        <v>11</v>
      </c>
      <c r="B11" s="172" t="s">
        <v>195</v>
      </c>
      <c r="C11" s="173" t="s">
        <v>217</v>
      </c>
      <c r="D11" s="202">
        <v>38</v>
      </c>
      <c r="E11" s="200">
        <v>10766623.5</v>
      </c>
      <c r="F11" s="201">
        <v>1381371</v>
      </c>
      <c r="G11" s="174">
        <v>16</v>
      </c>
      <c r="H11" s="183">
        <v>9267313</v>
      </c>
      <c r="I11" s="184">
        <v>1221193</v>
      </c>
      <c r="J11" s="185">
        <f t="shared" si="0"/>
        <v>0.8840441850885823</v>
      </c>
    </row>
    <row r="12" spans="1:10" ht="15.75" thickBot="1">
      <c r="A12" s="171">
        <v>12</v>
      </c>
      <c r="B12" s="172" t="s">
        <v>205</v>
      </c>
      <c r="C12" s="173" t="s">
        <v>217</v>
      </c>
      <c r="D12" s="202">
        <v>58</v>
      </c>
      <c r="E12" s="200">
        <v>7142984.5</v>
      </c>
      <c r="F12" s="201">
        <v>896116</v>
      </c>
      <c r="G12" s="174">
        <v>19</v>
      </c>
      <c r="H12" s="183">
        <v>5085887</v>
      </c>
      <c r="I12" s="184">
        <v>666905</v>
      </c>
      <c r="J12" s="185">
        <f t="shared" si="0"/>
        <v>0.7442172665146031</v>
      </c>
    </row>
    <row r="13" spans="1:10" ht="15.75" thickBot="1">
      <c r="A13" s="171">
        <v>13</v>
      </c>
      <c r="B13" s="172" t="s">
        <v>260</v>
      </c>
      <c r="C13" s="173" t="s">
        <v>261</v>
      </c>
      <c r="D13" s="202">
        <v>76</v>
      </c>
      <c r="E13" s="200">
        <v>4765810.1</v>
      </c>
      <c r="F13" s="201">
        <v>629304</v>
      </c>
      <c r="G13" s="174">
        <v>21</v>
      </c>
      <c r="H13" s="183">
        <v>2709803.1</v>
      </c>
      <c r="I13" s="184">
        <v>378126</v>
      </c>
      <c r="J13" s="185">
        <f t="shared" si="0"/>
        <v>0.6008638114488387</v>
      </c>
    </row>
    <row r="14" spans="1:10" ht="15.75" thickBot="1">
      <c r="A14" s="171">
        <v>14</v>
      </c>
      <c r="B14" s="172" t="s">
        <v>273</v>
      </c>
      <c r="C14" s="173" t="s">
        <v>261</v>
      </c>
      <c r="D14" s="202">
        <v>89</v>
      </c>
      <c r="E14" s="200">
        <v>4918601.5</v>
      </c>
      <c r="F14" s="201">
        <v>613059</v>
      </c>
      <c r="G14" s="174">
        <v>25</v>
      </c>
      <c r="H14" s="183">
        <v>1775887.5</v>
      </c>
      <c r="I14" s="184">
        <v>243795</v>
      </c>
      <c r="J14" s="185">
        <f t="shared" si="0"/>
        <v>0.39766971857521055</v>
      </c>
    </row>
    <row r="15" spans="1:10" ht="15.75" thickBot="1">
      <c r="A15" s="174">
        <v>15</v>
      </c>
      <c r="B15" s="172" t="s">
        <v>292</v>
      </c>
      <c r="C15" s="173" t="s">
        <v>261</v>
      </c>
      <c r="D15" s="202">
        <v>87</v>
      </c>
      <c r="E15" s="200">
        <v>4085852</v>
      </c>
      <c r="F15" s="201">
        <v>488753</v>
      </c>
      <c r="G15" s="174">
        <v>25</v>
      </c>
      <c r="H15" s="183">
        <v>999112</v>
      </c>
      <c r="I15" s="184">
        <v>136434</v>
      </c>
      <c r="J15" s="185">
        <f t="shared" si="0"/>
        <v>0.27914713566975546</v>
      </c>
    </row>
    <row r="16" spans="1:10" ht="15.75" thickBot="1">
      <c r="A16" s="174">
        <v>16</v>
      </c>
      <c r="B16" s="172" t="s">
        <v>304</v>
      </c>
      <c r="C16" s="173" t="s">
        <v>261</v>
      </c>
      <c r="D16" s="202">
        <v>43</v>
      </c>
      <c r="E16" s="200">
        <v>4527951.5</v>
      </c>
      <c r="F16" s="201">
        <v>543672</v>
      </c>
      <c r="G16" s="174">
        <v>11</v>
      </c>
      <c r="H16" s="183">
        <v>1857186</v>
      </c>
      <c r="I16" s="184">
        <v>244264</v>
      </c>
      <c r="J16" s="185">
        <f t="shared" si="0"/>
        <v>0.4492855986697862</v>
      </c>
    </row>
    <row r="17" spans="1:10" ht="15.75" thickBot="1">
      <c r="A17" s="174">
        <v>17</v>
      </c>
      <c r="B17" s="172" t="s">
        <v>313</v>
      </c>
      <c r="C17" s="173" t="s">
        <v>261</v>
      </c>
      <c r="D17" s="202">
        <v>76</v>
      </c>
      <c r="E17" s="200">
        <v>3759215.75</v>
      </c>
      <c r="F17" s="201">
        <v>455467</v>
      </c>
      <c r="G17" s="174">
        <v>22</v>
      </c>
      <c r="H17" s="183">
        <v>807761.75</v>
      </c>
      <c r="I17" s="184">
        <v>106101</v>
      </c>
      <c r="J17" s="185">
        <f t="shared" si="0"/>
        <v>0.23294991733758977</v>
      </c>
    </row>
    <row r="18" spans="1:10" ht="15.75" thickBot="1">
      <c r="A18" s="174">
        <v>18</v>
      </c>
      <c r="B18" s="172" t="s">
        <v>327</v>
      </c>
      <c r="C18" s="173" t="s">
        <v>328</v>
      </c>
      <c r="D18" s="202">
        <v>85</v>
      </c>
      <c r="E18" s="200">
        <v>3310471.5</v>
      </c>
      <c r="F18" s="201">
        <v>383694</v>
      </c>
      <c r="G18" s="174">
        <v>23</v>
      </c>
      <c r="H18" s="183">
        <v>685206</v>
      </c>
      <c r="I18" s="184">
        <v>88589</v>
      </c>
      <c r="J18" s="185">
        <f t="shared" si="0"/>
        <v>0.230884506924789</v>
      </c>
    </row>
    <row r="19" spans="1:15" ht="15.75" thickBot="1">
      <c r="A19" s="174">
        <v>19</v>
      </c>
      <c r="B19" s="172" t="s">
        <v>349</v>
      </c>
      <c r="C19" s="173" t="s">
        <v>328</v>
      </c>
      <c r="D19" s="202">
        <v>78</v>
      </c>
      <c r="E19" s="200">
        <v>1814009.5</v>
      </c>
      <c r="F19" s="201">
        <v>208426</v>
      </c>
      <c r="G19" s="174">
        <v>25</v>
      </c>
      <c r="H19" s="183">
        <v>592482.75</v>
      </c>
      <c r="I19" s="184">
        <v>81929</v>
      </c>
      <c r="J19" s="185">
        <f t="shared" si="0"/>
        <v>0.3930843560784163</v>
      </c>
      <c r="K19" s="366"/>
      <c r="N19" s="121"/>
      <c r="O19" s="122"/>
    </row>
    <row r="20" spans="1:12" ht="15.75" thickBot="1">
      <c r="A20" s="174">
        <v>20</v>
      </c>
      <c r="B20" s="172" t="s">
        <v>364</v>
      </c>
      <c r="C20" s="173" t="s">
        <v>328</v>
      </c>
      <c r="D20" s="202">
        <v>69</v>
      </c>
      <c r="E20" s="200">
        <v>4267017.3</v>
      </c>
      <c r="F20" s="201">
        <v>496356</v>
      </c>
      <c r="G20" s="174">
        <v>20</v>
      </c>
      <c r="H20" s="183">
        <v>559239.55</v>
      </c>
      <c r="I20" s="184">
        <v>78173</v>
      </c>
      <c r="J20" s="185">
        <f t="shared" si="0"/>
        <v>0.15749381492316</v>
      </c>
      <c r="L20" s="121"/>
    </row>
    <row r="21" spans="1:10" ht="15.75" thickBot="1">
      <c r="A21" s="174">
        <v>21</v>
      </c>
      <c r="B21" s="172" t="s">
        <v>372</v>
      </c>
      <c r="C21" s="173" t="s">
        <v>328</v>
      </c>
      <c r="D21" s="202">
        <v>80</v>
      </c>
      <c r="E21" s="200">
        <v>2694611.25</v>
      </c>
      <c r="F21" s="201">
        <v>305371</v>
      </c>
      <c r="G21" s="174">
        <v>26</v>
      </c>
      <c r="H21" s="183">
        <v>341660</v>
      </c>
      <c r="I21" s="184">
        <v>51557</v>
      </c>
      <c r="J21" s="185">
        <f t="shared" si="0"/>
        <v>0.16883397572133568</v>
      </c>
    </row>
    <row r="22" spans="1:10" ht="15.75" thickBot="1">
      <c r="A22" s="174">
        <v>22</v>
      </c>
      <c r="B22" s="172" t="s">
        <v>383</v>
      </c>
      <c r="C22" s="173" t="s">
        <v>384</v>
      </c>
      <c r="D22" s="202">
        <v>87</v>
      </c>
      <c r="E22" s="200">
        <v>2193589</v>
      </c>
      <c r="F22" s="201">
        <v>272153</v>
      </c>
      <c r="G22" s="174">
        <v>26</v>
      </c>
      <c r="H22" s="183">
        <v>197398</v>
      </c>
      <c r="I22" s="184">
        <v>32997</v>
      </c>
      <c r="J22" s="185">
        <f t="shared" si="0"/>
        <v>0.12124430008120432</v>
      </c>
    </row>
    <row r="23" spans="1:10" ht="15.75" thickBot="1">
      <c r="A23" s="174">
        <v>23</v>
      </c>
      <c r="B23" s="172" t="s">
        <v>400</v>
      </c>
      <c r="C23" s="173" t="s">
        <v>384</v>
      </c>
      <c r="D23" s="202">
        <v>71</v>
      </c>
      <c r="E23" s="200">
        <v>2833368.5</v>
      </c>
      <c r="F23" s="201">
        <v>357593</v>
      </c>
      <c r="G23" s="174">
        <v>16</v>
      </c>
      <c r="H23" s="183">
        <v>81466.5</v>
      </c>
      <c r="I23" s="184">
        <v>14699</v>
      </c>
      <c r="J23" s="185">
        <f t="shared" si="0"/>
        <v>0.04110539076547919</v>
      </c>
    </row>
    <row r="24" spans="1:10" ht="15.75" thickBot="1">
      <c r="A24" s="174">
        <v>24</v>
      </c>
      <c r="B24" s="172" t="s">
        <v>412</v>
      </c>
      <c r="C24" s="173" t="s">
        <v>384</v>
      </c>
      <c r="D24" s="202">
        <v>83</v>
      </c>
      <c r="E24" s="200">
        <v>2384746.75</v>
      </c>
      <c r="F24" s="201">
        <v>338401</v>
      </c>
      <c r="G24" s="174">
        <v>15</v>
      </c>
      <c r="H24" s="183">
        <v>70481.25</v>
      </c>
      <c r="I24" s="184">
        <v>13855</v>
      </c>
      <c r="J24" s="185">
        <f t="shared" si="0"/>
        <v>0.04094255040617492</v>
      </c>
    </row>
    <row r="25" spans="1:10" ht="15.75" thickBot="1">
      <c r="A25" s="174"/>
      <c r="B25" s="172"/>
      <c r="C25" s="173"/>
      <c r="D25" s="202"/>
      <c r="E25" s="200"/>
      <c r="F25" s="201"/>
      <c r="G25" s="174"/>
      <c r="H25" s="183"/>
      <c r="I25" s="184"/>
      <c r="J25" s="185"/>
    </row>
    <row r="26" spans="1:10" ht="15.75" thickBot="1">
      <c r="A26" s="174"/>
      <c r="B26" s="172"/>
      <c r="C26" s="173"/>
      <c r="D26" s="202"/>
      <c r="E26" s="200"/>
      <c r="F26" s="201"/>
      <c r="G26" s="174"/>
      <c r="H26" s="183"/>
      <c r="I26" s="184"/>
      <c r="J26" s="185"/>
    </row>
    <row r="27" spans="1:10" ht="15.75" thickBot="1">
      <c r="A27" s="174"/>
      <c r="B27" s="172"/>
      <c r="C27" s="173"/>
      <c r="D27" s="202"/>
      <c r="E27" s="200"/>
      <c r="F27" s="201"/>
      <c r="G27" s="174"/>
      <c r="H27" s="183"/>
      <c r="I27" s="184"/>
      <c r="J27" s="185"/>
    </row>
    <row r="28" spans="1:10" ht="15.75" thickBot="1">
      <c r="A28" s="174"/>
      <c r="B28" s="172"/>
      <c r="C28" s="173"/>
      <c r="D28" s="202"/>
      <c r="E28" s="200"/>
      <c r="F28" s="201"/>
      <c r="G28" s="174"/>
      <c r="H28" s="183"/>
      <c r="I28" s="184"/>
      <c r="J28" s="185"/>
    </row>
    <row r="29" spans="1:10" ht="15.75" thickBot="1">
      <c r="A29" s="174"/>
      <c r="B29" s="172"/>
      <c r="C29" s="173"/>
      <c r="D29" s="202"/>
      <c r="E29" s="200"/>
      <c r="F29" s="201"/>
      <c r="G29" s="174"/>
      <c r="H29" s="183"/>
      <c r="I29" s="184"/>
      <c r="J29" s="185"/>
    </row>
    <row r="30" spans="1:10" ht="15.75" thickBot="1">
      <c r="A30" s="174"/>
      <c r="B30" s="172"/>
      <c r="C30" s="173"/>
      <c r="D30" s="202"/>
      <c r="E30" s="200"/>
      <c r="F30" s="201"/>
      <c r="G30" s="174"/>
      <c r="H30" s="183"/>
      <c r="I30" s="184"/>
      <c r="J30" s="185"/>
    </row>
    <row r="31" spans="1:10" ht="15.75" thickBot="1">
      <c r="A31" s="174"/>
      <c r="B31" s="172"/>
      <c r="C31" s="173"/>
      <c r="D31" s="202"/>
      <c r="E31" s="200"/>
      <c r="F31" s="201"/>
      <c r="G31" s="174"/>
      <c r="H31" s="183"/>
      <c r="I31" s="184"/>
      <c r="J31" s="185"/>
    </row>
    <row r="32" spans="1:10" ht="15.75" thickBot="1">
      <c r="A32" s="174"/>
      <c r="B32" s="172"/>
      <c r="C32" s="173"/>
      <c r="D32" s="202"/>
      <c r="E32" s="200"/>
      <c r="F32" s="201"/>
      <c r="G32" s="174"/>
      <c r="H32" s="183"/>
      <c r="I32" s="184"/>
      <c r="J32" s="185"/>
    </row>
    <row r="33" spans="1:10" ht="15.75" thickBot="1">
      <c r="A33" s="174"/>
      <c r="B33" s="172"/>
      <c r="C33" s="173"/>
      <c r="D33" s="202"/>
      <c r="E33" s="200"/>
      <c r="F33" s="201"/>
      <c r="G33" s="174"/>
      <c r="H33" s="183"/>
      <c r="I33" s="184"/>
      <c r="J33" s="185"/>
    </row>
    <row r="34" spans="1:10" ht="15.75" thickBot="1">
      <c r="A34" s="174"/>
      <c r="B34" s="172"/>
      <c r="C34" s="173"/>
      <c r="D34" s="202"/>
      <c r="E34" s="200"/>
      <c r="F34" s="201"/>
      <c r="G34" s="174"/>
      <c r="H34" s="183"/>
      <c r="I34" s="184"/>
      <c r="J34" s="185"/>
    </row>
    <row r="35" spans="1:10" ht="15.75" thickBot="1">
      <c r="A35" s="174"/>
      <c r="B35" s="172"/>
      <c r="C35" s="173"/>
      <c r="D35" s="202"/>
      <c r="E35" s="200"/>
      <c r="F35" s="201"/>
      <c r="G35" s="174"/>
      <c r="H35" s="183"/>
      <c r="I35" s="184"/>
      <c r="J35" s="185"/>
    </row>
    <row r="36" spans="1:10" ht="15.75" thickBot="1">
      <c r="A36" s="174"/>
      <c r="B36" s="172"/>
      <c r="C36" s="173"/>
      <c r="D36" s="202"/>
      <c r="E36" s="200"/>
      <c r="F36" s="201"/>
      <c r="G36" s="174"/>
      <c r="H36" s="183"/>
      <c r="I36" s="184"/>
      <c r="J36" s="185"/>
    </row>
    <row r="37" spans="1:10" ht="15.75" thickBot="1">
      <c r="A37" s="174"/>
      <c r="B37" s="172"/>
      <c r="C37" s="173"/>
      <c r="D37" s="202"/>
      <c r="E37" s="200"/>
      <c r="F37" s="201"/>
      <c r="G37" s="174"/>
      <c r="H37" s="183"/>
      <c r="I37" s="184"/>
      <c r="J37" s="185"/>
    </row>
    <row r="38" spans="1:10" ht="15.75" thickBot="1">
      <c r="A38" s="174"/>
      <c r="B38" s="172"/>
      <c r="C38" s="173"/>
      <c r="D38" s="202"/>
      <c r="E38" s="200"/>
      <c r="F38" s="201"/>
      <c r="G38" s="174"/>
      <c r="H38" s="183"/>
      <c r="I38" s="184"/>
      <c r="J38" s="185"/>
    </row>
    <row r="39" spans="1:10" ht="15.75" thickBot="1">
      <c r="A39" s="174"/>
      <c r="B39" s="172"/>
      <c r="C39" s="173"/>
      <c r="D39" s="202"/>
      <c r="E39" s="200"/>
      <c r="F39" s="201"/>
      <c r="G39" s="174"/>
      <c r="H39" s="183"/>
      <c r="I39" s="184"/>
      <c r="J39" s="185"/>
    </row>
    <row r="40" spans="1:10" ht="15.75" thickBot="1">
      <c r="A40" s="174"/>
      <c r="B40" s="172"/>
      <c r="C40" s="173"/>
      <c r="D40" s="202"/>
      <c r="E40" s="200"/>
      <c r="F40" s="201"/>
      <c r="G40" s="174"/>
      <c r="H40" s="183"/>
      <c r="I40" s="184"/>
      <c r="J40" s="185"/>
    </row>
    <row r="41" spans="1:10" ht="15.75" thickBot="1">
      <c r="A41" s="174"/>
      <c r="B41" s="172"/>
      <c r="C41" s="173"/>
      <c r="D41" s="202"/>
      <c r="E41" s="200"/>
      <c r="F41" s="201"/>
      <c r="G41" s="174"/>
      <c r="H41" s="183"/>
      <c r="I41" s="184"/>
      <c r="J41" s="185"/>
    </row>
    <row r="42" spans="1:10" ht="15.75" thickBot="1">
      <c r="A42" s="174"/>
      <c r="B42" s="172"/>
      <c r="C42" s="173"/>
      <c r="D42" s="202"/>
      <c r="E42" s="200"/>
      <c r="F42" s="201"/>
      <c r="G42" s="174"/>
      <c r="H42" s="183"/>
      <c r="I42" s="184"/>
      <c r="J42" s="185"/>
    </row>
    <row r="43" spans="1:10" ht="15.75" thickBot="1">
      <c r="A43" s="174"/>
      <c r="B43" s="172"/>
      <c r="C43" s="173"/>
      <c r="D43" s="202"/>
      <c r="E43" s="200"/>
      <c r="F43" s="201"/>
      <c r="G43" s="174"/>
      <c r="H43" s="183"/>
      <c r="I43" s="184"/>
      <c r="J43" s="185"/>
    </row>
    <row r="44" spans="1:10" ht="15.75" thickBot="1">
      <c r="A44" s="174"/>
      <c r="B44" s="172"/>
      <c r="C44" s="173"/>
      <c r="D44" s="202"/>
      <c r="E44" s="200"/>
      <c r="F44" s="201"/>
      <c r="G44" s="174"/>
      <c r="H44" s="183"/>
      <c r="I44" s="184"/>
      <c r="J44" s="185"/>
    </row>
    <row r="45" spans="1:10" ht="15.75" thickBot="1">
      <c r="A45" s="174"/>
      <c r="B45" s="172"/>
      <c r="C45" s="173"/>
      <c r="D45" s="202"/>
      <c r="E45" s="200"/>
      <c r="F45" s="201"/>
      <c r="G45" s="174"/>
      <c r="H45" s="183"/>
      <c r="I45" s="184"/>
      <c r="J45" s="185"/>
    </row>
    <row r="46" spans="1:10" ht="15.75" thickBot="1">
      <c r="A46" s="174"/>
      <c r="B46" s="172"/>
      <c r="C46" s="173"/>
      <c r="D46" s="202"/>
      <c r="E46" s="200"/>
      <c r="F46" s="201"/>
      <c r="G46" s="174"/>
      <c r="H46" s="183"/>
      <c r="I46" s="184"/>
      <c r="J46" s="185"/>
    </row>
    <row r="47" spans="1:10" ht="15.75" thickBot="1">
      <c r="A47" s="174"/>
      <c r="B47" s="172"/>
      <c r="C47" s="173"/>
      <c r="D47" s="202"/>
      <c r="E47" s="200"/>
      <c r="F47" s="201"/>
      <c r="G47" s="174"/>
      <c r="H47" s="183"/>
      <c r="I47" s="184"/>
      <c r="J47" s="185"/>
    </row>
    <row r="48" spans="1:10" ht="15.75" thickBot="1">
      <c r="A48" s="174"/>
      <c r="B48" s="172"/>
      <c r="C48" s="173"/>
      <c r="D48" s="202"/>
      <c r="E48" s="200"/>
      <c r="F48" s="201"/>
      <c r="G48" s="174"/>
      <c r="H48" s="183"/>
      <c r="I48" s="184"/>
      <c r="J48" s="185"/>
    </row>
    <row r="49" spans="1:10" ht="15.75" thickBot="1">
      <c r="A49" s="174"/>
      <c r="B49" s="172"/>
      <c r="C49" s="173"/>
      <c r="D49" s="202"/>
      <c r="E49" s="200"/>
      <c r="F49" s="201"/>
      <c r="G49" s="174"/>
      <c r="H49" s="183"/>
      <c r="I49" s="184"/>
      <c r="J49" s="185"/>
    </row>
    <row r="50" spans="1:10" ht="15.75" thickBot="1">
      <c r="A50" s="174"/>
      <c r="B50" s="172"/>
      <c r="C50" s="173"/>
      <c r="D50" s="202"/>
      <c r="E50" s="200"/>
      <c r="F50" s="201"/>
      <c r="G50" s="174"/>
      <c r="H50" s="183"/>
      <c r="I50" s="184"/>
      <c r="J50" s="185"/>
    </row>
    <row r="51" spans="1:10" ht="15.75" thickBot="1">
      <c r="A51" s="174"/>
      <c r="B51" s="172"/>
      <c r="C51" s="173"/>
      <c r="D51" s="202"/>
      <c r="E51" s="200"/>
      <c r="F51" s="201"/>
      <c r="G51" s="174"/>
      <c r="H51" s="183"/>
      <c r="I51" s="184"/>
      <c r="J51" s="185"/>
    </row>
    <row r="52" spans="1:10" ht="15.75" thickBot="1">
      <c r="A52" s="174"/>
      <c r="B52" s="172"/>
      <c r="C52" s="173"/>
      <c r="D52" s="202"/>
      <c r="E52" s="200"/>
      <c r="F52" s="201"/>
      <c r="G52" s="174"/>
      <c r="H52" s="183"/>
      <c r="I52" s="184"/>
      <c r="J52" s="185"/>
    </row>
    <row r="53" spans="1:10" ht="15">
      <c r="A53" s="175"/>
      <c r="B53" s="176"/>
      <c r="C53" s="177"/>
      <c r="D53" s="203"/>
      <c r="E53" s="204"/>
      <c r="F53" s="205"/>
      <c r="G53" s="175"/>
      <c r="H53" s="186"/>
      <c r="I53" s="187"/>
      <c r="J53" s="188"/>
    </row>
    <row r="54" spans="1:10" ht="15">
      <c r="A54" s="175"/>
      <c r="B54" s="176"/>
      <c r="C54" s="177"/>
      <c r="F54" s="205"/>
      <c r="J54" s="188"/>
    </row>
    <row r="55" spans="1:10" ht="15">
      <c r="A55" s="175"/>
      <c r="B55" s="176"/>
      <c r="C55" s="177"/>
      <c r="F55" s="205"/>
      <c r="J55" s="188"/>
    </row>
    <row r="56" spans="1:10" ht="15">
      <c r="A56" s="175"/>
      <c r="B56" s="176"/>
      <c r="C56" s="177"/>
      <c r="F56" s="205"/>
      <c r="J56" s="188"/>
    </row>
    <row r="57" spans="1:10" ht="15">
      <c r="A57" s="438">
        <v>2009</v>
      </c>
      <c r="B57" s="439"/>
      <c r="C57" s="440"/>
      <c r="D57" s="208">
        <f>SUM(D1:D56)</f>
        <v>1552</v>
      </c>
      <c r="E57" s="209">
        <f>SUM(E1:E56)</f>
        <v>150502631.65</v>
      </c>
      <c r="F57" s="210">
        <f>SUM(F1:F56)</f>
        <v>18579550</v>
      </c>
      <c r="G57" s="191"/>
      <c r="H57" s="192">
        <f>SUM(H1:H56)</f>
        <v>83684214.89999999</v>
      </c>
      <c r="I57" s="193">
        <f>SUM(I1:I56)</f>
        <v>11042220</v>
      </c>
      <c r="J57" s="194">
        <f>SUM(I57/F57)</f>
        <v>0.5943211757012414</v>
      </c>
    </row>
    <row r="58" spans="1:10" s="120" customFormat="1" ht="15">
      <c r="A58" s="441"/>
      <c r="B58" s="442"/>
      <c r="C58" s="443"/>
      <c r="D58" s="211"/>
      <c r="E58" s="204"/>
      <c r="F58" s="205"/>
      <c r="G58" s="175"/>
      <c r="H58" s="186"/>
      <c r="I58" s="187"/>
      <c r="J58" s="188"/>
    </row>
    <row r="59" spans="1:10" ht="15">
      <c r="A59" s="175"/>
      <c r="B59" s="176"/>
      <c r="C59" s="177"/>
      <c r="D59" s="203"/>
      <c r="E59" s="204"/>
      <c r="F59" s="205"/>
      <c r="G59" s="175"/>
      <c r="H59" s="186"/>
      <c r="I59" s="187"/>
      <c r="J59" s="188"/>
    </row>
    <row r="60" spans="1:10" ht="15.75" thickBot="1">
      <c r="A60" s="178"/>
      <c r="B60" s="179"/>
      <c r="C60" s="180"/>
      <c r="D60" s="212"/>
      <c r="E60" s="213"/>
      <c r="F60" s="214"/>
      <c r="G60" s="178"/>
      <c r="H60" s="195"/>
      <c r="I60" s="196"/>
      <c r="J60" s="197"/>
    </row>
    <row r="63" ht="15">
      <c r="H63" s="190"/>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2009-06-21T17:04:44Z</dcterms:modified>
  <cp:category/>
  <cp:version/>
  <cp:contentType/>
  <cp:contentStatus/>
</cp:coreProperties>
</file>