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960" windowWidth="15480" windowHeight="11640" tabRatio="832" activeTab="0"/>
  </bookViews>
  <sheets>
    <sheet name="13-19 Mar '09 (WK 11)" sheetId="1" r:id="rId1"/>
    <sheet name="02 Jan'-19 Mar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Jan'-19 Mar '09 (Annual)'!$A$5:$J$8</definedName>
    <definedName name="_xlnm.Print_Area" localSheetId="0">'13-19 Mar ''09 (WK 11)'!$A$1:$O$63</definedName>
  </definedNames>
  <calcPr fullCalcOnLoad="1"/>
</workbook>
</file>

<file path=xl/sharedStrings.xml><?xml version="1.0" encoding="utf-8"?>
<sst xmlns="http://schemas.openxmlformats.org/spreadsheetml/2006/main" count="1220" uniqueCount="262">
  <si>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</si>
  <si>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</si>
  <si>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</si>
  <si>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</si>
  <si>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</si>
  <si>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</si>
  <si>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</si>
  <si>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</si>
  <si>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</si>
  <si>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</si>
  <si>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</si>
  <si>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</si>
  <si>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</si>
  <si>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</si>
  <si>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</si>
  <si>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</si>
  <si>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</si>
  <si>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</si>
  <si>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</si>
  <si>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</si>
  <si>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</si>
  <si>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</si>
  <si>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</si>
  <si>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</si>
  <si>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</si>
  <si>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</si>
  <si>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</si>
  <si>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</si>
  <si>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</si>
  <si>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</si>
  <si>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</si>
  <si>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</si>
  <si>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</si>
  <si>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</si>
  <si>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</si>
  <si>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</si>
  <si>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</si>
  <si>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</si>
  <si>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</si>
  <si>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</si>
  <si>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</si>
  <si>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</si>
  <si>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</si>
  <si>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</si>
  <si>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</si>
  <si>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</si>
  <si>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</si>
  <si>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</si>
  <si>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</si>
  <si>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</si>
  <si>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</si>
  <si>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</si>
  <si>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</si>
  <si>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</si>
  <si>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</si>
  <si>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</si>
  <si>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</si>
  <si>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</si>
  <si>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</si>
  <si>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</si>
  <si>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</si>
  <si>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</si>
  <si>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</si>
  <si>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</si>
  <si>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</si>
  <si>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</si>
  <si>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</si>
  <si>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</si>
  <si>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</si>
  <si>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</si>
  <si>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</si>
  <si>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</si>
  <si>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</si>
  <si>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</si>
  <si>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</si>
  <si>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</si>
  <si>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</si>
  <si>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</si>
  <si>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</si>
  <si>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</si>
  <si>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</si>
  <si>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</si>
  <si>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</si>
  <si>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</si>
  <si>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</si>
  <si>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</si>
  <si>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</si>
  <si>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</si>
  <si>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</si>
  <si>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UNBORN</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</si>
  <si>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</si>
  <si>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</si>
  <si>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</si>
  <si>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</si>
  <si>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</si>
  <si>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</si>
  <si>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</si>
  <si>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</si>
  <si>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</si>
  <si>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</si>
  <si>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</si>
  <si>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</si>
  <si>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</si>
  <si>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</si>
  <si>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</si>
  <si>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</si>
  <si>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</si>
  <si>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</si>
  <si>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</si>
  <si>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</si>
  <si>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</si>
  <si>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</si>
  <si>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</si>
  <si>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</si>
  <si>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</si>
  <si>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</si>
  <si>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</si>
  <si>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</si>
  <si>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</si>
  <si>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</si>
  <si>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</si>
  <si>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</si>
  <si>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</si>
  <si>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</si>
  <si>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</si>
  <si>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</si>
  <si>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</si>
  <si>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</si>
  <si>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</si>
  <si>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</si>
  <si>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</si>
  <si>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</si>
  <si>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</si>
  <si>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</si>
  <si>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</si>
  <si>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</si>
  <si>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</si>
  <si>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</si>
  <si>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</si>
  <si>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</si>
  <si>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</si>
  <si>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</si>
  <si>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</si>
  <si>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</si>
  <si>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</si>
  <si>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</si>
  <si>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</si>
  <si>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</si>
  <si>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</si>
  <si>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</si>
  <si>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</si>
  <si>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</si>
  <si>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</si>
  <si>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C YAPIM</t>
  </si>
  <si>
    <t>USTA-MEDYAVIZYON</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</si>
  <si>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</si>
  <si>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</si>
  <si>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</si>
  <si>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</si>
  <si>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</si>
  <si>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</si>
  <si>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</si>
  <si>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</si>
  <si>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</si>
  <si>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</si>
  <si>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</si>
  <si>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</si>
  <si>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</si>
  <si>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</si>
  <si>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</si>
  <si>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</si>
  <si>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</si>
  <si>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</si>
  <si>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</si>
  <si>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</si>
  <si>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</si>
  <si>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</si>
  <si>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</si>
  <si>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</si>
  <si>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</si>
  <si>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</si>
  <si>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</si>
  <si>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</si>
  <si>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</si>
  <si>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</si>
  <si>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</si>
  <si>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ÖLDÜR BENİ</t>
  </si>
  <si>
    <t>SAYGIN</t>
  </si>
  <si>
    <t>WALTZ WITH BASHIR</t>
  </si>
  <si>
    <t>MARS</t>
  </si>
  <si>
    <t>TIMELINE</t>
  </si>
  <si>
    <t>COUPERET, LE (AX, THE)</t>
  </si>
  <si>
    <t>UMUT- OZEN</t>
  </si>
  <si>
    <t>DUNYA &amp; DESIE</t>
  </si>
  <si>
    <t>A+ FILM</t>
  </si>
  <si>
    <t>A.R.O.G.: BİR YONTMATAŞ FİLMİ</t>
  </si>
  <si>
    <t>HORTON</t>
  </si>
  <si>
    <t>13-19</t>
  </si>
  <si>
    <t>RECEP İVEDİK 2</t>
  </si>
  <si>
    <t>AKSOY FILM-OZEN FILM</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</si>
  <si>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</si>
  <si>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</si>
  <si>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</si>
  <si>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</si>
  <si>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</si>
  <si>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</si>
  <si>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</si>
  <si>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</si>
  <si>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</si>
  <si>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</si>
  <si>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</si>
  <si>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</si>
  <si>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</si>
  <si>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</si>
  <si>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</si>
  <si>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</si>
  <si>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GULERYUZ  FILM</t>
  </si>
  <si>
    <t>APOCALYPSE NOW REDUX</t>
  </si>
  <si>
    <t>A.E. FILM</t>
  </si>
  <si>
    <t>IT'S A FREE WORLD</t>
  </si>
  <si>
    <t>BOLT -3D</t>
  </si>
  <si>
    <t>March</t>
  </si>
  <si>
    <t>27-05</t>
  </si>
  <si>
    <t>UMUT</t>
  </si>
  <si>
    <t>OZEN-HERMES</t>
  </si>
  <si>
    <t>FOUR CHRISTMASES</t>
  </si>
  <si>
    <t>GÖLGESİZLER</t>
  </si>
  <si>
    <t>NARSIST FILM</t>
  </si>
  <si>
    <t>EVCI FILM</t>
  </si>
  <si>
    <t>LEMON TREE</t>
  </si>
  <si>
    <t>EFLATUN FİLM</t>
  </si>
  <si>
    <t>WATCHMEN</t>
  </si>
  <si>
    <t>GRAN TORINO</t>
  </si>
  <si>
    <t>GNOMES AND TROLLS: THE SECRET CHAMBER</t>
  </si>
  <si>
    <t>CINEMATEQUE</t>
  </si>
  <si>
    <t>GOKTEN UC ELMA DUSTU</t>
  </si>
  <si>
    <t>DEFNE FILM</t>
  </si>
  <si>
    <t>YAŞAM ARSIZI</t>
  </si>
  <si>
    <t>TIYATROFIL</t>
  </si>
  <si>
    <t>IKI CIZGI</t>
  </si>
  <si>
    <t>TMNT</t>
  </si>
  <si>
    <t>WEINSTEIN CO.</t>
  </si>
  <si>
    <t>HOODWINKED</t>
  </si>
  <si>
    <t>BIR FILM - MARS P.</t>
  </si>
  <si>
    <t>PICTUREHOUSE</t>
  </si>
  <si>
    <t>SÜPER AJAN K9</t>
  </si>
  <si>
    <t>ELITA FILM</t>
  </si>
  <si>
    <r>
      <t xml:space="preserve">2009 Türkiye Annual Box Office Report  </t>
    </r>
    <r>
      <rPr>
        <sz val="16"/>
        <rFont val="Impact"/>
        <family val="0"/>
      </rPr>
      <t>02  January-19 March 2009</t>
    </r>
  </si>
  <si>
    <r>
      <t>2009 Türkiye Ex Years Releases Annual Box Office Report</t>
    </r>
    <r>
      <rPr>
        <b/>
        <sz val="26"/>
        <rFont val="Impact"/>
        <family val="2"/>
      </rPr>
      <t xml:space="preserve">  </t>
    </r>
    <r>
      <rPr>
        <b/>
        <sz val="16"/>
        <rFont val="Impact"/>
        <family val="2"/>
      </rPr>
      <t>02 January-19 March 2009</t>
    </r>
  </si>
  <si>
    <t>GÜNEŞİ GÖRDÜM</t>
  </si>
  <si>
    <t>BOYUT FILM</t>
  </si>
  <si>
    <t>SLUMDOG MILLIONAIRE</t>
  </si>
  <si>
    <t>CHANTIER-PINEMA</t>
  </si>
  <si>
    <t>SEVEN POUNDS</t>
  </si>
  <si>
    <t>HOTEL FOR DOGS</t>
  </si>
  <si>
    <t>REVALUTIONARY ROAD</t>
  </si>
  <si>
    <t>HE WAS A QUIET MAN</t>
  </si>
  <si>
    <t>ERMAN FILM</t>
  </si>
  <si>
    <t>BLEIBERG</t>
  </si>
  <si>
    <t>NO MAN'S LAND: THE RISE OF REEKER</t>
  </si>
  <si>
    <t>VİCDAN</t>
  </si>
  <si>
    <t>DENIZ FILM-FONO FILM</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</si>
</sst>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3">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thin"/>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style="hair"/>
      <bottom style="medium"/>
    </border>
    <border>
      <left>
        <color indexed="63"/>
      </left>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48">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59"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19" fillId="0" borderId="22" xfId="0" applyFont="1" applyFill="1" applyBorder="1" applyAlignment="1" applyProtection="1">
      <alignment horizontal="right" vertical="center"/>
      <protection/>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35" fillId="0" borderId="16"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59" applyNumberFormat="1" applyFont="1" applyFill="1" applyBorder="1" applyAlignment="1" applyProtection="1">
      <alignment vertical="center"/>
      <protection/>
    </xf>
    <xf numFmtId="192" fontId="11" fillId="0" borderId="13" xfId="59"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left" vertical="center"/>
      <protection locked="0"/>
    </xf>
    <xf numFmtId="0" fontId="11" fillId="0" borderId="24" xfId="0" applyNumberFormat="1" applyFont="1" applyFill="1" applyBorder="1" applyAlignment="1" applyProtection="1">
      <alignment horizontal="center" vertical="center"/>
      <protection locked="0"/>
    </xf>
    <xf numFmtId="200" fontId="11" fillId="0" borderId="24" xfId="42" applyNumberFormat="1" applyFont="1" applyFill="1" applyBorder="1" applyAlignment="1" applyProtection="1">
      <alignment vertical="center"/>
      <protection locked="0"/>
    </xf>
    <xf numFmtId="193" fontId="11" fillId="0" borderId="24" xfId="42" applyNumberFormat="1" applyFont="1" applyFill="1" applyBorder="1" applyAlignment="1" applyProtection="1">
      <alignment vertical="center"/>
      <protection locked="0"/>
    </xf>
    <xf numFmtId="193" fontId="11" fillId="0" borderId="24" xfId="59" applyNumberFormat="1" applyFont="1" applyFill="1" applyBorder="1" applyAlignment="1" applyProtection="1">
      <alignment vertical="center"/>
      <protection/>
    </xf>
    <xf numFmtId="192" fontId="11" fillId="0" borderId="24" xfId="59" applyNumberFormat="1" applyFont="1" applyFill="1" applyBorder="1" applyAlignment="1" applyProtection="1">
      <alignment vertical="center"/>
      <protection/>
    </xf>
    <xf numFmtId="192" fontId="11" fillId="0" borderId="25" xfId="59" applyNumberFormat="1" applyFont="1" applyFill="1" applyBorder="1" applyAlignment="1" applyProtection="1">
      <alignment vertical="center"/>
      <protection/>
    </xf>
    <xf numFmtId="0" fontId="28" fillId="34" borderId="26" xfId="0" applyFont="1" applyFill="1" applyBorder="1" applyAlignment="1">
      <alignment horizontal="right"/>
    </xf>
    <xf numFmtId="49" fontId="28" fillId="34" borderId="27" xfId="0" applyNumberFormat="1" applyFont="1" applyFill="1" applyBorder="1" applyAlignment="1">
      <alignment horizontal="right"/>
    </xf>
    <xf numFmtId="0" fontId="28" fillId="34" borderId="28" xfId="0" applyFont="1" applyFill="1" applyBorder="1" applyAlignment="1">
      <alignment horizontal="right"/>
    </xf>
    <xf numFmtId="0" fontId="28" fillId="34" borderId="27"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9" xfId="0" applyFont="1" applyFill="1" applyBorder="1" applyAlignment="1">
      <alignment horizontal="right"/>
    </xf>
    <xf numFmtId="0" fontId="28" fillId="34" borderId="30" xfId="0" applyFont="1" applyFill="1" applyBorder="1" applyAlignment="1">
      <alignment horizontal="right"/>
    </xf>
    <xf numFmtId="49" fontId="28" fillId="34" borderId="30" xfId="0" applyNumberFormat="1" applyFont="1" applyFill="1" applyBorder="1" applyAlignment="1">
      <alignment horizontal="right"/>
    </xf>
    <xf numFmtId="0" fontId="28" fillId="34" borderId="31"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7" xfId="0" applyNumberFormat="1" applyFont="1" applyFill="1" applyBorder="1" applyAlignment="1">
      <alignment horizontal="right"/>
    </xf>
    <xf numFmtId="3" fontId="28" fillId="34" borderId="27"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9"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9" xfId="0" applyNumberFormat="1" applyFont="1" applyFill="1" applyBorder="1" applyAlignment="1">
      <alignment horizontal="right"/>
    </xf>
    <xf numFmtId="4" fontId="28" fillId="34" borderId="30" xfId="0" applyNumberFormat="1" applyFont="1" applyFill="1" applyBorder="1" applyAlignment="1">
      <alignment horizontal="right"/>
    </xf>
    <xf numFmtId="3" fontId="28" fillId="34" borderId="30" xfId="0" applyNumberFormat="1" applyFont="1" applyFill="1" applyBorder="1" applyAlignment="1">
      <alignment horizontal="right"/>
    </xf>
    <xf numFmtId="10" fontId="28" fillId="34" borderId="31"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7" xfId="0" applyFont="1" applyFill="1" applyBorder="1" applyAlignment="1">
      <alignment horizontal="right"/>
    </xf>
    <xf numFmtId="4" fontId="28" fillId="35" borderId="27"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9"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9" xfId="0" applyNumberFormat="1" applyFont="1" applyFill="1" applyBorder="1" applyAlignment="1">
      <alignment horizontal="right"/>
    </xf>
    <xf numFmtId="0" fontId="28" fillId="35" borderId="0" xfId="0" applyFont="1" applyFill="1" applyBorder="1" applyAlignment="1">
      <alignment horizontal="right"/>
    </xf>
    <xf numFmtId="3" fontId="28" fillId="35" borderId="30" xfId="0" applyNumberFormat="1" applyFont="1" applyFill="1" applyBorder="1" applyAlignment="1">
      <alignment horizontal="right"/>
    </xf>
    <xf numFmtId="4" fontId="28" fillId="35" borderId="30" xfId="0" applyNumberFormat="1" applyFont="1" applyFill="1" applyBorder="1" applyAlignment="1">
      <alignment horizontal="right"/>
    </xf>
    <xf numFmtId="3" fontId="28" fillId="35" borderId="31"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59" applyNumberFormat="1" applyFont="1" applyFill="1" applyBorder="1" applyAlignment="1" applyProtection="1">
      <alignment horizontal="right" vertical="center"/>
      <protection/>
    </xf>
    <xf numFmtId="192" fontId="51" fillId="0" borderId="13" xfId="59"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59" applyNumberFormat="1" applyFont="1" applyFill="1" applyBorder="1" applyAlignment="1" applyProtection="1">
      <alignment horizontal="right" vertical="center"/>
      <protection/>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0" fontId="11" fillId="0" borderId="33" xfId="0" applyNumberFormat="1" applyFont="1" applyFill="1" applyBorder="1" applyAlignment="1" applyProtection="1">
      <alignment horizontal="left" vertical="center"/>
      <protection locked="0"/>
    </xf>
    <xf numFmtId="184" fontId="11" fillId="0" borderId="34" xfId="0" applyNumberFormat="1" applyFont="1" applyFill="1" applyBorder="1" applyAlignment="1" applyProtection="1">
      <alignment horizontal="center" vertical="center"/>
      <protection locked="0"/>
    </xf>
    <xf numFmtId="0" fontId="11" fillId="0" borderId="34" xfId="0" applyNumberFormat="1" applyFont="1" applyFill="1" applyBorder="1" applyAlignment="1" applyProtection="1">
      <alignment horizontal="left" vertical="center"/>
      <protection locked="0"/>
    </xf>
    <xf numFmtId="0" fontId="11" fillId="0" borderId="34" xfId="0" applyNumberFormat="1" applyFont="1" applyFill="1" applyBorder="1" applyAlignment="1" applyProtection="1">
      <alignment horizontal="center" vertical="center"/>
      <protection locked="0"/>
    </xf>
    <xf numFmtId="193" fontId="11" fillId="0" borderId="34" xfId="42" applyNumberFormat="1" applyFont="1" applyFill="1" applyBorder="1" applyAlignment="1" applyProtection="1">
      <alignment vertical="center"/>
      <protection/>
    </xf>
    <xf numFmtId="192" fontId="11" fillId="0" borderId="34" xfId="42" applyNumberFormat="1" applyFont="1" applyFill="1" applyBorder="1" applyAlignment="1" applyProtection="1">
      <alignment vertical="center"/>
      <protection/>
    </xf>
    <xf numFmtId="200" fontId="11" fillId="0" borderId="34" xfId="42" applyNumberFormat="1" applyFont="1" applyFill="1" applyBorder="1" applyAlignment="1" applyProtection="1">
      <alignment vertical="center"/>
      <protection locked="0"/>
    </xf>
    <xf numFmtId="193" fontId="11" fillId="0" borderId="34" xfId="42" applyNumberFormat="1" applyFont="1" applyFill="1" applyBorder="1" applyAlignment="1" applyProtection="1">
      <alignment vertical="center"/>
      <protection locked="0"/>
    </xf>
    <xf numFmtId="192" fontId="11" fillId="0" borderId="35" xfId="42" applyNumberFormat="1" applyFont="1" applyFill="1" applyBorder="1" applyAlignment="1" applyProtection="1">
      <alignment vertical="center"/>
      <protection/>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59"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200" fontId="22" fillId="0" borderId="36" xfId="0" applyNumberFormat="1" applyFont="1" applyFill="1" applyBorder="1" applyAlignment="1" applyProtection="1">
      <alignment horizontal="center" vertical="center" wrapText="1"/>
      <protection/>
    </xf>
    <xf numFmtId="193" fontId="22" fillId="0" borderId="36" xfId="0" applyNumberFormat="1" applyFont="1" applyFill="1" applyBorder="1" applyAlignment="1" applyProtection="1">
      <alignment horizontal="center" vertical="center" wrapText="1"/>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200" fontId="11" fillId="0" borderId="13" xfId="0" applyNumberFormat="1" applyFont="1" applyBorder="1" applyAlignment="1">
      <alignment vertical="center"/>
    </xf>
    <xf numFmtId="0" fontId="11" fillId="0" borderId="15" xfId="0" applyFont="1" applyBorder="1" applyAlignment="1">
      <alignment horizontal="left" vertical="center"/>
    </xf>
    <xf numFmtId="0" fontId="11" fillId="0" borderId="23" xfId="0" applyFont="1" applyBorder="1" applyAlignment="1">
      <alignment horizontal="left" vertical="center"/>
    </xf>
    <xf numFmtId="184" fontId="11" fillId="0" borderId="24" xfId="0" applyNumberFormat="1" applyFont="1" applyBorder="1" applyAlignment="1" applyProtection="1">
      <alignment horizontal="center" vertical="center"/>
      <protection locked="0"/>
    </xf>
    <xf numFmtId="0" fontId="11" fillId="0" borderId="24" xfId="0" applyFont="1" applyBorder="1" applyAlignment="1">
      <alignment horizontal="left" vertical="center"/>
    </xf>
    <xf numFmtId="0" fontId="11" fillId="0" borderId="24" xfId="0" applyFont="1" applyBorder="1" applyAlignment="1">
      <alignment horizontal="center" vertical="center"/>
    </xf>
    <xf numFmtId="193" fontId="11" fillId="0" borderId="24" xfId="0" applyNumberFormat="1" applyFont="1" applyBorder="1" applyAlignment="1">
      <alignment vertical="center"/>
    </xf>
    <xf numFmtId="192" fontId="11" fillId="0" borderId="24" xfId="0" applyNumberFormat="1" applyFont="1" applyBorder="1" applyAlignment="1">
      <alignment vertical="center"/>
    </xf>
    <xf numFmtId="200" fontId="11" fillId="0" borderId="24" xfId="0" applyNumberFormat="1" applyFont="1" applyBorder="1" applyAlignment="1">
      <alignment vertical="center"/>
    </xf>
    <xf numFmtId="192" fontId="11" fillId="0" borderId="25" xfId="0" applyNumberFormat="1" applyFont="1" applyBorder="1" applyAlignment="1">
      <alignment vertical="center"/>
    </xf>
    <xf numFmtId="192" fontId="11" fillId="0" borderId="21" xfId="0" applyNumberFormat="1" applyFont="1" applyBorder="1" applyAlignment="1">
      <alignment vertical="center"/>
    </xf>
    <xf numFmtId="0" fontId="11" fillId="0" borderId="37" xfId="0" applyFont="1" applyBorder="1" applyAlignment="1">
      <alignment horizontal="left" vertical="center"/>
    </xf>
    <xf numFmtId="184" fontId="11" fillId="0" borderId="38" xfId="0" applyNumberFormat="1" applyFont="1" applyBorder="1" applyAlignment="1" applyProtection="1">
      <alignment horizontal="center" vertical="center"/>
      <protection locked="0"/>
    </xf>
    <xf numFmtId="0" fontId="11" fillId="0" borderId="38" xfId="0" applyFont="1" applyBorder="1" applyAlignment="1">
      <alignment horizontal="left" vertical="center"/>
    </xf>
    <xf numFmtId="0" fontId="11" fillId="0" borderId="38" xfId="0" applyFont="1" applyBorder="1" applyAlignment="1">
      <alignment horizontal="center" vertical="center"/>
    </xf>
    <xf numFmtId="200" fontId="28" fillId="0" borderId="38" xfId="0" applyNumberFormat="1" applyFont="1" applyBorder="1" applyAlignment="1">
      <alignment vertical="center"/>
    </xf>
    <xf numFmtId="193" fontId="28" fillId="0" borderId="38" xfId="0" applyNumberFormat="1" applyFont="1" applyBorder="1" applyAlignment="1">
      <alignment vertical="center"/>
    </xf>
    <xf numFmtId="193" fontId="11" fillId="0" borderId="38" xfId="0" applyNumberFormat="1" applyFont="1" applyBorder="1" applyAlignment="1">
      <alignment vertical="center"/>
    </xf>
    <xf numFmtId="192" fontId="11" fillId="0" borderId="38" xfId="0" applyNumberFormat="1" applyFont="1" applyBorder="1" applyAlignment="1">
      <alignment vertical="center"/>
    </xf>
    <xf numFmtId="200" fontId="11" fillId="0" borderId="38" xfId="0" applyNumberFormat="1" applyFont="1" applyBorder="1" applyAlignment="1">
      <alignment vertical="center"/>
    </xf>
    <xf numFmtId="192" fontId="11" fillId="0" borderId="39" xfId="0" applyNumberFormat="1" applyFont="1" applyBorder="1" applyAlignment="1">
      <alignment vertical="center"/>
    </xf>
    <xf numFmtId="0" fontId="11" fillId="0" borderId="32" xfId="0" applyFont="1" applyBorder="1" applyAlignment="1">
      <alignment horizontal="left" vertical="center"/>
    </xf>
    <xf numFmtId="184" fontId="11" fillId="0" borderId="11" xfId="0" applyNumberFormat="1" applyFont="1" applyBorder="1" applyAlignment="1" applyProtection="1">
      <alignment horizontal="center" vertical="center"/>
      <protection locked="0"/>
    </xf>
    <xf numFmtId="0" fontId="11" fillId="0" borderId="11" xfId="0" applyFont="1" applyBorder="1" applyAlignment="1">
      <alignment horizontal="left" vertical="center"/>
    </xf>
    <xf numFmtId="0" fontId="11" fillId="0" borderId="11" xfId="0" applyFont="1" applyBorder="1" applyAlignment="1">
      <alignment horizontal="center" vertical="center"/>
    </xf>
    <xf numFmtId="193" fontId="11" fillId="0" borderId="11" xfId="0" applyNumberFormat="1" applyFont="1" applyBorder="1" applyAlignment="1">
      <alignment vertical="center"/>
    </xf>
    <xf numFmtId="192" fontId="11" fillId="0" borderId="11" xfId="0" applyNumberFormat="1" applyFont="1" applyBorder="1" applyAlignment="1">
      <alignment vertical="center"/>
    </xf>
    <xf numFmtId="200" fontId="11" fillId="0" borderId="11" xfId="0" applyNumberFormat="1" applyFont="1" applyBorder="1" applyAlignment="1">
      <alignment vertical="center"/>
    </xf>
    <xf numFmtId="192" fontId="11" fillId="0" borderId="12" xfId="0" applyNumberFormat="1" applyFont="1" applyBorder="1" applyAlignment="1">
      <alignment vertical="center"/>
    </xf>
    <xf numFmtId="0" fontId="28" fillId="0" borderId="40" xfId="0" applyFont="1" applyBorder="1" applyAlignment="1" applyProtection="1">
      <alignment vertical="center"/>
      <protection locked="0"/>
    </xf>
    <xf numFmtId="200" fontId="28" fillId="0" borderId="24" xfId="42" applyNumberFormat="1" applyFont="1" applyFill="1" applyBorder="1" applyAlignment="1" applyProtection="1">
      <alignment vertical="center"/>
      <protection locked="0"/>
    </xf>
    <xf numFmtId="193" fontId="28" fillId="0" borderId="24"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34" xfId="42" applyNumberFormat="1" applyFont="1" applyFill="1" applyBorder="1" applyAlignment="1" applyProtection="1">
      <alignment vertical="center"/>
      <protection locked="0"/>
    </xf>
    <xf numFmtId="193" fontId="28" fillId="0" borderId="34" xfId="42" applyNumberFormat="1" applyFont="1" applyFill="1" applyBorder="1" applyAlignment="1" applyProtection="1">
      <alignmen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9" fillId="0" borderId="30" xfId="0" applyFont="1" applyFill="1" applyBorder="1" applyAlignment="1">
      <alignment horizontal="right" vertical="center"/>
    </xf>
    <xf numFmtId="0" fontId="13" fillId="0" borderId="0" xfId="0" applyFont="1" applyFill="1" applyAlignment="1">
      <alignment/>
    </xf>
    <xf numFmtId="0" fontId="11" fillId="0" borderId="0" xfId="0" applyFont="1" applyAlignment="1">
      <alignment/>
    </xf>
    <xf numFmtId="200" fontId="28" fillId="0" borderId="24" xfId="0" applyNumberFormat="1" applyFont="1" applyBorder="1" applyAlignment="1">
      <alignment vertical="center"/>
    </xf>
    <xf numFmtId="193" fontId="28" fillId="0" borderId="24" xfId="0" applyNumberFormat="1" applyFont="1" applyBorder="1" applyAlignment="1">
      <alignment vertical="center"/>
    </xf>
    <xf numFmtId="200" fontId="28" fillId="0" borderId="11" xfId="0" applyNumberFormat="1" applyFont="1" applyBorder="1" applyAlignment="1">
      <alignment vertical="center"/>
    </xf>
    <xf numFmtId="193" fontId="28" fillId="0" borderId="11" xfId="0" applyNumberFormat="1" applyFont="1" applyBorder="1" applyAlignment="1">
      <alignment vertical="center"/>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193" fontId="28" fillId="0" borderId="13" xfId="0" applyNumberFormat="1" applyFont="1" applyFill="1" applyBorder="1" applyAlignment="1">
      <alignment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41" xfId="0" applyFont="1" applyFill="1" applyBorder="1" applyAlignment="1" applyProtection="1">
      <alignment horizontal="right" vertical="center"/>
      <protection locked="0"/>
    </xf>
    <xf numFmtId="0" fontId="13" fillId="0" borderId="41" xfId="0" applyNumberFormat="1" applyFont="1" applyFill="1" applyBorder="1" applyAlignment="1" applyProtection="1">
      <alignment horizontal="right" vertical="center"/>
      <protection locked="0"/>
    </xf>
    <xf numFmtId="0" fontId="13" fillId="0" borderId="41" xfId="0" applyFont="1" applyFill="1" applyBorder="1" applyAlignment="1" applyProtection="1">
      <alignment vertical="center"/>
      <protection locked="0"/>
    </xf>
    <xf numFmtId="0" fontId="13" fillId="0" borderId="41" xfId="0" applyNumberFormat="1" applyFont="1" applyFill="1" applyBorder="1" applyAlignment="1" applyProtection="1">
      <alignment vertical="center"/>
      <protection locked="0"/>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4" xfId="0" applyFont="1" applyFill="1" applyBorder="1" applyAlignment="1">
      <alignment horizontal="center" vertical="center"/>
    </xf>
    <xf numFmtId="200" fontId="28" fillId="0" borderId="24" xfId="0" applyNumberFormat="1" applyFont="1" applyFill="1" applyBorder="1" applyAlignment="1">
      <alignment vertical="center"/>
    </xf>
    <xf numFmtId="193" fontId="28" fillId="0" borderId="24" xfId="0" applyNumberFormat="1" applyFont="1" applyFill="1" applyBorder="1" applyAlignment="1">
      <alignment vertical="center"/>
    </xf>
    <xf numFmtId="192" fontId="11" fillId="0" borderId="25" xfId="0" applyNumberFormat="1" applyFont="1" applyFill="1" applyBorder="1" applyAlignment="1">
      <alignment vertical="center"/>
    </xf>
    <xf numFmtId="0" fontId="11" fillId="0" borderId="37" xfId="0" applyFont="1" applyFill="1" applyBorder="1" applyAlignment="1">
      <alignment horizontal="left" vertical="center"/>
    </xf>
    <xf numFmtId="184" fontId="11" fillId="0" borderId="38" xfId="0" applyNumberFormat="1" applyFont="1" applyFill="1" applyBorder="1" applyAlignment="1" applyProtection="1">
      <alignment horizontal="center" vertical="center"/>
      <protection locked="0"/>
    </xf>
    <xf numFmtId="0" fontId="11" fillId="0" borderId="38" xfId="0" applyFont="1" applyFill="1" applyBorder="1" applyAlignment="1">
      <alignment horizontal="left" vertical="center"/>
    </xf>
    <xf numFmtId="0" fontId="11" fillId="0" borderId="38" xfId="0" applyFont="1" applyFill="1" applyBorder="1" applyAlignment="1">
      <alignment horizontal="center" vertical="center"/>
    </xf>
    <xf numFmtId="200" fontId="28" fillId="0" borderId="38" xfId="0" applyNumberFormat="1" applyFont="1" applyFill="1" applyBorder="1" applyAlignment="1">
      <alignment vertical="center"/>
    </xf>
    <xf numFmtId="193" fontId="28" fillId="0" borderId="38" xfId="0" applyNumberFormat="1" applyFont="1" applyFill="1" applyBorder="1" applyAlignment="1">
      <alignment vertical="center"/>
    </xf>
    <xf numFmtId="192" fontId="11" fillId="0" borderId="39" xfId="0" applyNumberFormat="1" applyFont="1" applyFill="1" applyBorder="1" applyAlignment="1">
      <alignment vertical="center"/>
    </xf>
    <xf numFmtId="4" fontId="42" fillId="0" borderId="0" xfId="0" applyNumberFormat="1" applyFont="1" applyFill="1" applyBorder="1" applyAlignment="1">
      <alignment vertical="center"/>
    </xf>
    <xf numFmtId="4" fontId="26" fillId="0" borderId="0" xfId="0" applyNumberFormat="1" applyFont="1" applyFill="1" applyBorder="1" applyAlignment="1">
      <alignment vertical="center"/>
    </xf>
    <xf numFmtId="4" fontId="33" fillId="0" borderId="0" xfId="0" applyNumberFormat="1" applyFont="1" applyFill="1" applyBorder="1" applyAlignment="1">
      <alignment horizontal="center"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41" xfId="0" applyFont="1" applyFill="1" applyBorder="1" applyAlignment="1">
      <alignment horizontal="left" vertical="center"/>
    </xf>
    <xf numFmtId="0" fontId="13" fillId="0" borderId="41" xfId="0" applyFont="1" applyFill="1" applyBorder="1" applyAlignment="1" applyProtection="1">
      <alignment horizontal="left" vertical="center"/>
      <protection locked="0"/>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0" fontId="45" fillId="33" borderId="30" xfId="0" applyFont="1" applyFill="1" applyBorder="1" applyAlignment="1" applyProtection="1">
      <alignment horizontal="center" vertical="center"/>
      <protection/>
    </xf>
    <xf numFmtId="0" fontId="46" fillId="0" borderId="30" xfId="0" applyFont="1" applyBorder="1" applyAlignment="1">
      <alignment/>
    </xf>
    <xf numFmtId="181" fontId="22" fillId="0" borderId="42" xfId="0" applyNumberFormat="1" applyFont="1" applyFill="1" applyBorder="1" applyAlignment="1" applyProtection="1">
      <alignment horizontal="center" vertical="center" wrapText="1"/>
      <protection/>
    </xf>
    <xf numFmtId="0" fontId="0" fillId="0" borderId="43" xfId="0" applyBorder="1" applyAlignment="1">
      <alignment/>
    </xf>
    <xf numFmtId="0" fontId="0" fillId="0" borderId="44" xfId="0" applyBorder="1" applyAlignment="1">
      <alignment/>
    </xf>
    <xf numFmtId="0" fontId="22" fillId="0" borderId="45" xfId="0" applyNumberFormat="1" applyFont="1" applyFill="1" applyBorder="1" applyAlignment="1" applyProtection="1">
      <alignment horizontal="center" vertical="center" wrapText="1"/>
      <protection/>
    </xf>
    <xf numFmtId="0" fontId="0" fillId="0" borderId="46" xfId="0" applyBorder="1" applyAlignment="1">
      <alignment/>
    </xf>
    <xf numFmtId="171" fontId="22" fillId="0" borderId="45" xfId="42" applyFont="1" applyFill="1" applyBorder="1" applyAlignment="1" applyProtection="1">
      <alignment horizontal="center" vertical="center" wrapText="1"/>
      <protection/>
    </xf>
    <xf numFmtId="0" fontId="22" fillId="0" borderId="45" xfId="0" applyFont="1" applyFill="1" applyBorder="1" applyAlignment="1" applyProtection="1">
      <alignment horizontal="center" vertical="center" wrapText="1"/>
      <protection/>
    </xf>
    <xf numFmtId="4" fontId="22" fillId="0" borderId="42"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4" fontId="22" fillId="0" borderId="47" xfId="0" applyNumberFormat="1" applyFont="1" applyFill="1" applyBorder="1" applyAlignment="1" applyProtection="1">
      <alignment horizontal="center" vertical="center" wrapText="1"/>
      <protection/>
    </xf>
    <xf numFmtId="184" fontId="22" fillId="0" borderId="45"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8" xfId="0" applyFont="1" applyFill="1" applyBorder="1" applyAlignment="1">
      <alignment horizontal="right" vertical="center"/>
    </xf>
    <xf numFmtId="0" fontId="0" fillId="0" borderId="4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30" xfId="0"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45"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0" fontId="22" fillId="0" borderId="52" xfId="0" applyNumberFormat="1" applyFont="1" applyFill="1" applyBorder="1" applyAlignment="1" applyProtection="1">
      <alignment horizontal="center" vertical="center" wrapText="1"/>
      <protection/>
    </xf>
    <xf numFmtId="0" fontId="22" fillId="0" borderId="42" xfId="0" applyNumberFormat="1" applyFont="1" applyFill="1" applyBorder="1" applyAlignment="1" applyProtection="1">
      <alignment horizontal="center" vertical="center" wrapText="1"/>
      <protection/>
    </xf>
    <xf numFmtId="0" fontId="22" fillId="0" borderId="47" xfId="0" applyNumberFormat="1" applyFont="1" applyFill="1" applyBorder="1" applyAlignment="1" applyProtection="1">
      <alignment horizontal="center" vertical="center" wrapText="1"/>
      <protection/>
    </xf>
    <xf numFmtId="192" fontId="22" fillId="0" borderId="53" xfId="0" applyNumberFormat="1" applyFont="1" applyFill="1" applyBorder="1" applyAlignment="1" applyProtection="1">
      <alignment horizontal="center" vertical="center" wrapText="1"/>
      <protection/>
    </xf>
    <xf numFmtId="192" fontId="22" fillId="0" borderId="54"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5"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5" xfId="0" applyNumberFormat="1" applyFont="1" applyFill="1" applyBorder="1" applyAlignment="1" applyProtection="1">
      <alignment horizontal="center" vertical="center" wrapText="1"/>
      <protection/>
    </xf>
    <xf numFmtId="0" fontId="9" fillId="0" borderId="46" xfId="0" applyFont="1" applyBorder="1" applyAlignment="1">
      <alignment horizontal="center" vertical="center" wrapText="1"/>
    </xf>
    <xf numFmtId="2" fontId="35" fillId="0" borderId="55" xfId="0" applyNumberFormat="1" applyFont="1" applyFill="1" applyBorder="1" applyAlignment="1" applyProtection="1">
      <alignment horizontal="center" vertical="center" wrapText="1"/>
      <protection/>
    </xf>
    <xf numFmtId="2" fontId="35" fillId="0" borderId="56" xfId="0" applyNumberFormat="1" applyFont="1" applyFill="1" applyBorder="1" applyAlignment="1" applyProtection="1">
      <alignment horizontal="center" vertical="center" wrapText="1"/>
      <protection/>
    </xf>
    <xf numFmtId="0" fontId="35" fillId="0" borderId="55" xfId="0" applyFont="1" applyFill="1" applyBorder="1" applyAlignment="1" applyProtection="1">
      <alignment horizontal="center" vertical="center" wrapText="1"/>
      <protection/>
    </xf>
    <xf numFmtId="2" fontId="49" fillId="34" borderId="30" xfId="0" applyNumberFormat="1" applyFont="1" applyFill="1" applyBorder="1" applyAlignment="1">
      <alignment horizontal="center" vertical="center" wrapText="1"/>
    </xf>
    <xf numFmtId="2" fontId="41" fillId="34" borderId="30" xfId="0" applyNumberFormat="1" applyFont="1" applyFill="1" applyBorder="1" applyAlignment="1">
      <alignment vertical="center" wrapText="1"/>
    </xf>
    <xf numFmtId="2" fontId="9" fillId="34" borderId="30"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7" xfId="42" applyFont="1" applyFill="1" applyBorder="1" applyAlignment="1" applyProtection="1">
      <alignment horizontal="center" vertical="center" wrapText="1"/>
      <protection/>
    </xf>
    <xf numFmtId="0" fontId="9" fillId="0" borderId="58" xfId="0" applyFont="1" applyBorder="1" applyAlignment="1">
      <alignment horizontal="center" vertical="center"/>
    </xf>
    <xf numFmtId="184" fontId="35" fillId="0" borderId="55"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9"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9"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69695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763250" y="333375"/>
          <a:ext cx="2857500"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11
</a:t>
          </a:r>
          <a:r>
            <a:rPr lang="en-US" cap="none" sz="2000" b="0" i="0" u="none" baseline="0">
              <a:solidFill>
                <a:srgbClr val="000000"/>
              </a:solidFill>
              <a:latin typeface="Impact"/>
              <a:ea typeface="Impact"/>
              <a:cs typeface="Impact"/>
            </a:rPr>
            <a:t>13-19 MARCH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79"/>
  <sheetViews>
    <sheetView showGridLines="0" tabSelected="1" zoomScale="84" zoomScaleNormal="84"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5" sqref="B5"/>
    </sheetView>
  </sheetViews>
  <sheetFormatPr defaultColWidth="9.140625" defaultRowHeight="12.75"/>
  <cols>
    <col min="1" max="1" width="3.57421875" style="26" bestFit="1" customWidth="1"/>
    <col min="2" max="2" width="45.57421875" style="4" bestFit="1" customWidth="1"/>
    <col min="3" max="3" width="9.8515625" style="12" bestFit="1" customWidth="1"/>
    <col min="4" max="4" width="17.8515625" style="15" bestFit="1" customWidth="1"/>
    <col min="5" max="5" width="23.00390625" style="15" customWidth="1"/>
    <col min="6" max="6" width="6.140625" style="6" bestFit="1" customWidth="1"/>
    <col min="7" max="7" width="8.57421875" style="6" bestFit="1" customWidth="1"/>
    <col min="8" max="8" width="10.8515625" style="6" customWidth="1"/>
    <col min="9" max="9" width="16.140625" style="70" bestFit="1" customWidth="1"/>
    <col min="10" max="10" width="11.57421875" style="116" bestFit="1" customWidth="1"/>
    <col min="11" max="11" width="10.140625" style="116" customWidth="1"/>
    <col min="12" max="12" width="7.28125" style="22" bestFit="1" customWidth="1"/>
    <col min="13" max="13" width="16.140625" style="74" bestFit="1" customWidth="1"/>
    <col min="14" max="14" width="11.57421875" style="79" bestFit="1" customWidth="1"/>
    <col min="15" max="15" width="7.28125" style="22" bestFit="1" customWidth="1"/>
    <col min="16" max="16" width="2.421875" style="351" bestFit="1"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351"/>
    </row>
    <row r="2" spans="1:16" s="9" customFormat="1" ht="27.75" thickBot="1">
      <c r="A2" s="392" t="s">
        <v>126</v>
      </c>
      <c r="B2" s="393"/>
      <c r="C2" s="393"/>
      <c r="D2" s="393"/>
      <c r="E2" s="393"/>
      <c r="F2" s="393"/>
      <c r="G2" s="393"/>
      <c r="H2" s="393"/>
      <c r="I2" s="393"/>
      <c r="J2" s="393"/>
      <c r="K2" s="393"/>
      <c r="L2" s="393"/>
      <c r="M2" s="393"/>
      <c r="N2" s="393"/>
      <c r="O2" s="393"/>
      <c r="P2" s="351"/>
    </row>
    <row r="3" spans="1:16" s="91" customFormat="1" ht="16.5">
      <c r="A3" s="28"/>
      <c r="B3" s="399" t="s">
        <v>3</v>
      </c>
      <c r="C3" s="404" t="s">
        <v>114</v>
      </c>
      <c r="D3" s="400" t="s">
        <v>130</v>
      </c>
      <c r="E3" s="400" t="s">
        <v>129</v>
      </c>
      <c r="F3" s="397" t="s">
        <v>115</v>
      </c>
      <c r="G3" s="397" t="s">
        <v>122</v>
      </c>
      <c r="H3" s="397" t="s">
        <v>124</v>
      </c>
      <c r="I3" s="401" t="s">
        <v>116</v>
      </c>
      <c r="J3" s="402"/>
      <c r="K3" s="402"/>
      <c r="L3" s="403"/>
      <c r="M3" s="394" t="s">
        <v>117</v>
      </c>
      <c r="N3" s="395"/>
      <c r="O3" s="396"/>
      <c r="P3" s="352"/>
    </row>
    <row r="4" spans="1:16" s="91" customFormat="1" ht="43.5" thickBot="1">
      <c r="A4" s="84"/>
      <c r="B4" s="398"/>
      <c r="C4" s="398"/>
      <c r="D4" s="398"/>
      <c r="E4" s="398"/>
      <c r="F4" s="398"/>
      <c r="G4" s="398"/>
      <c r="H4" s="398"/>
      <c r="I4" s="118" t="s">
        <v>118</v>
      </c>
      <c r="J4" s="92" t="s">
        <v>119</v>
      </c>
      <c r="K4" s="92" t="s">
        <v>102</v>
      </c>
      <c r="L4" s="51" t="s">
        <v>120</v>
      </c>
      <c r="M4" s="118" t="s">
        <v>118</v>
      </c>
      <c r="N4" s="92" t="s">
        <v>119</v>
      </c>
      <c r="O4" s="52" t="s">
        <v>121</v>
      </c>
      <c r="P4" s="352"/>
    </row>
    <row r="5" spans="1:16" s="3" customFormat="1" ht="15">
      <c r="A5" s="63">
        <v>1</v>
      </c>
      <c r="B5" s="294" t="s">
        <v>249</v>
      </c>
      <c r="C5" s="295">
        <v>39884</v>
      </c>
      <c r="D5" s="296" t="s">
        <v>4</v>
      </c>
      <c r="E5" s="296" t="s">
        <v>250</v>
      </c>
      <c r="F5" s="297">
        <v>355</v>
      </c>
      <c r="G5" s="297">
        <v>355</v>
      </c>
      <c r="H5" s="297">
        <v>1</v>
      </c>
      <c r="I5" s="346">
        <v>8405952</v>
      </c>
      <c r="J5" s="347">
        <v>1101986</v>
      </c>
      <c r="K5" s="298">
        <f>+J5/G5</f>
        <v>3104.1859154929575</v>
      </c>
      <c r="L5" s="299">
        <f>+I5/J5</f>
        <v>7.628002533607505</v>
      </c>
      <c r="M5" s="300">
        <v>8405952</v>
      </c>
      <c r="N5" s="298">
        <v>1101986</v>
      </c>
      <c r="O5" s="301">
        <f aca="true" t="shared" si="0" ref="O5:O23">+M5/N5</f>
        <v>7.628002533607505</v>
      </c>
      <c r="P5" s="386">
        <v>1</v>
      </c>
    </row>
    <row r="6" spans="1:16" s="3" customFormat="1" ht="15">
      <c r="A6" s="63">
        <v>2</v>
      </c>
      <c r="B6" s="293" t="s">
        <v>198</v>
      </c>
      <c r="C6" s="286">
        <v>39857</v>
      </c>
      <c r="D6" s="285" t="s">
        <v>133</v>
      </c>
      <c r="E6" s="285" t="s">
        <v>199</v>
      </c>
      <c r="F6" s="287">
        <v>372</v>
      </c>
      <c r="G6" s="287">
        <v>305</v>
      </c>
      <c r="H6" s="287">
        <v>5</v>
      </c>
      <c r="I6" s="288">
        <v>594784</v>
      </c>
      <c r="J6" s="289">
        <v>76573</v>
      </c>
      <c r="K6" s="290">
        <f aca="true" t="shared" si="1" ref="K6:K24">J6/G6</f>
        <v>251.05901639344262</v>
      </c>
      <c r="L6" s="291">
        <f>I6/J6</f>
        <v>7.767542084024395</v>
      </c>
      <c r="M6" s="292">
        <f>17329163.5+9384321+4035301-111+1596787.5-52+594784</f>
        <v>32940194</v>
      </c>
      <c r="N6" s="290">
        <f>2236432+1203711+519916+206906+76573</f>
        <v>4243538</v>
      </c>
      <c r="O6" s="302">
        <f t="shared" si="0"/>
        <v>7.762436438650956</v>
      </c>
      <c r="P6" s="387">
        <v>1</v>
      </c>
    </row>
    <row r="7" spans="1:16" s="3" customFormat="1" ht="15.75" thickBot="1">
      <c r="A7" s="321">
        <v>3</v>
      </c>
      <c r="B7" s="303" t="s">
        <v>251</v>
      </c>
      <c r="C7" s="304">
        <v>39871</v>
      </c>
      <c r="D7" s="305" t="s">
        <v>252</v>
      </c>
      <c r="E7" s="305" t="s">
        <v>113</v>
      </c>
      <c r="F7" s="306">
        <v>57</v>
      </c>
      <c r="G7" s="306">
        <v>54</v>
      </c>
      <c r="H7" s="306">
        <v>3</v>
      </c>
      <c r="I7" s="307">
        <v>405072</v>
      </c>
      <c r="J7" s="308">
        <v>40849</v>
      </c>
      <c r="K7" s="309">
        <f t="shared" si="1"/>
        <v>756.4629629629629</v>
      </c>
      <c r="L7" s="310">
        <f>I7/J7</f>
        <v>9.916325981052168</v>
      </c>
      <c r="M7" s="311">
        <v>2306339</v>
      </c>
      <c r="N7" s="309">
        <v>228577</v>
      </c>
      <c r="O7" s="312">
        <f t="shared" si="0"/>
        <v>10.08998718156245</v>
      </c>
      <c r="P7" s="387"/>
    </row>
    <row r="8" spans="1:16" s="3" customFormat="1" ht="15">
      <c r="A8" s="64">
        <v>4</v>
      </c>
      <c r="B8" s="313" t="s">
        <v>253</v>
      </c>
      <c r="C8" s="314">
        <v>39885</v>
      </c>
      <c r="D8" s="315" t="s">
        <v>131</v>
      </c>
      <c r="E8" s="315" t="s">
        <v>63</v>
      </c>
      <c r="F8" s="316">
        <v>58</v>
      </c>
      <c r="G8" s="316">
        <v>58</v>
      </c>
      <c r="H8" s="316">
        <v>1</v>
      </c>
      <c r="I8" s="348">
        <v>356870</v>
      </c>
      <c r="J8" s="349">
        <v>36991</v>
      </c>
      <c r="K8" s="317">
        <f t="shared" si="1"/>
        <v>637.7758620689655</v>
      </c>
      <c r="L8" s="318">
        <f>I8/J8</f>
        <v>9.647481819902138</v>
      </c>
      <c r="M8" s="319">
        <v>356870</v>
      </c>
      <c r="N8" s="317">
        <v>36991</v>
      </c>
      <c r="O8" s="320">
        <f t="shared" si="0"/>
        <v>9.647481819902138</v>
      </c>
      <c r="P8" s="387"/>
    </row>
    <row r="9" spans="1:16" s="7" customFormat="1" ht="15">
      <c r="A9" s="63">
        <v>5</v>
      </c>
      <c r="B9" s="293" t="s">
        <v>254</v>
      </c>
      <c r="C9" s="286">
        <v>39885</v>
      </c>
      <c r="D9" s="285" t="s">
        <v>132</v>
      </c>
      <c r="E9" s="285" t="s">
        <v>128</v>
      </c>
      <c r="F9" s="287">
        <v>51</v>
      </c>
      <c r="G9" s="287">
        <v>51</v>
      </c>
      <c r="H9" s="287">
        <v>1</v>
      </c>
      <c r="I9" s="288">
        <v>203697</v>
      </c>
      <c r="J9" s="289">
        <v>21835</v>
      </c>
      <c r="K9" s="290">
        <f t="shared" si="1"/>
        <v>428.1372549019608</v>
      </c>
      <c r="L9" s="291">
        <f>+I9/J9</f>
        <v>9.328921456377376</v>
      </c>
      <c r="M9" s="292">
        <v>203697</v>
      </c>
      <c r="N9" s="290">
        <v>21835</v>
      </c>
      <c r="O9" s="302">
        <f t="shared" si="0"/>
        <v>9.328921456377376</v>
      </c>
      <c r="P9" s="387"/>
    </row>
    <row r="10" spans="1:16" s="7" customFormat="1" ht="15">
      <c r="A10" s="63">
        <v>6</v>
      </c>
      <c r="B10" s="293" t="s">
        <v>231</v>
      </c>
      <c r="C10" s="286">
        <v>39878</v>
      </c>
      <c r="D10" s="285" t="s">
        <v>132</v>
      </c>
      <c r="E10" s="285" t="s">
        <v>128</v>
      </c>
      <c r="F10" s="287">
        <v>90</v>
      </c>
      <c r="G10" s="287">
        <v>90</v>
      </c>
      <c r="H10" s="287">
        <v>2</v>
      </c>
      <c r="I10" s="288">
        <v>202015</v>
      </c>
      <c r="J10" s="289">
        <v>21699</v>
      </c>
      <c r="K10" s="290">
        <f t="shared" si="1"/>
        <v>241.1</v>
      </c>
      <c r="L10" s="291">
        <f>+I10/J10</f>
        <v>9.30987603115351</v>
      </c>
      <c r="M10" s="292">
        <v>765001</v>
      </c>
      <c r="N10" s="290">
        <v>81732</v>
      </c>
      <c r="O10" s="302">
        <f t="shared" si="0"/>
        <v>9.359871286644154</v>
      </c>
      <c r="P10" s="387"/>
    </row>
    <row r="11" spans="1:16" s="7" customFormat="1" ht="15">
      <c r="A11" s="63">
        <v>7</v>
      </c>
      <c r="B11" s="293" t="s">
        <v>223</v>
      </c>
      <c r="C11" s="286">
        <v>39871</v>
      </c>
      <c r="D11" s="285" t="s">
        <v>133</v>
      </c>
      <c r="E11" s="285" t="s">
        <v>224</v>
      </c>
      <c r="F11" s="287">
        <v>192</v>
      </c>
      <c r="G11" s="287">
        <v>166</v>
      </c>
      <c r="H11" s="287">
        <v>3</v>
      </c>
      <c r="I11" s="288">
        <v>199559</v>
      </c>
      <c r="J11" s="289">
        <v>31158</v>
      </c>
      <c r="K11" s="290">
        <f t="shared" si="1"/>
        <v>187.6987951807229</v>
      </c>
      <c r="L11" s="291">
        <f>I11/J11</f>
        <v>6.404743565055523</v>
      </c>
      <c r="M11" s="292">
        <f>568084.5+443323.5-20+199559</f>
        <v>1210947</v>
      </c>
      <c r="N11" s="290">
        <f>79686+63059+31158</f>
        <v>173903</v>
      </c>
      <c r="O11" s="302">
        <f t="shared" si="0"/>
        <v>6.963347383311386</v>
      </c>
      <c r="P11" s="387">
        <v>1</v>
      </c>
    </row>
    <row r="12" spans="1:16" s="7" customFormat="1" ht="15">
      <c r="A12" s="63">
        <v>8</v>
      </c>
      <c r="B12" s="293" t="s">
        <v>232</v>
      </c>
      <c r="C12" s="286">
        <v>39878</v>
      </c>
      <c r="D12" s="285" t="s">
        <v>131</v>
      </c>
      <c r="E12" s="285" t="s">
        <v>123</v>
      </c>
      <c r="F12" s="287">
        <v>39</v>
      </c>
      <c r="G12" s="287">
        <v>38</v>
      </c>
      <c r="H12" s="287">
        <v>2</v>
      </c>
      <c r="I12" s="288">
        <f>108142+308</f>
        <v>108450</v>
      </c>
      <c r="J12" s="289">
        <v>10352</v>
      </c>
      <c r="K12" s="290">
        <f t="shared" si="1"/>
        <v>272.42105263157896</v>
      </c>
      <c r="L12" s="291">
        <f>I12/J12</f>
        <v>10.476236476043276</v>
      </c>
      <c r="M12" s="292">
        <f>208640+108142+308</f>
        <v>317090</v>
      </c>
      <c r="N12" s="290">
        <f>19698+10352</f>
        <v>30050</v>
      </c>
      <c r="O12" s="302">
        <f t="shared" si="0"/>
        <v>10.55207986688852</v>
      </c>
      <c r="P12" s="387"/>
    </row>
    <row r="13" spans="1:16" s="7" customFormat="1" ht="15">
      <c r="A13" s="63">
        <v>9</v>
      </c>
      <c r="B13" s="293" t="s">
        <v>255</v>
      </c>
      <c r="C13" s="286">
        <v>39871</v>
      </c>
      <c r="D13" s="285" t="s">
        <v>132</v>
      </c>
      <c r="E13" s="285" t="s">
        <v>128</v>
      </c>
      <c r="F13" s="287">
        <v>40</v>
      </c>
      <c r="G13" s="287">
        <v>38</v>
      </c>
      <c r="H13" s="287">
        <v>3</v>
      </c>
      <c r="I13" s="288">
        <v>102235</v>
      </c>
      <c r="J13" s="289">
        <v>11072</v>
      </c>
      <c r="K13" s="290">
        <f t="shared" si="1"/>
        <v>291.36842105263156</v>
      </c>
      <c r="L13" s="291">
        <f>+I13/J13</f>
        <v>9.233652456647398</v>
      </c>
      <c r="M13" s="292">
        <v>724425</v>
      </c>
      <c r="N13" s="290">
        <v>72920</v>
      </c>
      <c r="O13" s="302">
        <f t="shared" si="0"/>
        <v>9.934517279210093</v>
      </c>
      <c r="P13" s="387"/>
    </row>
    <row r="14" spans="1:16" s="7" customFormat="1" ht="15">
      <c r="A14" s="63">
        <v>10</v>
      </c>
      <c r="B14" s="293" t="s">
        <v>179</v>
      </c>
      <c r="C14" s="286">
        <v>39850</v>
      </c>
      <c r="D14" s="285" t="s">
        <v>131</v>
      </c>
      <c r="E14" s="285" t="s">
        <v>123</v>
      </c>
      <c r="F14" s="287">
        <v>71</v>
      </c>
      <c r="G14" s="287">
        <v>35</v>
      </c>
      <c r="H14" s="287">
        <v>6</v>
      </c>
      <c r="I14" s="288">
        <v>60198</v>
      </c>
      <c r="J14" s="289">
        <v>9484</v>
      </c>
      <c r="K14" s="290">
        <f t="shared" si="1"/>
        <v>270.9714285714286</v>
      </c>
      <c r="L14" s="291">
        <f>I14/J14</f>
        <v>6.3473218051455085</v>
      </c>
      <c r="M14" s="292">
        <f>23710+1679966+898914+783390+367131+248174+60198</f>
        <v>4061483</v>
      </c>
      <c r="N14" s="290">
        <f>2389+174143+94778+84343+41781+31873+9484</f>
        <v>438791</v>
      </c>
      <c r="O14" s="302">
        <f t="shared" si="0"/>
        <v>9.25607635525797</v>
      </c>
      <c r="P14" s="387"/>
    </row>
    <row r="15" spans="1:16" s="7" customFormat="1" ht="15">
      <c r="A15" s="63">
        <v>11</v>
      </c>
      <c r="B15" s="293" t="s">
        <v>209</v>
      </c>
      <c r="C15" s="286">
        <v>39857</v>
      </c>
      <c r="D15" s="285" t="s">
        <v>131</v>
      </c>
      <c r="E15" s="285" t="s">
        <v>35</v>
      </c>
      <c r="F15" s="287">
        <v>25</v>
      </c>
      <c r="G15" s="287">
        <v>6</v>
      </c>
      <c r="H15" s="287">
        <v>5</v>
      </c>
      <c r="I15" s="288">
        <v>40928</v>
      </c>
      <c r="J15" s="289">
        <v>4602</v>
      </c>
      <c r="K15" s="290">
        <f t="shared" si="1"/>
        <v>767</v>
      </c>
      <c r="L15" s="291">
        <f>I15/J15</f>
        <v>8.893524554541504</v>
      </c>
      <c r="M15" s="292">
        <f>431037+376139+288602-245+148454+40928</f>
        <v>1284915</v>
      </c>
      <c r="N15" s="290">
        <f>37016+33054+25810+12999+4602</f>
        <v>113481</v>
      </c>
      <c r="O15" s="302">
        <f t="shared" si="0"/>
        <v>11.322732439791682</v>
      </c>
      <c r="P15" s="387"/>
    </row>
    <row r="16" spans="1:16" s="7" customFormat="1" ht="15">
      <c r="A16" s="63">
        <v>12</v>
      </c>
      <c r="B16" s="293" t="s">
        <v>226</v>
      </c>
      <c r="C16" s="286">
        <v>39871</v>
      </c>
      <c r="D16" s="285" t="s">
        <v>132</v>
      </c>
      <c r="E16" s="285" t="s">
        <v>227</v>
      </c>
      <c r="F16" s="287">
        <v>52</v>
      </c>
      <c r="G16" s="287">
        <v>37</v>
      </c>
      <c r="H16" s="287">
        <v>3</v>
      </c>
      <c r="I16" s="288">
        <v>33701</v>
      </c>
      <c r="J16" s="289">
        <v>4967</v>
      </c>
      <c r="K16" s="290">
        <f t="shared" si="1"/>
        <v>134.24324324324326</v>
      </c>
      <c r="L16" s="291">
        <f>+I16/J16</f>
        <v>6.7849808737668615</v>
      </c>
      <c r="M16" s="292">
        <v>300887</v>
      </c>
      <c r="N16" s="290">
        <v>37733</v>
      </c>
      <c r="O16" s="302">
        <f t="shared" si="0"/>
        <v>7.974107545119656</v>
      </c>
      <c r="P16" s="387">
        <v>1</v>
      </c>
    </row>
    <row r="17" spans="1:16" s="7" customFormat="1" ht="15">
      <c r="A17" s="63">
        <v>13</v>
      </c>
      <c r="B17" s="293" t="s">
        <v>152</v>
      </c>
      <c r="C17" s="286">
        <v>39836</v>
      </c>
      <c r="D17" s="285" t="s">
        <v>133</v>
      </c>
      <c r="E17" s="285" t="s">
        <v>153</v>
      </c>
      <c r="F17" s="287">
        <v>180</v>
      </c>
      <c r="G17" s="287">
        <v>7</v>
      </c>
      <c r="H17" s="287">
        <v>8</v>
      </c>
      <c r="I17" s="288">
        <v>10481.5</v>
      </c>
      <c r="J17" s="289">
        <v>2243</v>
      </c>
      <c r="K17" s="290">
        <f t="shared" si="1"/>
        <v>320.42857142857144</v>
      </c>
      <c r="L17" s="291">
        <f>I17/J17</f>
        <v>4.672982612572447</v>
      </c>
      <c r="M17" s="292">
        <f>1758644.5+1323710+941534+309534.5+197920+55019+28515+10481.5</f>
        <v>4625358.5</v>
      </c>
      <c r="N17" s="290">
        <f>205635+158652+117576+43365+28181+9066+4843+2243</f>
        <v>569561</v>
      </c>
      <c r="O17" s="302">
        <f t="shared" si="0"/>
        <v>8.120918567106948</v>
      </c>
      <c r="P17" s="387">
        <v>1</v>
      </c>
    </row>
    <row r="18" spans="1:16" s="7" customFormat="1" ht="15">
      <c r="A18" s="63">
        <v>14</v>
      </c>
      <c r="B18" s="293" t="s">
        <v>86</v>
      </c>
      <c r="C18" s="286">
        <v>39822</v>
      </c>
      <c r="D18" s="285" t="s">
        <v>137</v>
      </c>
      <c r="E18" s="285" t="s">
        <v>87</v>
      </c>
      <c r="F18" s="287">
        <v>175</v>
      </c>
      <c r="G18" s="287">
        <v>5</v>
      </c>
      <c r="H18" s="287">
        <v>10</v>
      </c>
      <c r="I18" s="288">
        <v>7480</v>
      </c>
      <c r="J18" s="289">
        <v>1558</v>
      </c>
      <c r="K18" s="290">
        <f t="shared" si="1"/>
        <v>311.6</v>
      </c>
      <c r="L18" s="291">
        <f>IF(I18&lt;&gt;0,I18/J18,"")</f>
        <v>4.801026957637998</v>
      </c>
      <c r="M18" s="292">
        <v>3495811</v>
      </c>
      <c r="N18" s="290">
        <v>476105</v>
      </c>
      <c r="O18" s="302">
        <f t="shared" si="0"/>
        <v>7.342521082534315</v>
      </c>
      <c r="P18" s="387">
        <v>1</v>
      </c>
    </row>
    <row r="19" spans="1:16" s="7" customFormat="1" ht="15">
      <c r="A19" s="63">
        <v>15</v>
      </c>
      <c r="B19" s="293" t="s">
        <v>5</v>
      </c>
      <c r="C19" s="286">
        <v>39829</v>
      </c>
      <c r="D19" s="285" t="s">
        <v>137</v>
      </c>
      <c r="E19" s="285" t="s">
        <v>154</v>
      </c>
      <c r="F19" s="287">
        <v>169</v>
      </c>
      <c r="G19" s="287">
        <v>10</v>
      </c>
      <c r="H19" s="287">
        <v>9</v>
      </c>
      <c r="I19" s="288">
        <v>5097.5</v>
      </c>
      <c r="J19" s="289">
        <v>952</v>
      </c>
      <c r="K19" s="290">
        <f t="shared" si="1"/>
        <v>95.2</v>
      </c>
      <c r="L19" s="291">
        <f>IF(I19&lt;&gt;0,I19/J19,"")</f>
        <v>5.354516806722689</v>
      </c>
      <c r="M19" s="292">
        <v>3739481.5</v>
      </c>
      <c r="N19" s="290">
        <v>511966</v>
      </c>
      <c r="O19" s="302">
        <f t="shared" si="0"/>
        <v>7.30415984655231</v>
      </c>
      <c r="P19" s="387">
        <v>1</v>
      </c>
    </row>
    <row r="20" spans="1:16" s="7" customFormat="1" ht="15">
      <c r="A20" s="63">
        <v>16</v>
      </c>
      <c r="B20" s="293" t="s">
        <v>225</v>
      </c>
      <c r="C20" s="286">
        <v>39871</v>
      </c>
      <c r="D20" s="285" t="s">
        <v>131</v>
      </c>
      <c r="E20" s="285" t="s">
        <v>123</v>
      </c>
      <c r="F20" s="287">
        <v>50</v>
      </c>
      <c r="G20" s="287">
        <v>6</v>
      </c>
      <c r="H20" s="287">
        <v>3</v>
      </c>
      <c r="I20" s="288">
        <v>4926</v>
      </c>
      <c r="J20" s="289">
        <v>552</v>
      </c>
      <c r="K20" s="290">
        <f t="shared" si="1"/>
        <v>92</v>
      </c>
      <c r="L20" s="291">
        <f>I20/J20</f>
        <v>8.923913043478262</v>
      </c>
      <c r="M20" s="292">
        <f>170980+80213+4926</f>
        <v>256119</v>
      </c>
      <c r="N20" s="290">
        <f>17959+8528+552</f>
        <v>27039</v>
      </c>
      <c r="O20" s="302">
        <f t="shared" si="0"/>
        <v>9.472206812382115</v>
      </c>
      <c r="P20" s="387"/>
    </row>
    <row r="21" spans="1:16" s="7" customFormat="1" ht="15">
      <c r="A21" s="63">
        <v>17</v>
      </c>
      <c r="B21" s="293" t="s">
        <v>205</v>
      </c>
      <c r="C21" s="286">
        <v>39808</v>
      </c>
      <c r="D21" s="285" t="s">
        <v>132</v>
      </c>
      <c r="E21" s="285" t="s">
        <v>112</v>
      </c>
      <c r="F21" s="287">
        <v>112</v>
      </c>
      <c r="G21" s="287">
        <v>2</v>
      </c>
      <c r="H21" s="287">
        <v>12</v>
      </c>
      <c r="I21" s="288">
        <v>3376</v>
      </c>
      <c r="J21" s="289">
        <v>555</v>
      </c>
      <c r="K21" s="290">
        <f t="shared" si="1"/>
        <v>277.5</v>
      </c>
      <c r="L21" s="291">
        <f>+I21/J21</f>
        <v>6.082882882882883</v>
      </c>
      <c r="M21" s="292">
        <v>2041864</v>
      </c>
      <c r="N21" s="290">
        <v>210512</v>
      </c>
      <c r="O21" s="302">
        <f t="shared" si="0"/>
        <v>9.699513566922551</v>
      </c>
      <c r="P21" s="387"/>
    </row>
    <row r="22" spans="1:16" s="7" customFormat="1" ht="15">
      <c r="A22" s="63">
        <v>18</v>
      </c>
      <c r="B22" s="293" t="s">
        <v>156</v>
      </c>
      <c r="C22" s="286">
        <v>39836</v>
      </c>
      <c r="D22" s="285" t="s">
        <v>137</v>
      </c>
      <c r="E22" s="285" t="s">
        <v>157</v>
      </c>
      <c r="F22" s="287">
        <v>86</v>
      </c>
      <c r="G22" s="287">
        <v>6</v>
      </c>
      <c r="H22" s="287">
        <v>8</v>
      </c>
      <c r="I22" s="288">
        <v>2864</v>
      </c>
      <c r="J22" s="289">
        <v>516</v>
      </c>
      <c r="K22" s="290">
        <f t="shared" si="1"/>
        <v>86</v>
      </c>
      <c r="L22" s="291">
        <f>IF(I22&lt;&gt;0,I22/J22,"")</f>
        <v>5.550387596899225</v>
      </c>
      <c r="M22" s="292">
        <v>1415725.5</v>
      </c>
      <c r="N22" s="290">
        <v>160746</v>
      </c>
      <c r="O22" s="302">
        <f t="shared" si="0"/>
        <v>8.807220708446867</v>
      </c>
      <c r="P22" s="387"/>
    </row>
    <row r="23" spans="1:16" s="7" customFormat="1" ht="15">
      <c r="A23" s="63">
        <v>19</v>
      </c>
      <c r="B23" s="293" t="s">
        <v>64</v>
      </c>
      <c r="C23" s="286">
        <v>39759</v>
      </c>
      <c r="D23" s="285" t="s">
        <v>65</v>
      </c>
      <c r="E23" s="285" t="s">
        <v>66</v>
      </c>
      <c r="F23" s="287">
        <v>6</v>
      </c>
      <c r="G23" s="287">
        <v>6</v>
      </c>
      <c r="H23" s="287">
        <v>19</v>
      </c>
      <c r="I23" s="288">
        <v>2175</v>
      </c>
      <c r="J23" s="289">
        <v>333</v>
      </c>
      <c r="K23" s="290">
        <f t="shared" si="1"/>
        <v>55.5</v>
      </c>
      <c r="L23" s="291">
        <f>I23/J23</f>
        <v>6.531531531531532</v>
      </c>
      <c r="M23" s="292">
        <v>23358862.5</v>
      </c>
      <c r="N23" s="290">
        <v>2777586</v>
      </c>
      <c r="O23" s="302">
        <f t="shared" si="0"/>
        <v>8.409771110597475</v>
      </c>
      <c r="P23" s="387">
        <v>1</v>
      </c>
    </row>
    <row r="24" spans="1:16" s="7" customFormat="1" ht="15">
      <c r="A24" s="63">
        <v>20</v>
      </c>
      <c r="B24" s="293" t="s">
        <v>146</v>
      </c>
      <c r="C24" s="286">
        <v>39801</v>
      </c>
      <c r="D24" s="285" t="s">
        <v>137</v>
      </c>
      <c r="E24" s="285" t="s">
        <v>147</v>
      </c>
      <c r="F24" s="287">
        <v>84</v>
      </c>
      <c r="G24" s="287">
        <v>2</v>
      </c>
      <c r="H24" s="287">
        <v>13</v>
      </c>
      <c r="I24" s="288">
        <v>2130</v>
      </c>
      <c r="J24" s="289">
        <v>426</v>
      </c>
      <c r="K24" s="290">
        <f t="shared" si="1"/>
        <v>213</v>
      </c>
      <c r="L24" s="291">
        <f>IF(I24&lt;&gt;0,I24/J24,"")</f>
        <v>5</v>
      </c>
      <c r="M24" s="292">
        <v>618762</v>
      </c>
      <c r="N24" s="290">
        <v>74919</v>
      </c>
      <c r="O24" s="302">
        <f>IF(M24&lt;&gt;0,M24/N24,"")</f>
        <v>8.259079806190686</v>
      </c>
      <c r="P24" s="387">
        <v>1</v>
      </c>
    </row>
    <row r="25" spans="1:16" s="7" customFormat="1" ht="15">
      <c r="A25" s="63">
        <v>21</v>
      </c>
      <c r="B25" s="293" t="s">
        <v>175</v>
      </c>
      <c r="C25" s="286">
        <v>39843</v>
      </c>
      <c r="D25" s="285" t="s">
        <v>137</v>
      </c>
      <c r="E25" s="285" t="s">
        <v>176</v>
      </c>
      <c r="F25" s="287">
        <v>92</v>
      </c>
      <c r="G25" s="287">
        <v>3</v>
      </c>
      <c r="H25" s="287">
        <v>7</v>
      </c>
      <c r="I25" s="288">
        <v>2021.5</v>
      </c>
      <c r="J25" s="289">
        <v>383</v>
      </c>
      <c r="K25" s="290">
        <f>IF(I25&lt;&gt;0,J25/G25,"")</f>
        <v>127.66666666666667</v>
      </c>
      <c r="L25" s="291">
        <f>IF(I25&lt;&gt;0,I25/J25,"")</f>
        <v>5.278067885117493</v>
      </c>
      <c r="M25" s="292">
        <v>635039.5</v>
      </c>
      <c r="N25" s="290">
        <v>74712</v>
      </c>
      <c r="O25" s="302">
        <f>IF(M25&lt;&gt;0,M25/N25,"")</f>
        <v>8.49983269086626</v>
      </c>
      <c r="P25" s="387">
        <v>1</v>
      </c>
    </row>
    <row r="26" spans="1:16" s="7" customFormat="1" ht="15">
      <c r="A26" s="63">
        <v>22</v>
      </c>
      <c r="B26" s="293" t="s">
        <v>210</v>
      </c>
      <c r="C26" s="286">
        <v>39864</v>
      </c>
      <c r="D26" s="285" t="s">
        <v>132</v>
      </c>
      <c r="E26" s="285" t="s">
        <v>112</v>
      </c>
      <c r="F26" s="287">
        <v>45</v>
      </c>
      <c r="G26" s="287">
        <v>3</v>
      </c>
      <c r="H26" s="287">
        <v>4</v>
      </c>
      <c r="I26" s="288">
        <v>1833</v>
      </c>
      <c r="J26" s="289">
        <v>253</v>
      </c>
      <c r="K26" s="290">
        <f aca="true" t="shared" si="2" ref="K26:K32">J26/G26</f>
        <v>84.33333333333333</v>
      </c>
      <c r="L26" s="291">
        <f>+I26/J26</f>
        <v>7.24505928853755</v>
      </c>
      <c r="M26" s="292">
        <v>504185</v>
      </c>
      <c r="N26" s="290">
        <v>48168</v>
      </c>
      <c r="O26" s="302">
        <f aca="true" t="shared" si="3" ref="O26:O32">+M26/N26</f>
        <v>10.467218900514865</v>
      </c>
      <c r="P26" s="387"/>
    </row>
    <row r="27" spans="1:16" s="7" customFormat="1" ht="15">
      <c r="A27" s="63">
        <v>23</v>
      </c>
      <c r="B27" s="293" t="s">
        <v>237</v>
      </c>
      <c r="C27" s="286">
        <v>39878</v>
      </c>
      <c r="D27" s="285" t="s">
        <v>93</v>
      </c>
      <c r="E27" s="285" t="s">
        <v>238</v>
      </c>
      <c r="F27" s="287">
        <v>10</v>
      </c>
      <c r="G27" s="287">
        <v>10</v>
      </c>
      <c r="H27" s="287">
        <v>2</v>
      </c>
      <c r="I27" s="288">
        <v>1779.5</v>
      </c>
      <c r="J27" s="289">
        <v>178</v>
      </c>
      <c r="K27" s="290">
        <f t="shared" si="2"/>
        <v>17.8</v>
      </c>
      <c r="L27" s="291">
        <f>I27/J27</f>
        <v>9.997191011235955</v>
      </c>
      <c r="M27" s="292">
        <v>17440</v>
      </c>
      <c r="N27" s="290">
        <v>1767</v>
      </c>
      <c r="O27" s="302">
        <f t="shared" si="3"/>
        <v>9.869835880022638</v>
      </c>
      <c r="P27" s="386">
        <v>1</v>
      </c>
    </row>
    <row r="28" spans="1:16" s="7" customFormat="1" ht="15">
      <c r="A28" s="63">
        <v>24</v>
      </c>
      <c r="B28" s="350" t="s">
        <v>256</v>
      </c>
      <c r="C28" s="385">
        <v>39878</v>
      </c>
      <c r="D28" s="384" t="s">
        <v>257</v>
      </c>
      <c r="E28" s="384" t="s">
        <v>258</v>
      </c>
      <c r="F28" s="287">
        <v>11</v>
      </c>
      <c r="G28" s="287">
        <v>5</v>
      </c>
      <c r="H28" s="287">
        <v>2</v>
      </c>
      <c r="I28" s="288">
        <v>1712.5</v>
      </c>
      <c r="J28" s="289">
        <v>180</v>
      </c>
      <c r="K28" s="290">
        <f t="shared" si="2"/>
        <v>36</v>
      </c>
      <c r="L28" s="291">
        <v>10</v>
      </c>
      <c r="M28" s="292">
        <v>30325.5</v>
      </c>
      <c r="N28" s="290">
        <v>2720</v>
      </c>
      <c r="O28" s="302">
        <f t="shared" si="3"/>
        <v>11.14908088235294</v>
      </c>
      <c r="P28" s="387"/>
    </row>
    <row r="29" spans="1:16" s="7" customFormat="1" ht="15">
      <c r="A29" s="63">
        <v>25</v>
      </c>
      <c r="B29" s="293" t="s">
        <v>155</v>
      </c>
      <c r="C29" s="286">
        <v>39836</v>
      </c>
      <c r="D29" s="285" t="s">
        <v>132</v>
      </c>
      <c r="E29" s="285" t="s">
        <v>43</v>
      </c>
      <c r="F29" s="287">
        <v>108</v>
      </c>
      <c r="G29" s="287">
        <v>5</v>
      </c>
      <c r="H29" s="287">
        <v>8</v>
      </c>
      <c r="I29" s="288">
        <v>1240</v>
      </c>
      <c r="J29" s="289">
        <v>505</v>
      </c>
      <c r="K29" s="290">
        <f t="shared" si="2"/>
        <v>101</v>
      </c>
      <c r="L29" s="291">
        <f>+I29/J29</f>
        <v>2.4554455445544554</v>
      </c>
      <c r="M29" s="292">
        <v>2268024</v>
      </c>
      <c r="N29" s="290">
        <v>269053</v>
      </c>
      <c r="O29" s="302">
        <f t="shared" si="3"/>
        <v>8.429655123711685</v>
      </c>
      <c r="P29" s="387"/>
    </row>
    <row r="30" spans="1:16" s="7" customFormat="1" ht="15">
      <c r="A30" s="63">
        <v>26</v>
      </c>
      <c r="B30" s="293" t="s">
        <v>185</v>
      </c>
      <c r="C30" s="286">
        <v>39850</v>
      </c>
      <c r="D30" s="285" t="s">
        <v>132</v>
      </c>
      <c r="E30" s="285" t="s">
        <v>112</v>
      </c>
      <c r="F30" s="287">
        <v>26</v>
      </c>
      <c r="G30" s="287">
        <v>2</v>
      </c>
      <c r="H30" s="287">
        <v>6</v>
      </c>
      <c r="I30" s="288">
        <v>1017</v>
      </c>
      <c r="J30" s="289">
        <v>175</v>
      </c>
      <c r="K30" s="290">
        <f t="shared" si="2"/>
        <v>87.5</v>
      </c>
      <c r="L30" s="291">
        <f>+I30/J30</f>
        <v>5.811428571428571</v>
      </c>
      <c r="M30" s="292">
        <v>400640</v>
      </c>
      <c r="N30" s="290">
        <v>38896</v>
      </c>
      <c r="O30" s="302">
        <f t="shared" si="3"/>
        <v>10.30028794734677</v>
      </c>
      <c r="P30" s="387"/>
    </row>
    <row r="31" spans="1:16" s="7" customFormat="1" ht="15">
      <c r="A31" s="63">
        <v>27</v>
      </c>
      <c r="B31" s="293" t="s">
        <v>70</v>
      </c>
      <c r="C31" s="286">
        <v>39766</v>
      </c>
      <c r="D31" s="285" t="s">
        <v>133</v>
      </c>
      <c r="E31" s="285" t="s">
        <v>71</v>
      </c>
      <c r="F31" s="287">
        <v>1</v>
      </c>
      <c r="G31" s="287">
        <v>1</v>
      </c>
      <c r="H31" s="287">
        <v>18</v>
      </c>
      <c r="I31" s="288">
        <v>852</v>
      </c>
      <c r="J31" s="289">
        <v>172</v>
      </c>
      <c r="K31" s="290">
        <f t="shared" si="2"/>
        <v>172</v>
      </c>
      <c r="L31" s="291">
        <f>I31/J31</f>
        <v>4.953488372093023</v>
      </c>
      <c r="M31" s="292">
        <f>191668+16358.5+8305+0.5+19699.5+16705.5+7289+4467+3138+2267+1882+6536+9273+1289+852</f>
        <v>289730</v>
      </c>
      <c r="N31" s="290">
        <f>10324+8249+7871+7121+4755+3362+1751+2958+2636+1185+800+596+440+265+961+1648+202+172</f>
        <v>55296</v>
      </c>
      <c r="O31" s="302">
        <f t="shared" si="3"/>
        <v>5.239619502314815</v>
      </c>
      <c r="P31" s="387">
        <v>1</v>
      </c>
    </row>
    <row r="32" spans="1:16" s="7" customFormat="1" ht="15">
      <c r="A32" s="63">
        <v>28</v>
      </c>
      <c r="B32" s="293" t="s">
        <v>178</v>
      </c>
      <c r="C32" s="286">
        <v>39843</v>
      </c>
      <c r="D32" s="285" t="s">
        <v>133</v>
      </c>
      <c r="E32" s="285" t="s">
        <v>13</v>
      </c>
      <c r="F32" s="287">
        <v>2</v>
      </c>
      <c r="G32" s="287">
        <v>2</v>
      </c>
      <c r="H32" s="287">
        <v>7</v>
      </c>
      <c r="I32" s="288">
        <v>811</v>
      </c>
      <c r="J32" s="289">
        <v>189</v>
      </c>
      <c r="K32" s="290">
        <f t="shared" si="2"/>
        <v>94.5</v>
      </c>
      <c r="L32" s="291">
        <f>I32/J32</f>
        <v>4.291005291005291</v>
      </c>
      <c r="M32" s="292">
        <f>168651.5+46529+10620.5+4304+0.5+12367.5+5085+0.5+811</f>
        <v>248369.5</v>
      </c>
      <c r="N32" s="290">
        <f>20118+5529+1513+681+2223+920+189</f>
        <v>31173</v>
      </c>
      <c r="O32" s="302">
        <f t="shared" si="3"/>
        <v>7.9674558111185965</v>
      </c>
      <c r="P32" s="387"/>
    </row>
    <row r="33" spans="1:16" s="7" customFormat="1" ht="15">
      <c r="A33" s="63">
        <v>29</v>
      </c>
      <c r="B33" s="293" t="s">
        <v>38</v>
      </c>
      <c r="C33" s="286">
        <v>39815</v>
      </c>
      <c r="D33" s="285" t="s">
        <v>137</v>
      </c>
      <c r="E33" s="285" t="s">
        <v>39</v>
      </c>
      <c r="F33" s="287">
        <v>16</v>
      </c>
      <c r="G33" s="287">
        <v>1</v>
      </c>
      <c r="H33" s="287">
        <v>9</v>
      </c>
      <c r="I33" s="288">
        <v>805</v>
      </c>
      <c r="J33" s="289">
        <v>161</v>
      </c>
      <c r="K33" s="290">
        <f>IF(I33&lt;&gt;0,J33/G33,"")</f>
        <v>161</v>
      </c>
      <c r="L33" s="291">
        <f>IF(I33&lt;&gt;0,I33/J33,"")</f>
        <v>5</v>
      </c>
      <c r="M33" s="292">
        <v>56722.5</v>
      </c>
      <c r="N33" s="290">
        <v>6353</v>
      </c>
      <c r="O33" s="302">
        <f>IF(M33&lt;&gt;0,M33/N33,"")</f>
        <v>8.92845899575004</v>
      </c>
      <c r="P33" s="387">
        <v>1</v>
      </c>
    </row>
    <row r="34" spans="1:16" s="7" customFormat="1" ht="15">
      <c r="A34" s="63">
        <v>30</v>
      </c>
      <c r="B34" s="293" t="s">
        <v>184</v>
      </c>
      <c r="C34" s="286">
        <v>39850</v>
      </c>
      <c r="D34" s="285" t="s">
        <v>132</v>
      </c>
      <c r="E34" s="285" t="s">
        <v>112</v>
      </c>
      <c r="F34" s="287">
        <v>78</v>
      </c>
      <c r="G34" s="287">
        <v>3</v>
      </c>
      <c r="H34" s="287">
        <v>6</v>
      </c>
      <c r="I34" s="288">
        <v>796</v>
      </c>
      <c r="J34" s="289">
        <v>172</v>
      </c>
      <c r="K34" s="290">
        <f aca="true" t="shared" si="4" ref="K34:K39">J34/G34</f>
        <v>57.333333333333336</v>
      </c>
      <c r="L34" s="291">
        <f>+I34/J34</f>
        <v>4.627906976744186</v>
      </c>
      <c r="M34" s="292">
        <v>898706</v>
      </c>
      <c r="N34" s="290">
        <v>97122</v>
      </c>
      <c r="O34" s="302">
        <f aca="true" t="shared" si="5" ref="O34:O39">+M34/N34</f>
        <v>9.25337204752785</v>
      </c>
      <c r="P34" s="387"/>
    </row>
    <row r="35" spans="1:16" s="7" customFormat="1" ht="15">
      <c r="A35" s="63">
        <v>31</v>
      </c>
      <c r="B35" s="293" t="s">
        <v>89</v>
      </c>
      <c r="C35" s="286">
        <v>39822</v>
      </c>
      <c r="D35" s="285" t="s">
        <v>132</v>
      </c>
      <c r="E35" s="285" t="s">
        <v>43</v>
      </c>
      <c r="F35" s="287">
        <v>56</v>
      </c>
      <c r="G35" s="287">
        <v>2</v>
      </c>
      <c r="H35" s="287">
        <v>10</v>
      </c>
      <c r="I35" s="288">
        <v>618</v>
      </c>
      <c r="J35" s="289">
        <v>95</v>
      </c>
      <c r="K35" s="290">
        <f t="shared" si="4"/>
        <v>47.5</v>
      </c>
      <c r="L35" s="291">
        <f>+I35/J35</f>
        <v>6.505263157894737</v>
      </c>
      <c r="M35" s="292">
        <v>1242992</v>
      </c>
      <c r="N35" s="290">
        <v>140680</v>
      </c>
      <c r="O35" s="302">
        <f t="shared" si="5"/>
        <v>8.83559852146716</v>
      </c>
      <c r="P35" s="387"/>
    </row>
    <row r="36" spans="1:16" s="7" customFormat="1" ht="15">
      <c r="A36" s="63">
        <v>32</v>
      </c>
      <c r="B36" s="49" t="s">
        <v>22</v>
      </c>
      <c r="C36" s="286">
        <v>39787</v>
      </c>
      <c r="D36" s="285" t="s">
        <v>132</v>
      </c>
      <c r="E36" s="65" t="s">
        <v>139</v>
      </c>
      <c r="F36" s="287">
        <v>406</v>
      </c>
      <c r="G36" s="287">
        <v>1</v>
      </c>
      <c r="H36" s="287">
        <v>15</v>
      </c>
      <c r="I36" s="288">
        <v>385</v>
      </c>
      <c r="J36" s="289">
        <v>81</v>
      </c>
      <c r="K36" s="290">
        <f t="shared" si="4"/>
        <v>81</v>
      </c>
      <c r="L36" s="291">
        <f>+I36/J36</f>
        <v>4.753086419753086</v>
      </c>
      <c r="M36" s="292">
        <v>30400302</v>
      </c>
      <c r="N36" s="290">
        <v>3701940</v>
      </c>
      <c r="O36" s="302">
        <f t="shared" si="5"/>
        <v>8.21199209063356</v>
      </c>
      <c r="P36" s="387">
        <v>1</v>
      </c>
    </row>
    <row r="37" spans="1:16" s="7" customFormat="1" ht="15">
      <c r="A37" s="63">
        <v>33</v>
      </c>
      <c r="B37" s="293" t="s">
        <v>174</v>
      </c>
      <c r="C37" s="286">
        <v>39843</v>
      </c>
      <c r="D37" s="285" t="s">
        <v>132</v>
      </c>
      <c r="E37" s="285" t="s">
        <v>43</v>
      </c>
      <c r="F37" s="287">
        <v>53</v>
      </c>
      <c r="G37" s="287">
        <v>2</v>
      </c>
      <c r="H37" s="287">
        <v>7</v>
      </c>
      <c r="I37" s="288">
        <v>350</v>
      </c>
      <c r="J37" s="289">
        <v>53</v>
      </c>
      <c r="K37" s="290">
        <f t="shared" si="4"/>
        <v>26.5</v>
      </c>
      <c r="L37" s="291">
        <f>+I37/J37</f>
        <v>6.60377358490566</v>
      </c>
      <c r="M37" s="292">
        <v>807475</v>
      </c>
      <c r="N37" s="290">
        <v>81335</v>
      </c>
      <c r="O37" s="302">
        <f t="shared" si="5"/>
        <v>9.927767873609147</v>
      </c>
      <c r="P37" s="387"/>
    </row>
    <row r="38" spans="1:16" s="7" customFormat="1" ht="15">
      <c r="A38" s="63">
        <v>34</v>
      </c>
      <c r="B38" s="293" t="s">
        <v>90</v>
      </c>
      <c r="C38" s="286">
        <v>39822</v>
      </c>
      <c r="D38" s="285" t="s">
        <v>131</v>
      </c>
      <c r="E38" s="285" t="s">
        <v>91</v>
      </c>
      <c r="F38" s="287">
        <v>59</v>
      </c>
      <c r="G38" s="287">
        <v>1</v>
      </c>
      <c r="H38" s="287">
        <v>10</v>
      </c>
      <c r="I38" s="288">
        <v>175</v>
      </c>
      <c r="J38" s="289">
        <v>24</v>
      </c>
      <c r="K38" s="290">
        <f t="shared" si="4"/>
        <v>24</v>
      </c>
      <c r="L38" s="291">
        <f>I38/J38</f>
        <v>7.291666666666667</v>
      </c>
      <c r="M38" s="292">
        <f>104780+59149-180+16774+8520+1676+104+1077+1190+1780+175</f>
        <v>195045</v>
      </c>
      <c r="N38" s="290">
        <f>11200+7168-39+2888+1488+293+16+150+340+330+24</f>
        <v>23858</v>
      </c>
      <c r="O38" s="302">
        <f t="shared" si="5"/>
        <v>8.17524520077123</v>
      </c>
      <c r="P38" s="387"/>
    </row>
    <row r="39" spans="1:16" s="7" customFormat="1" ht="15">
      <c r="A39" s="63">
        <v>35</v>
      </c>
      <c r="B39" s="293" t="s">
        <v>259</v>
      </c>
      <c r="C39" s="286">
        <v>39815</v>
      </c>
      <c r="D39" s="285" t="s">
        <v>133</v>
      </c>
      <c r="E39" s="285" t="s">
        <v>108</v>
      </c>
      <c r="F39" s="287">
        <v>1</v>
      </c>
      <c r="G39" s="287">
        <v>1</v>
      </c>
      <c r="H39" s="287">
        <v>7</v>
      </c>
      <c r="I39" s="288">
        <v>112</v>
      </c>
      <c r="J39" s="289">
        <v>22</v>
      </c>
      <c r="K39" s="290">
        <f t="shared" si="4"/>
        <v>22</v>
      </c>
      <c r="L39" s="291">
        <f>I39/J39</f>
        <v>5.090909090909091</v>
      </c>
      <c r="M39" s="292">
        <f>73862+20664+15776+8085+9922+10832+112</f>
        <v>139253</v>
      </c>
      <c r="N39" s="290">
        <f>7639+2334+2407+1475+1749+1781+22</f>
        <v>17407</v>
      </c>
      <c r="O39" s="302">
        <f t="shared" si="5"/>
        <v>7.999827655540875</v>
      </c>
      <c r="P39" s="387"/>
    </row>
    <row r="40" spans="1:16" s="7" customFormat="1" ht="15">
      <c r="A40" s="63">
        <v>36</v>
      </c>
      <c r="B40" s="293" t="s">
        <v>260</v>
      </c>
      <c r="C40" s="286">
        <v>39731</v>
      </c>
      <c r="D40" s="285" t="s">
        <v>137</v>
      </c>
      <c r="E40" s="285" t="s">
        <v>261</v>
      </c>
      <c r="F40" s="287">
        <v>131</v>
      </c>
      <c r="G40" s="287">
        <v>1</v>
      </c>
      <c r="H40" s="287">
        <v>13</v>
      </c>
      <c r="I40" s="288">
        <v>55</v>
      </c>
      <c r="J40" s="289">
        <v>11</v>
      </c>
      <c r="K40" s="290">
        <f>IF(I40&lt;&gt;0,J40/G40,"")</f>
        <v>11</v>
      </c>
      <c r="L40" s="291">
        <f>IF(I40&lt;&gt;0,I40/J40,"")</f>
        <v>5</v>
      </c>
      <c r="M40" s="292">
        <v>1232074</v>
      </c>
      <c r="N40" s="290">
        <v>157539</v>
      </c>
      <c r="O40" s="302">
        <v>7.83</v>
      </c>
      <c r="P40" s="387">
        <v>1</v>
      </c>
    </row>
    <row r="41" spans="1:16" s="7" customFormat="1" ht="15">
      <c r="A41" s="63">
        <v>37</v>
      </c>
      <c r="B41" s="293" t="s">
        <v>8</v>
      </c>
      <c r="C41" s="286">
        <v>39829</v>
      </c>
      <c r="D41" s="285" t="s">
        <v>132</v>
      </c>
      <c r="E41" s="285" t="s">
        <v>9</v>
      </c>
      <c r="F41" s="287">
        <v>177</v>
      </c>
      <c r="G41" s="287">
        <v>1</v>
      </c>
      <c r="H41" s="287">
        <v>9</v>
      </c>
      <c r="I41" s="288">
        <v>55</v>
      </c>
      <c r="J41" s="289">
        <v>11</v>
      </c>
      <c r="K41" s="290">
        <f>J41/G41</f>
        <v>11</v>
      </c>
      <c r="L41" s="291">
        <f>+I41/J41</f>
        <v>5</v>
      </c>
      <c r="M41" s="292">
        <v>1816508</v>
      </c>
      <c r="N41" s="290">
        <v>248065</v>
      </c>
      <c r="O41" s="302">
        <f>+M41/N41</f>
        <v>7.322709773648036</v>
      </c>
      <c r="P41" s="387">
        <v>1</v>
      </c>
    </row>
    <row r="42" spans="1:16" s="7" customFormat="1" ht="15.75" thickBot="1">
      <c r="A42" s="63">
        <v>38</v>
      </c>
      <c r="B42" s="303" t="s">
        <v>44</v>
      </c>
      <c r="C42" s="304">
        <v>39780</v>
      </c>
      <c r="D42" s="305" t="s">
        <v>132</v>
      </c>
      <c r="E42" s="305" t="s">
        <v>128</v>
      </c>
      <c r="F42" s="306">
        <v>121</v>
      </c>
      <c r="G42" s="306">
        <v>1</v>
      </c>
      <c r="H42" s="306">
        <v>16</v>
      </c>
      <c r="I42" s="307">
        <v>15</v>
      </c>
      <c r="J42" s="308">
        <v>3</v>
      </c>
      <c r="K42" s="309">
        <f>J42/G42</f>
        <v>3</v>
      </c>
      <c r="L42" s="310">
        <f>+I42/J42</f>
        <v>5</v>
      </c>
      <c r="M42" s="311">
        <v>3456698</v>
      </c>
      <c r="N42" s="309">
        <v>406078</v>
      </c>
      <c r="O42" s="312">
        <f>+M42/N42</f>
        <v>8.512399095740227</v>
      </c>
      <c r="P42" s="387"/>
    </row>
    <row r="43" spans="1:16" s="38" customFormat="1" ht="15">
      <c r="A43" s="408" t="s">
        <v>138</v>
      </c>
      <c r="B43" s="409"/>
      <c r="C43" s="34"/>
      <c r="D43" s="109"/>
      <c r="E43" s="109"/>
      <c r="F43" s="35"/>
      <c r="G43" s="36"/>
      <c r="H43" s="35"/>
      <c r="I43" s="68">
        <f>SUM(I5:I42)</f>
        <v>10766623.5</v>
      </c>
      <c r="J43" s="113">
        <f>SUM(J5:J42)</f>
        <v>1381371</v>
      </c>
      <c r="K43" s="113"/>
      <c r="L43" s="61"/>
      <c r="M43" s="73"/>
      <c r="N43" s="78"/>
      <c r="O43" s="37"/>
      <c r="P43" s="351"/>
    </row>
    <row r="44" spans="1:16" s="7" customFormat="1" ht="13.5">
      <c r="A44" s="26"/>
      <c r="C44" s="11"/>
      <c r="D44" s="14"/>
      <c r="E44" s="14"/>
      <c r="F44" s="8"/>
      <c r="G44" s="8"/>
      <c r="H44" s="8"/>
      <c r="I44" s="69"/>
      <c r="J44" s="114"/>
      <c r="K44" s="114"/>
      <c r="L44" s="21"/>
      <c r="M44" s="75"/>
      <c r="N44" s="80"/>
      <c r="O44" s="21"/>
      <c r="P44" s="351"/>
    </row>
    <row r="45" spans="1:16" s="7" customFormat="1" ht="13.5">
      <c r="A45" s="26"/>
      <c r="B45"/>
      <c r="C45" s="83"/>
      <c r="D45" s="110"/>
      <c r="E45" s="110"/>
      <c r="F45" s="62"/>
      <c r="G45" s="16"/>
      <c r="H45" s="8"/>
      <c r="I45" s="69"/>
      <c r="J45" s="114"/>
      <c r="K45" s="410" t="s">
        <v>136</v>
      </c>
      <c r="L45" s="406"/>
      <c r="M45" s="406"/>
      <c r="N45" s="406"/>
      <c r="O45" s="406"/>
      <c r="P45" s="351"/>
    </row>
    <row r="46" spans="1:16" s="7" customFormat="1" ht="13.5">
      <c r="A46" s="26"/>
      <c r="B46"/>
      <c r="C46" s="83"/>
      <c r="D46" s="110"/>
      <c r="E46" s="110"/>
      <c r="F46" s="62"/>
      <c r="G46" s="8"/>
      <c r="H46" s="17"/>
      <c r="I46" s="69"/>
      <c r="J46" s="114"/>
      <c r="K46" s="406"/>
      <c r="L46" s="406"/>
      <c r="M46" s="406"/>
      <c r="N46" s="406"/>
      <c r="O46" s="406"/>
      <c r="P46" s="351"/>
    </row>
    <row r="47" spans="1:16" s="7" customFormat="1" ht="13.5">
      <c r="A47" s="26"/>
      <c r="B47"/>
      <c r="C47" s="83"/>
      <c r="D47" s="110"/>
      <c r="E47" s="110"/>
      <c r="F47" s="62"/>
      <c r="G47" s="8"/>
      <c r="H47" s="17"/>
      <c r="I47" s="69"/>
      <c r="J47" s="114"/>
      <c r="K47" s="406"/>
      <c r="L47" s="406"/>
      <c r="M47" s="406"/>
      <c r="N47" s="406"/>
      <c r="O47" s="406"/>
      <c r="P47" s="351"/>
    </row>
    <row r="48" spans="1:16" s="7" customFormat="1" ht="13.5">
      <c r="A48" s="26"/>
      <c r="B48"/>
      <c r="C48" s="83"/>
      <c r="D48" s="110"/>
      <c r="E48" s="110"/>
      <c r="F48" s="62"/>
      <c r="G48" s="8"/>
      <c r="H48" s="17"/>
      <c r="I48" s="69"/>
      <c r="J48" s="114"/>
      <c r="K48" s="411"/>
      <c r="L48" s="411"/>
      <c r="M48" s="411"/>
      <c r="N48" s="411"/>
      <c r="O48" s="411"/>
      <c r="P48" s="351"/>
    </row>
    <row r="49" spans="1:16" s="7" customFormat="1" ht="13.5">
      <c r="A49" s="26"/>
      <c r="B49"/>
      <c r="C49" s="83"/>
      <c r="D49" s="110"/>
      <c r="E49" s="110"/>
      <c r="F49" s="62"/>
      <c r="G49" s="8"/>
      <c r="H49" s="405" t="s">
        <v>101</v>
      </c>
      <c r="I49" s="406"/>
      <c r="J49" s="406"/>
      <c r="K49" s="406"/>
      <c r="L49" s="406"/>
      <c r="M49" s="406"/>
      <c r="N49" s="406"/>
      <c r="O49" s="406"/>
      <c r="P49" s="351"/>
    </row>
    <row r="50" spans="1:16" s="19" customFormat="1" ht="15">
      <c r="A50" s="26"/>
      <c r="B50"/>
      <c r="C50" s="83"/>
      <c r="D50" s="110"/>
      <c r="E50" s="110"/>
      <c r="F50" s="62"/>
      <c r="G50" s="23"/>
      <c r="H50" s="406"/>
      <c r="I50" s="406"/>
      <c r="J50" s="406"/>
      <c r="K50" s="406"/>
      <c r="L50" s="406"/>
      <c r="M50" s="406"/>
      <c r="N50" s="406"/>
      <c r="O50" s="406"/>
      <c r="P50" s="351"/>
    </row>
    <row r="51" spans="1:16" s="19" customFormat="1" ht="15">
      <c r="A51" s="26"/>
      <c r="B51"/>
      <c r="C51" s="83"/>
      <c r="D51" s="110"/>
      <c r="E51" s="110"/>
      <c r="F51" s="62"/>
      <c r="G51" s="18"/>
      <c r="H51" s="406"/>
      <c r="I51" s="406"/>
      <c r="J51" s="406"/>
      <c r="K51" s="406"/>
      <c r="L51" s="406"/>
      <c r="M51" s="406"/>
      <c r="N51" s="406"/>
      <c r="O51" s="406"/>
      <c r="P51" s="351"/>
    </row>
    <row r="52" spans="1:16" s="19" customFormat="1" ht="15">
      <c r="A52" s="26"/>
      <c r="B52"/>
      <c r="C52" s="83"/>
      <c r="D52" s="110"/>
      <c r="E52" s="110"/>
      <c r="F52" s="62"/>
      <c r="G52" s="18"/>
      <c r="H52" s="406"/>
      <c r="I52" s="406"/>
      <c r="J52" s="406"/>
      <c r="K52" s="406"/>
      <c r="L52" s="406"/>
      <c r="M52" s="406"/>
      <c r="N52" s="406"/>
      <c r="O52" s="406"/>
      <c r="P52" s="351"/>
    </row>
    <row r="53" spans="1:16" s="19" customFormat="1" ht="15">
      <c r="A53" s="26"/>
      <c r="B53"/>
      <c r="C53" s="83"/>
      <c r="D53" s="110"/>
      <c r="E53" s="110"/>
      <c r="F53" s="62"/>
      <c r="G53" s="18"/>
      <c r="H53" s="406"/>
      <c r="I53" s="406"/>
      <c r="J53" s="406"/>
      <c r="K53" s="406"/>
      <c r="L53" s="406"/>
      <c r="M53" s="406"/>
      <c r="N53" s="406"/>
      <c r="O53" s="406"/>
      <c r="P53" s="351"/>
    </row>
    <row r="54" spans="1:16" s="19" customFormat="1" ht="15">
      <c r="A54" s="26"/>
      <c r="B54"/>
      <c r="C54" s="83"/>
      <c r="D54" s="110"/>
      <c r="E54" s="110"/>
      <c r="F54" s="62"/>
      <c r="G54" s="18"/>
      <c r="H54" s="406"/>
      <c r="I54" s="406"/>
      <c r="J54" s="406"/>
      <c r="K54" s="406"/>
      <c r="L54" s="406"/>
      <c r="M54" s="406"/>
      <c r="N54" s="406"/>
      <c r="O54" s="406"/>
      <c r="P54" s="351"/>
    </row>
    <row r="55" spans="1:16" s="19" customFormat="1" ht="15">
      <c r="A55" s="26"/>
      <c r="B55"/>
      <c r="C55" s="83"/>
      <c r="D55" s="110"/>
      <c r="E55" s="110"/>
      <c r="F55" s="62"/>
      <c r="G55" s="18"/>
      <c r="H55" s="407" t="s">
        <v>0</v>
      </c>
      <c r="I55" s="406"/>
      <c r="J55" s="406"/>
      <c r="K55" s="406"/>
      <c r="L55" s="406"/>
      <c r="M55" s="406"/>
      <c r="N55" s="406"/>
      <c r="O55" s="406"/>
      <c r="P55" s="351"/>
    </row>
    <row r="56" spans="1:16" s="19" customFormat="1" ht="15">
      <c r="A56" s="26"/>
      <c r="B56"/>
      <c r="C56" s="83"/>
      <c r="D56" s="110"/>
      <c r="E56" s="110"/>
      <c r="F56" s="62"/>
      <c r="G56" s="18"/>
      <c r="H56" s="406"/>
      <c r="I56" s="406"/>
      <c r="J56" s="406"/>
      <c r="K56" s="406"/>
      <c r="L56" s="406"/>
      <c r="M56" s="406"/>
      <c r="N56" s="406"/>
      <c r="O56" s="406"/>
      <c r="P56" s="351"/>
    </row>
    <row r="57" spans="1:16" s="19" customFormat="1" ht="15">
      <c r="A57" s="26"/>
      <c r="B57"/>
      <c r="C57" s="83"/>
      <c r="D57" s="110"/>
      <c r="E57" s="110"/>
      <c r="F57" s="62"/>
      <c r="G57" s="18"/>
      <c r="H57" s="406"/>
      <c r="I57" s="406"/>
      <c r="J57" s="406"/>
      <c r="K57" s="406"/>
      <c r="L57" s="406"/>
      <c r="M57" s="406"/>
      <c r="N57" s="406"/>
      <c r="O57" s="406"/>
      <c r="P57" s="351"/>
    </row>
    <row r="58" spans="1:16" s="19" customFormat="1" ht="15">
      <c r="A58" s="26"/>
      <c r="B58"/>
      <c r="C58" s="83"/>
      <c r="D58" s="110"/>
      <c r="E58" s="110"/>
      <c r="F58" s="62"/>
      <c r="G58" s="18"/>
      <c r="H58" s="406"/>
      <c r="I58" s="406"/>
      <c r="J58" s="406"/>
      <c r="K58" s="406"/>
      <c r="L58" s="406"/>
      <c r="M58" s="406"/>
      <c r="N58" s="406"/>
      <c r="O58" s="406"/>
      <c r="P58" s="351"/>
    </row>
    <row r="59" spans="1:16" s="19" customFormat="1" ht="15">
      <c r="A59" s="26"/>
      <c r="B59"/>
      <c r="C59" s="83"/>
      <c r="D59" s="110"/>
      <c r="E59" s="110"/>
      <c r="F59" s="62"/>
      <c r="G59" s="18"/>
      <c r="H59" s="406"/>
      <c r="I59" s="406"/>
      <c r="J59" s="406"/>
      <c r="K59" s="406"/>
      <c r="L59" s="406"/>
      <c r="M59" s="406"/>
      <c r="N59" s="406"/>
      <c r="O59" s="406"/>
      <c r="P59" s="351"/>
    </row>
    <row r="60" spans="1:16" s="19" customFormat="1" ht="15">
      <c r="A60" s="26"/>
      <c r="B60" s="27"/>
      <c r="C60" s="46"/>
      <c r="D60" s="111"/>
      <c r="E60" s="111"/>
      <c r="F60" s="59"/>
      <c r="G60" s="18"/>
      <c r="H60" s="406"/>
      <c r="I60" s="406"/>
      <c r="J60" s="406"/>
      <c r="K60" s="406"/>
      <c r="L60" s="406"/>
      <c r="M60" s="406"/>
      <c r="N60" s="406"/>
      <c r="O60" s="406"/>
      <c r="P60" s="351"/>
    </row>
    <row r="61" spans="1:16" s="19" customFormat="1" ht="15">
      <c r="A61" s="26"/>
      <c r="B61" s="27"/>
      <c r="C61" s="46"/>
      <c r="D61" s="111"/>
      <c r="E61" s="111"/>
      <c r="F61" s="59"/>
      <c r="G61" s="18"/>
      <c r="H61" s="406"/>
      <c r="I61" s="406"/>
      <c r="J61" s="406"/>
      <c r="K61" s="406"/>
      <c r="L61" s="406"/>
      <c r="M61" s="406"/>
      <c r="N61" s="406"/>
      <c r="O61" s="406"/>
      <c r="P61" s="351"/>
    </row>
    <row r="62" spans="1:16" s="19" customFormat="1" ht="15">
      <c r="A62" s="26"/>
      <c r="B62" s="27"/>
      <c r="C62" s="46"/>
      <c r="D62" s="111"/>
      <c r="E62" s="111"/>
      <c r="F62" s="59"/>
      <c r="G62" s="18"/>
      <c r="H62" s="59"/>
      <c r="I62" s="71"/>
      <c r="J62" s="115"/>
      <c r="K62" s="115"/>
      <c r="L62" s="60"/>
      <c r="M62" s="117"/>
      <c r="N62" s="81"/>
      <c r="O62" s="60"/>
      <c r="P62" s="351"/>
    </row>
    <row r="63" spans="1:16" s="19" customFormat="1" ht="15">
      <c r="A63" s="26"/>
      <c r="B63" s="27"/>
      <c r="C63" s="46"/>
      <c r="D63" s="111"/>
      <c r="E63" s="111"/>
      <c r="F63" s="59"/>
      <c r="G63" s="18"/>
      <c r="H63" s="59"/>
      <c r="I63" s="71"/>
      <c r="J63" s="115"/>
      <c r="K63" s="115"/>
      <c r="L63" s="60"/>
      <c r="M63" s="117"/>
      <c r="N63" s="81"/>
      <c r="O63" s="60"/>
      <c r="P63" s="351"/>
    </row>
    <row r="64" spans="2:6" ht="18">
      <c r="B64" s="27"/>
      <c r="C64" s="46"/>
      <c r="D64" s="111"/>
      <c r="E64" s="111"/>
      <c r="F64" s="59"/>
    </row>
    <row r="65" spans="2:6" ht="18">
      <c r="B65" s="27"/>
      <c r="C65" s="46"/>
      <c r="D65" s="111"/>
      <c r="E65" s="111"/>
      <c r="F65" s="59"/>
    </row>
    <row r="66" spans="2:15" ht="18">
      <c r="B66" s="27"/>
      <c r="C66" s="46"/>
      <c r="D66" s="111"/>
      <c r="E66" s="111"/>
      <c r="F66" s="59"/>
      <c r="G66" s="59"/>
      <c r="H66" s="59"/>
      <c r="I66" s="71"/>
      <c r="J66" s="115"/>
      <c r="K66" s="115"/>
      <c r="L66" s="60"/>
      <c r="M66" s="76"/>
      <c r="N66" s="82"/>
      <c r="O66" s="60"/>
    </row>
    <row r="67" spans="2:15" ht="18">
      <c r="B67" s="27"/>
      <c r="C67" s="46"/>
      <c r="D67" s="111"/>
      <c r="E67" s="111"/>
      <c r="F67" s="59"/>
      <c r="G67" s="59"/>
      <c r="H67" s="59"/>
      <c r="I67" s="71"/>
      <c r="J67" s="115"/>
      <c r="K67" s="115"/>
      <c r="L67" s="60"/>
      <c r="M67" s="76"/>
      <c r="N67" s="82"/>
      <c r="O67" s="60"/>
    </row>
    <row r="68" spans="2:15" ht="18">
      <c r="B68" s="27"/>
      <c r="C68" s="46"/>
      <c r="D68" s="111"/>
      <c r="E68" s="111"/>
      <c r="F68" s="59"/>
      <c r="G68" s="59"/>
      <c r="H68" s="59"/>
      <c r="I68" s="71"/>
      <c r="J68" s="115"/>
      <c r="K68" s="115"/>
      <c r="L68" s="60"/>
      <c r="M68" s="76"/>
      <c r="N68" s="82"/>
      <c r="O68" s="60"/>
    </row>
    <row r="69" spans="2:15" ht="18">
      <c r="B69" s="27"/>
      <c r="C69" s="46"/>
      <c r="D69" s="111"/>
      <c r="E69" s="111"/>
      <c r="F69" s="59"/>
      <c r="G69" s="59"/>
      <c r="H69" s="59"/>
      <c r="I69" s="71"/>
      <c r="J69" s="115"/>
      <c r="K69" s="115"/>
      <c r="L69" s="60"/>
      <c r="M69" s="76"/>
      <c r="N69" s="82"/>
      <c r="O69" s="60"/>
    </row>
    <row r="70" spans="2:15" ht="18">
      <c r="B70" s="27"/>
      <c r="C70" s="46"/>
      <c r="D70" s="111"/>
      <c r="E70" s="111"/>
      <c r="F70" s="59"/>
      <c r="G70" s="59"/>
      <c r="H70" s="59"/>
      <c r="I70" s="71"/>
      <c r="J70" s="115"/>
      <c r="K70" s="115"/>
      <c r="L70" s="60"/>
      <c r="M70" s="76"/>
      <c r="N70" s="82"/>
      <c r="O70" s="60"/>
    </row>
    <row r="71" spans="2:15" ht="18">
      <c r="B71" s="27"/>
      <c r="C71" s="46"/>
      <c r="D71" s="111"/>
      <c r="E71" s="111"/>
      <c r="F71" s="59"/>
      <c r="G71" s="59"/>
      <c r="H71" s="59"/>
      <c r="I71" s="71"/>
      <c r="J71" s="115"/>
      <c r="K71" s="115"/>
      <c r="L71" s="60"/>
      <c r="M71" s="76"/>
      <c r="N71" s="82"/>
      <c r="O71" s="60"/>
    </row>
    <row r="72" spans="2:15" ht="18">
      <c r="B72" s="27"/>
      <c r="C72" s="46"/>
      <c r="D72" s="111"/>
      <c r="E72" s="111"/>
      <c r="F72" s="59"/>
      <c r="G72" s="59"/>
      <c r="H72" s="59"/>
      <c r="I72" s="71"/>
      <c r="J72" s="115"/>
      <c r="K72" s="115"/>
      <c r="L72" s="60"/>
      <c r="M72" s="76"/>
      <c r="N72" s="82"/>
      <c r="O72" s="60"/>
    </row>
    <row r="73" spans="2:15" ht="18">
      <c r="B73" s="27"/>
      <c r="C73" s="46"/>
      <c r="D73" s="111"/>
      <c r="E73" s="111"/>
      <c r="F73" s="59"/>
      <c r="G73" s="59"/>
      <c r="H73" s="59"/>
      <c r="I73" s="71"/>
      <c r="J73" s="115"/>
      <c r="K73" s="115"/>
      <c r="L73" s="60"/>
      <c r="M73" s="76"/>
      <c r="N73" s="82"/>
      <c r="O73" s="60"/>
    </row>
    <row r="74" spans="7:15" ht="18">
      <c r="G74" s="59"/>
      <c r="H74" s="59"/>
      <c r="I74" s="71"/>
      <c r="J74" s="115"/>
      <c r="K74" s="115"/>
      <c r="L74" s="60"/>
      <c r="M74" s="76"/>
      <c r="N74" s="82"/>
      <c r="O74" s="60"/>
    </row>
    <row r="75" spans="7:15" ht="18">
      <c r="G75" s="59"/>
      <c r="H75" s="59"/>
      <c r="I75" s="71"/>
      <c r="J75" s="115"/>
      <c r="K75" s="115"/>
      <c r="L75" s="60"/>
      <c r="M75" s="76"/>
      <c r="N75" s="82"/>
      <c r="O75" s="60"/>
    </row>
    <row r="76" spans="7:15" ht="18">
      <c r="G76" s="59"/>
      <c r="H76" s="59"/>
      <c r="I76" s="71"/>
      <c r="J76" s="115"/>
      <c r="K76" s="115"/>
      <c r="L76" s="60"/>
      <c r="M76" s="76"/>
      <c r="N76" s="82"/>
      <c r="O76" s="60"/>
    </row>
    <row r="77" spans="7:15" ht="18">
      <c r="G77" s="59"/>
      <c r="H77" s="59"/>
      <c r="I77" s="71"/>
      <c r="J77" s="115"/>
      <c r="K77" s="115"/>
      <c r="L77" s="60"/>
      <c r="M77" s="76"/>
      <c r="N77" s="82"/>
      <c r="O77" s="60"/>
    </row>
    <row r="78" spans="7:15" ht="18">
      <c r="G78" s="59"/>
      <c r="H78" s="59"/>
      <c r="I78" s="71"/>
      <c r="J78" s="115"/>
      <c r="K78" s="115"/>
      <c r="L78" s="60"/>
      <c r="M78" s="76"/>
      <c r="N78" s="82"/>
      <c r="O78" s="60"/>
    </row>
    <row r="79" spans="7:15" ht="18">
      <c r="G79" s="59"/>
      <c r="H79" s="59"/>
      <c r="I79" s="71"/>
      <c r="J79" s="115"/>
      <c r="K79" s="115"/>
      <c r="L79" s="60"/>
      <c r="M79" s="76"/>
      <c r="N79" s="82"/>
      <c r="O79" s="60"/>
    </row>
  </sheetData>
  <sheetProtection insertRows="0" deleteRows="0" sort="0"/>
  <mergeCells count="15">
    <mergeCell ref="H49:O54"/>
    <mergeCell ref="H55:O61"/>
    <mergeCell ref="A43:B43"/>
    <mergeCell ref="K45:O47"/>
    <mergeCell ref="K48:O48"/>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Q25:Q40 Q7:Q12 L25:O40 L13:O24 L41:O42 Q13:Q24 Q41:Q42 K25:K40" formula="1"/>
  </ignoredErrors>
  <drawing r:id="rId1"/>
</worksheet>
</file>

<file path=xl/worksheets/sheet2.xml><?xml version="1.0" encoding="utf-8"?>
<worksheet xmlns="http://schemas.openxmlformats.org/spreadsheetml/2006/main" xmlns:r="http://schemas.openxmlformats.org/officeDocument/2006/relationships">
  <dimension ref="A1:N57"/>
  <sheetViews>
    <sheetView zoomScale="102" zoomScaleNormal="102"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15.421875" style="24" bestFit="1" customWidth="1"/>
    <col min="4" max="4" width="20.140625" style="24" bestFit="1" customWidth="1"/>
    <col min="5" max="5" width="24.421875" style="24" bestFit="1" customWidth="1"/>
    <col min="6" max="6" width="6.421875" style="24" bestFit="1" customWidth="1"/>
    <col min="7" max="7" width="10.140625" style="24" customWidth="1"/>
    <col min="8" max="8" width="16.421875" style="125" bestFit="1" customWidth="1"/>
    <col min="9" max="9" width="11.8515625" style="126" bestFit="1" customWidth="1"/>
    <col min="10" max="10" width="8.421875" style="31" customWidth="1"/>
    <col min="11" max="11" width="3.140625" style="380"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49" customFormat="1" ht="36.75" customHeight="1" thickBot="1">
      <c r="A1" s="412" t="s">
        <v>247</v>
      </c>
      <c r="B1" s="412"/>
      <c r="C1" s="412"/>
      <c r="D1" s="412"/>
      <c r="E1" s="412"/>
      <c r="F1" s="412"/>
      <c r="G1" s="412"/>
      <c r="H1" s="412"/>
      <c r="I1" s="412"/>
      <c r="J1" s="412"/>
      <c r="K1" s="379"/>
      <c r="L1" s="147"/>
      <c r="M1" s="148"/>
      <c r="N1" s="147"/>
    </row>
    <row r="2" ht="13.5" thickBot="1"/>
    <row r="3" spans="1:14" s="29" customFormat="1" ht="14.25">
      <c r="A3" s="33"/>
      <c r="B3" s="413" t="s">
        <v>3</v>
      </c>
      <c r="C3" s="415" t="s">
        <v>103</v>
      </c>
      <c r="D3" s="415" t="s">
        <v>111</v>
      </c>
      <c r="E3" s="415" t="s">
        <v>110</v>
      </c>
      <c r="F3" s="397" t="s">
        <v>115</v>
      </c>
      <c r="G3" s="397" t="s">
        <v>104</v>
      </c>
      <c r="H3" s="418" t="s">
        <v>117</v>
      </c>
      <c r="I3" s="419"/>
      <c r="J3" s="420" t="s">
        <v>105</v>
      </c>
      <c r="K3" s="381"/>
      <c r="L3" s="55"/>
      <c r="M3" s="57"/>
      <c r="N3" s="55"/>
    </row>
    <row r="4" spans="1:14" s="29" customFormat="1" ht="33" customHeight="1" thickBot="1">
      <c r="A4" s="47"/>
      <c r="B4" s="414"/>
      <c r="C4" s="416"/>
      <c r="D4" s="416"/>
      <c r="E4" s="416"/>
      <c r="F4" s="417"/>
      <c r="G4" s="417"/>
      <c r="H4" s="283" t="s">
        <v>76</v>
      </c>
      <c r="I4" s="284" t="s">
        <v>2</v>
      </c>
      <c r="J4" s="421"/>
      <c r="K4" s="381"/>
      <c r="L4" s="55"/>
      <c r="M4" s="57"/>
      <c r="N4" s="55"/>
    </row>
    <row r="5" spans="1:14" s="29" customFormat="1" ht="15">
      <c r="A5" s="106">
        <v>1</v>
      </c>
      <c r="B5" s="366" t="s">
        <v>198</v>
      </c>
      <c r="C5" s="163">
        <v>39857</v>
      </c>
      <c r="D5" s="367" t="s">
        <v>133</v>
      </c>
      <c r="E5" s="367" t="s">
        <v>199</v>
      </c>
      <c r="F5" s="368">
        <v>372</v>
      </c>
      <c r="G5" s="368">
        <v>5</v>
      </c>
      <c r="H5" s="369">
        <f>17329163.5+9384321+4035301-111+1596787.5-52+594784</f>
        <v>32940194</v>
      </c>
      <c r="I5" s="370">
        <f>2236432+1203711+519916+206906+76573</f>
        <v>4243538</v>
      </c>
      <c r="J5" s="371">
        <f aca="true" t="shared" si="0" ref="J5:J13">+H5/I5</f>
        <v>7.762436438650956</v>
      </c>
      <c r="K5" s="387">
        <v>1</v>
      </c>
      <c r="L5" s="107"/>
      <c r="M5" s="108"/>
      <c r="N5" s="107"/>
    </row>
    <row r="6" spans="1:14" s="29" customFormat="1" ht="15">
      <c r="A6" s="106">
        <v>2</v>
      </c>
      <c r="B6" s="49" t="s">
        <v>249</v>
      </c>
      <c r="C6" s="39">
        <v>39884</v>
      </c>
      <c r="D6" s="44" t="s">
        <v>4</v>
      </c>
      <c r="E6" s="44" t="s">
        <v>250</v>
      </c>
      <c r="F6" s="41">
        <v>355</v>
      </c>
      <c r="G6" s="41">
        <v>1</v>
      </c>
      <c r="H6" s="334">
        <v>8405952</v>
      </c>
      <c r="I6" s="335">
        <v>1101986</v>
      </c>
      <c r="J6" s="103">
        <f t="shared" si="0"/>
        <v>7.628002533607505</v>
      </c>
      <c r="K6" s="386">
        <v>1</v>
      </c>
      <c r="L6" s="107"/>
      <c r="M6" s="108"/>
      <c r="N6" s="107"/>
    </row>
    <row r="7" spans="1:14" s="29" customFormat="1" ht="15.75" thickBot="1">
      <c r="A7" s="343">
        <v>3</v>
      </c>
      <c r="B7" s="372" t="s">
        <v>152</v>
      </c>
      <c r="C7" s="373">
        <v>39836</v>
      </c>
      <c r="D7" s="374" t="s">
        <v>133</v>
      </c>
      <c r="E7" s="374" t="s">
        <v>153</v>
      </c>
      <c r="F7" s="375">
        <v>180</v>
      </c>
      <c r="G7" s="375">
        <v>8</v>
      </c>
      <c r="H7" s="376">
        <f>1758644.5+1323710+941534+309534.5+197920+55019+28515+10481.5</f>
        <v>4625358.5</v>
      </c>
      <c r="I7" s="377">
        <f>205635+158652+117576+43365+28181+9066+4843+2243</f>
        <v>569561</v>
      </c>
      <c r="J7" s="378">
        <f t="shared" si="0"/>
        <v>8.120918567106948</v>
      </c>
      <c r="K7" s="387">
        <v>1</v>
      </c>
      <c r="L7" s="107"/>
      <c r="M7" s="108"/>
      <c r="N7" s="107"/>
    </row>
    <row r="8" spans="1:14" s="29" customFormat="1" ht="15">
      <c r="A8" s="106">
        <v>4</v>
      </c>
      <c r="B8" s="238" t="s">
        <v>179</v>
      </c>
      <c r="C8" s="382">
        <v>39850</v>
      </c>
      <c r="D8" s="383" t="s">
        <v>131</v>
      </c>
      <c r="E8" s="383" t="s">
        <v>123</v>
      </c>
      <c r="F8" s="239">
        <v>71</v>
      </c>
      <c r="G8" s="239">
        <v>6</v>
      </c>
      <c r="H8" s="328">
        <f>23710+1679966+898914+783390+367131+248174+60198</f>
        <v>4061483</v>
      </c>
      <c r="I8" s="329">
        <f>2389+174143+94778+84343+41781+31873+9484</f>
        <v>438791</v>
      </c>
      <c r="J8" s="260">
        <f t="shared" si="0"/>
        <v>9.25607635525797</v>
      </c>
      <c r="K8" s="387"/>
      <c r="L8" s="107"/>
      <c r="M8" s="108"/>
      <c r="N8" s="107"/>
    </row>
    <row r="9" spans="1:14" s="29" customFormat="1" ht="15">
      <c r="A9" s="106">
        <v>5</v>
      </c>
      <c r="B9" s="49" t="s">
        <v>5</v>
      </c>
      <c r="C9" s="39">
        <v>39829</v>
      </c>
      <c r="D9" s="44" t="s">
        <v>137</v>
      </c>
      <c r="E9" s="44" t="s">
        <v>154</v>
      </c>
      <c r="F9" s="41">
        <v>169</v>
      </c>
      <c r="G9" s="41">
        <v>9</v>
      </c>
      <c r="H9" s="334">
        <v>3739481.5</v>
      </c>
      <c r="I9" s="335">
        <v>511966</v>
      </c>
      <c r="J9" s="103">
        <f t="shared" si="0"/>
        <v>7.30415984655231</v>
      </c>
      <c r="K9" s="387">
        <v>1</v>
      </c>
      <c r="L9" s="107"/>
      <c r="M9" s="108"/>
      <c r="N9" s="107"/>
    </row>
    <row r="10" spans="1:14" s="29" customFormat="1" ht="15">
      <c r="A10" s="106">
        <v>6</v>
      </c>
      <c r="B10" s="49" t="s">
        <v>86</v>
      </c>
      <c r="C10" s="39">
        <v>39822</v>
      </c>
      <c r="D10" s="44" t="s">
        <v>137</v>
      </c>
      <c r="E10" s="44" t="s">
        <v>87</v>
      </c>
      <c r="F10" s="41">
        <v>175</v>
      </c>
      <c r="G10" s="41">
        <v>10</v>
      </c>
      <c r="H10" s="334">
        <v>3495811</v>
      </c>
      <c r="I10" s="335">
        <v>476105</v>
      </c>
      <c r="J10" s="103">
        <f t="shared" si="0"/>
        <v>7.342521082534315</v>
      </c>
      <c r="K10" s="387">
        <v>1</v>
      </c>
      <c r="L10" s="107"/>
      <c r="M10" s="108"/>
      <c r="N10" s="107"/>
    </row>
    <row r="11" spans="1:14" s="29" customFormat="1" ht="15">
      <c r="A11" s="106">
        <v>7</v>
      </c>
      <c r="B11" s="49" t="s">
        <v>6</v>
      </c>
      <c r="C11" s="39">
        <v>39829</v>
      </c>
      <c r="D11" s="44" t="s">
        <v>131</v>
      </c>
      <c r="E11" s="44" t="s">
        <v>123</v>
      </c>
      <c r="F11" s="41">
        <v>91</v>
      </c>
      <c r="G11" s="41">
        <v>8</v>
      </c>
      <c r="H11" s="334">
        <f>1185400+899041+1833+634887+222568+15075+17069-23+10895+8360</f>
        <v>2995105</v>
      </c>
      <c r="I11" s="335">
        <f>128777+93782-9+68090+25354+2533+3131-2+2509+1525</f>
        <v>325690</v>
      </c>
      <c r="J11" s="103">
        <f t="shared" si="0"/>
        <v>9.196183487365285</v>
      </c>
      <c r="K11" s="353"/>
      <c r="L11" s="107"/>
      <c r="M11" s="108"/>
      <c r="N11" s="107"/>
    </row>
    <row r="12" spans="1:14" s="29" customFormat="1" ht="15">
      <c r="A12" s="106">
        <v>8</v>
      </c>
      <c r="B12" s="49" t="s">
        <v>251</v>
      </c>
      <c r="C12" s="39">
        <v>39871</v>
      </c>
      <c r="D12" s="44" t="s">
        <v>252</v>
      </c>
      <c r="E12" s="44" t="s">
        <v>113</v>
      </c>
      <c r="F12" s="41">
        <v>57</v>
      </c>
      <c r="G12" s="41">
        <v>3</v>
      </c>
      <c r="H12" s="334">
        <v>2306339</v>
      </c>
      <c r="I12" s="335">
        <v>228577</v>
      </c>
      <c r="J12" s="103">
        <f t="shared" si="0"/>
        <v>10.08998718156245</v>
      </c>
      <c r="K12" s="387"/>
      <c r="L12" s="107"/>
      <c r="M12" s="108"/>
      <c r="N12" s="107"/>
    </row>
    <row r="13" spans="1:14" s="29" customFormat="1" ht="15">
      <c r="A13" s="106">
        <v>9</v>
      </c>
      <c r="B13" s="49" t="s">
        <v>155</v>
      </c>
      <c r="C13" s="39">
        <v>39836</v>
      </c>
      <c r="D13" s="44" t="s">
        <v>132</v>
      </c>
      <c r="E13" s="44" t="s">
        <v>43</v>
      </c>
      <c r="F13" s="41">
        <v>108</v>
      </c>
      <c r="G13" s="41">
        <v>8</v>
      </c>
      <c r="H13" s="334">
        <v>2268024</v>
      </c>
      <c r="I13" s="335">
        <v>269053</v>
      </c>
      <c r="J13" s="103">
        <f t="shared" si="0"/>
        <v>8.429655123711685</v>
      </c>
      <c r="K13" s="387"/>
      <c r="L13" s="107"/>
      <c r="M13" s="108"/>
      <c r="N13" s="107"/>
    </row>
    <row r="14" spans="1:14" s="29" customFormat="1" ht="15">
      <c r="A14" s="106">
        <v>10</v>
      </c>
      <c r="B14" s="49" t="s">
        <v>7</v>
      </c>
      <c r="C14" s="39">
        <v>39829</v>
      </c>
      <c r="D14" s="44" t="s">
        <v>135</v>
      </c>
      <c r="E14" s="44" t="s">
        <v>35</v>
      </c>
      <c r="F14" s="41">
        <v>80</v>
      </c>
      <c r="G14" s="41">
        <v>8</v>
      </c>
      <c r="H14" s="334">
        <f>783409.5+672566+392418+168504+54411+64946+58601+64120</f>
        <v>2258975.5</v>
      </c>
      <c r="I14" s="335">
        <f>86363+71043+43171+22546+8141+10573+9585+10952</f>
        <v>262374</v>
      </c>
      <c r="J14" s="103">
        <f>H14/I14</f>
        <v>8.609753634125333</v>
      </c>
      <c r="K14" s="353"/>
      <c r="L14" s="107"/>
      <c r="M14" s="108"/>
      <c r="N14" s="107"/>
    </row>
    <row r="15" spans="1:14" s="29" customFormat="1" ht="15">
      <c r="A15" s="106">
        <v>11</v>
      </c>
      <c r="B15" s="49" t="s">
        <v>8</v>
      </c>
      <c r="C15" s="39">
        <v>39829</v>
      </c>
      <c r="D15" s="44" t="s">
        <v>132</v>
      </c>
      <c r="E15" s="44" t="s">
        <v>9</v>
      </c>
      <c r="F15" s="41">
        <v>177</v>
      </c>
      <c r="G15" s="41">
        <v>9</v>
      </c>
      <c r="H15" s="334">
        <v>1816508</v>
      </c>
      <c r="I15" s="335">
        <v>248065</v>
      </c>
      <c r="J15" s="103">
        <f>+H15/I15</f>
        <v>7.322709773648036</v>
      </c>
      <c r="K15" s="387">
        <v>1</v>
      </c>
      <c r="L15" s="107"/>
      <c r="M15" s="108"/>
      <c r="N15" s="107"/>
    </row>
    <row r="16" spans="1:14" s="29" customFormat="1" ht="15">
      <c r="A16" s="106">
        <v>12</v>
      </c>
      <c r="B16" s="49" t="s">
        <v>88</v>
      </c>
      <c r="C16" s="39">
        <v>39822</v>
      </c>
      <c r="D16" s="44" t="s">
        <v>135</v>
      </c>
      <c r="E16" s="44" t="s">
        <v>1</v>
      </c>
      <c r="F16" s="41">
        <v>37</v>
      </c>
      <c r="G16" s="41">
        <v>9</v>
      </c>
      <c r="H16" s="334">
        <f>659650+421734+197166+56066+26078+17427+25433+18144+27821</f>
        <v>1449519</v>
      </c>
      <c r="I16" s="335">
        <f>60096+38612+18194+5957+3377+2817+3965+3389+4264</f>
        <v>140671</v>
      </c>
      <c r="J16" s="103">
        <f>H16/I16</f>
        <v>10.304320009099246</v>
      </c>
      <c r="K16" s="353"/>
      <c r="L16" s="107"/>
      <c r="M16" s="108"/>
      <c r="N16" s="107"/>
    </row>
    <row r="17" spans="1:14" s="29" customFormat="1" ht="15">
      <c r="A17" s="106">
        <v>13</v>
      </c>
      <c r="B17" s="49" t="s">
        <v>156</v>
      </c>
      <c r="C17" s="39">
        <v>39836</v>
      </c>
      <c r="D17" s="44" t="s">
        <v>137</v>
      </c>
      <c r="E17" s="44" t="s">
        <v>157</v>
      </c>
      <c r="F17" s="41">
        <v>86</v>
      </c>
      <c r="G17" s="41">
        <v>8</v>
      </c>
      <c r="H17" s="334">
        <v>1415725.5</v>
      </c>
      <c r="I17" s="335">
        <v>160746</v>
      </c>
      <c r="J17" s="103">
        <f>+H17/I17</f>
        <v>8.807220708446867</v>
      </c>
      <c r="K17" s="387"/>
      <c r="L17" s="107"/>
      <c r="M17" s="108"/>
      <c r="N17" s="107"/>
    </row>
    <row r="18" spans="1:14" s="29" customFormat="1" ht="15">
      <c r="A18" s="106">
        <v>14</v>
      </c>
      <c r="B18" s="49" t="s">
        <v>173</v>
      </c>
      <c r="C18" s="39">
        <v>39843</v>
      </c>
      <c r="D18" s="44" t="s">
        <v>135</v>
      </c>
      <c r="E18" s="44" t="s">
        <v>134</v>
      </c>
      <c r="F18" s="41">
        <v>80</v>
      </c>
      <c r="G18" s="41">
        <v>6</v>
      </c>
      <c r="H18" s="334">
        <f>667928.5+422494.5+139288+71324.5+23049.5+32432</f>
        <v>1356517</v>
      </c>
      <c r="I18" s="335">
        <f>67031+44640+16046+10311+3717+6651</f>
        <v>148396</v>
      </c>
      <c r="J18" s="103">
        <f>H18/I18</f>
        <v>9.141196528208308</v>
      </c>
      <c r="K18" s="353"/>
      <c r="L18" s="107"/>
      <c r="M18" s="108"/>
      <c r="N18" s="107"/>
    </row>
    <row r="19" spans="1:14" s="29" customFormat="1" ht="15">
      <c r="A19" s="106">
        <v>15</v>
      </c>
      <c r="B19" s="49" t="s">
        <v>209</v>
      </c>
      <c r="C19" s="39">
        <v>39857</v>
      </c>
      <c r="D19" s="44" t="s">
        <v>131</v>
      </c>
      <c r="E19" s="44" t="s">
        <v>35</v>
      </c>
      <c r="F19" s="41">
        <v>25</v>
      </c>
      <c r="G19" s="41">
        <v>5</v>
      </c>
      <c r="H19" s="334">
        <f>431037+376139+288602-245+148454+40928</f>
        <v>1284915</v>
      </c>
      <c r="I19" s="335">
        <f>37016+33054+25810+12999+4602</f>
        <v>113481</v>
      </c>
      <c r="J19" s="103">
        <f>+H19/I19</f>
        <v>11.322732439791682</v>
      </c>
      <c r="K19" s="387"/>
      <c r="L19" s="107"/>
      <c r="M19" s="108"/>
      <c r="N19" s="107"/>
    </row>
    <row r="20" spans="1:14" s="29" customFormat="1" ht="15">
      <c r="A20" s="106">
        <v>16</v>
      </c>
      <c r="B20" s="49" t="s">
        <v>89</v>
      </c>
      <c r="C20" s="39">
        <v>39822</v>
      </c>
      <c r="D20" s="44" t="s">
        <v>132</v>
      </c>
      <c r="E20" s="44" t="s">
        <v>43</v>
      </c>
      <c r="F20" s="41">
        <v>56</v>
      </c>
      <c r="G20" s="41">
        <v>10</v>
      </c>
      <c r="H20" s="334">
        <v>1242992</v>
      </c>
      <c r="I20" s="335">
        <v>140680</v>
      </c>
      <c r="J20" s="103">
        <f>+H20/I20</f>
        <v>8.83559852146716</v>
      </c>
      <c r="K20" s="387"/>
      <c r="L20" s="107"/>
      <c r="M20" s="108"/>
      <c r="N20" s="107"/>
    </row>
    <row r="21" spans="1:14" s="29" customFormat="1" ht="15">
      <c r="A21" s="106">
        <v>17</v>
      </c>
      <c r="B21" s="49" t="s">
        <v>223</v>
      </c>
      <c r="C21" s="39">
        <v>39871</v>
      </c>
      <c r="D21" s="44" t="s">
        <v>133</v>
      </c>
      <c r="E21" s="44" t="s">
        <v>224</v>
      </c>
      <c r="F21" s="41">
        <v>192</v>
      </c>
      <c r="G21" s="41">
        <v>3</v>
      </c>
      <c r="H21" s="334">
        <f>568084.5+443323.5-20+199559</f>
        <v>1210947</v>
      </c>
      <c r="I21" s="335">
        <f>79686+63059+31158</f>
        <v>173903</v>
      </c>
      <c r="J21" s="103">
        <f>+H21/I21</f>
        <v>6.963347383311386</v>
      </c>
      <c r="K21" s="387">
        <v>1</v>
      </c>
      <c r="L21" s="107"/>
      <c r="M21" s="108"/>
      <c r="N21" s="107"/>
    </row>
    <row r="22" spans="1:14" s="29" customFormat="1" ht="15">
      <c r="A22" s="106">
        <v>18</v>
      </c>
      <c r="B22" s="49" t="s">
        <v>184</v>
      </c>
      <c r="C22" s="39">
        <v>39850</v>
      </c>
      <c r="D22" s="44" t="s">
        <v>132</v>
      </c>
      <c r="E22" s="44" t="s">
        <v>112</v>
      </c>
      <c r="F22" s="41">
        <v>78</v>
      </c>
      <c r="G22" s="41">
        <v>6</v>
      </c>
      <c r="H22" s="334">
        <v>898706</v>
      </c>
      <c r="I22" s="335">
        <v>97122</v>
      </c>
      <c r="J22" s="103">
        <f>+H22/I22</f>
        <v>9.25337204752785</v>
      </c>
      <c r="K22" s="387"/>
      <c r="L22" s="107"/>
      <c r="M22" s="108"/>
      <c r="N22" s="107"/>
    </row>
    <row r="23" spans="1:14" s="29" customFormat="1" ht="15">
      <c r="A23" s="106">
        <v>19</v>
      </c>
      <c r="B23" s="49" t="s">
        <v>174</v>
      </c>
      <c r="C23" s="39">
        <v>39843</v>
      </c>
      <c r="D23" s="44" t="s">
        <v>132</v>
      </c>
      <c r="E23" s="44" t="s">
        <v>43</v>
      </c>
      <c r="F23" s="41">
        <v>53</v>
      </c>
      <c r="G23" s="41">
        <v>7</v>
      </c>
      <c r="H23" s="334">
        <v>807475</v>
      </c>
      <c r="I23" s="335">
        <v>81335</v>
      </c>
      <c r="J23" s="103">
        <f>+H23/I23</f>
        <v>9.927767873609147</v>
      </c>
      <c r="K23" s="387"/>
      <c r="L23" s="107"/>
      <c r="M23" s="108"/>
      <c r="N23" s="107"/>
    </row>
    <row r="24" spans="1:14" s="29" customFormat="1" ht="15">
      <c r="A24" s="106">
        <v>20</v>
      </c>
      <c r="B24" s="49" t="s">
        <v>10</v>
      </c>
      <c r="C24" s="39">
        <v>39829</v>
      </c>
      <c r="D24" s="44" t="s">
        <v>135</v>
      </c>
      <c r="E24" s="44" t="s">
        <v>11</v>
      </c>
      <c r="F24" s="41">
        <v>65</v>
      </c>
      <c r="G24" s="41">
        <v>8</v>
      </c>
      <c r="H24" s="334">
        <f>237023+244842+160469+47021+21536+18820+18020.5+26440</f>
        <v>774171.5</v>
      </c>
      <c r="I24" s="335">
        <f>25678+28966+21290+6590+4890+3520+3479+4786</f>
        <v>99199</v>
      </c>
      <c r="J24" s="103">
        <f>H24/I24</f>
        <v>7.804226857125576</v>
      </c>
      <c r="K24" s="353"/>
      <c r="L24" s="107"/>
      <c r="M24" s="108"/>
      <c r="N24" s="107"/>
    </row>
    <row r="25" spans="1:14" s="29" customFormat="1" ht="15">
      <c r="A25" s="106">
        <v>21</v>
      </c>
      <c r="B25" s="49" t="s">
        <v>231</v>
      </c>
      <c r="C25" s="39">
        <v>39878</v>
      </c>
      <c r="D25" s="44" t="s">
        <v>132</v>
      </c>
      <c r="E25" s="44" t="s">
        <v>128</v>
      </c>
      <c r="F25" s="41">
        <v>90</v>
      </c>
      <c r="G25" s="41">
        <v>2</v>
      </c>
      <c r="H25" s="334">
        <v>765001</v>
      </c>
      <c r="I25" s="335">
        <v>81732</v>
      </c>
      <c r="J25" s="103">
        <f>+H25/I25</f>
        <v>9.359871286644154</v>
      </c>
      <c r="K25" s="387"/>
      <c r="L25" s="107"/>
      <c r="M25" s="108"/>
      <c r="N25" s="107"/>
    </row>
    <row r="26" spans="1:14" s="29" customFormat="1" ht="15">
      <c r="A26" s="106">
        <v>22</v>
      </c>
      <c r="B26" s="49" t="s">
        <v>255</v>
      </c>
      <c r="C26" s="39">
        <v>39871</v>
      </c>
      <c r="D26" s="44" t="s">
        <v>132</v>
      </c>
      <c r="E26" s="44" t="s">
        <v>128</v>
      </c>
      <c r="F26" s="41">
        <v>40</v>
      </c>
      <c r="G26" s="41">
        <v>3</v>
      </c>
      <c r="H26" s="334">
        <v>724425</v>
      </c>
      <c r="I26" s="335">
        <v>72920</v>
      </c>
      <c r="J26" s="103">
        <f>+H26/I26</f>
        <v>9.934517279210093</v>
      </c>
      <c r="K26" s="387"/>
      <c r="L26" s="107"/>
      <c r="M26" s="108"/>
      <c r="N26" s="107"/>
    </row>
    <row r="27" spans="1:14" s="29" customFormat="1" ht="15">
      <c r="A27" s="106">
        <v>23</v>
      </c>
      <c r="B27" s="49" t="s">
        <v>175</v>
      </c>
      <c r="C27" s="39">
        <v>39843</v>
      </c>
      <c r="D27" s="44" t="s">
        <v>137</v>
      </c>
      <c r="E27" s="44" t="s">
        <v>176</v>
      </c>
      <c r="F27" s="41">
        <v>92</v>
      </c>
      <c r="G27" s="41">
        <v>7</v>
      </c>
      <c r="H27" s="334">
        <v>635039.5</v>
      </c>
      <c r="I27" s="335">
        <v>74712</v>
      </c>
      <c r="J27" s="103">
        <f>IF(H27&lt;&gt;0,H27/I27,"")</f>
        <v>8.49983269086626</v>
      </c>
      <c r="K27" s="387">
        <v>1</v>
      </c>
      <c r="L27" s="107"/>
      <c r="M27" s="108"/>
      <c r="N27" s="107"/>
    </row>
    <row r="28" spans="1:14" s="29" customFormat="1" ht="15">
      <c r="A28" s="106">
        <v>24</v>
      </c>
      <c r="B28" s="49" t="s">
        <v>34</v>
      </c>
      <c r="C28" s="39">
        <v>39815</v>
      </c>
      <c r="D28" s="44" t="s">
        <v>131</v>
      </c>
      <c r="E28" s="44" t="s">
        <v>35</v>
      </c>
      <c r="F28" s="41">
        <v>62</v>
      </c>
      <c r="G28" s="41">
        <v>10</v>
      </c>
      <c r="H28" s="334">
        <f>364878+189780+24392+5352+42+1552+1221+1432+5133+1444+196</f>
        <v>595422</v>
      </c>
      <c r="I28" s="335">
        <f>36690+19609+2909+1194-16+282+185+285+1591+285+28</f>
        <v>63042</v>
      </c>
      <c r="J28" s="103">
        <f>+H28/I28</f>
        <v>9.44484629294756</v>
      </c>
      <c r="K28" s="353"/>
      <c r="L28" s="107"/>
      <c r="M28" s="108"/>
      <c r="N28" s="107"/>
    </row>
    <row r="29" spans="1:14" s="29" customFormat="1" ht="15">
      <c r="A29" s="106">
        <v>25</v>
      </c>
      <c r="B29" s="49" t="s">
        <v>210</v>
      </c>
      <c r="C29" s="39">
        <v>39864</v>
      </c>
      <c r="D29" s="44" t="s">
        <v>132</v>
      </c>
      <c r="E29" s="44" t="s">
        <v>112</v>
      </c>
      <c r="F29" s="41">
        <v>45</v>
      </c>
      <c r="G29" s="41">
        <v>4</v>
      </c>
      <c r="H29" s="334">
        <v>504185</v>
      </c>
      <c r="I29" s="335">
        <v>48168</v>
      </c>
      <c r="J29" s="103">
        <f>+H29/I29</f>
        <v>10.467218900514865</v>
      </c>
      <c r="K29" s="387"/>
      <c r="L29" s="107"/>
      <c r="M29" s="108"/>
      <c r="N29" s="107"/>
    </row>
    <row r="30" spans="1:14" s="29" customFormat="1" ht="16.5" customHeight="1">
      <c r="A30" s="106">
        <v>26</v>
      </c>
      <c r="B30" s="49" t="s">
        <v>200</v>
      </c>
      <c r="C30" s="39">
        <v>39857</v>
      </c>
      <c r="D30" s="44" t="s">
        <v>135</v>
      </c>
      <c r="E30" s="44" t="s">
        <v>134</v>
      </c>
      <c r="F30" s="41">
        <v>41</v>
      </c>
      <c r="G30" s="41">
        <v>4</v>
      </c>
      <c r="H30" s="334">
        <f>237955+174160.5+33697.5+17295</f>
        <v>463108</v>
      </c>
      <c r="I30" s="335">
        <f>21828+16711+3926+2842</f>
        <v>45307</v>
      </c>
      <c r="J30" s="103">
        <f>H30/I30</f>
        <v>10.221555168075573</v>
      </c>
      <c r="K30" s="353"/>
      <c r="L30" s="107"/>
      <c r="M30" s="108"/>
      <c r="N30" s="107"/>
    </row>
    <row r="31" spans="1:14" s="29" customFormat="1" ht="16.5" customHeight="1">
      <c r="A31" s="106">
        <v>27</v>
      </c>
      <c r="B31" s="49" t="s">
        <v>211</v>
      </c>
      <c r="C31" s="39">
        <v>39864</v>
      </c>
      <c r="D31" s="44" t="s">
        <v>135</v>
      </c>
      <c r="E31" s="44" t="s">
        <v>212</v>
      </c>
      <c r="F31" s="41">
        <v>55</v>
      </c>
      <c r="G31" s="41">
        <v>3</v>
      </c>
      <c r="H31" s="334">
        <f>190777.5+154065+60826.5</f>
        <v>405669</v>
      </c>
      <c r="I31" s="335">
        <f>20518+17650+7809</f>
        <v>45977</v>
      </c>
      <c r="J31" s="103">
        <f>H31/I31</f>
        <v>8.823302955825739</v>
      </c>
      <c r="K31" s="353"/>
      <c r="L31" s="107"/>
      <c r="M31" s="108"/>
      <c r="N31" s="107"/>
    </row>
    <row r="32" spans="1:14" s="29" customFormat="1" ht="16.5" customHeight="1">
      <c r="A32" s="106">
        <v>28</v>
      </c>
      <c r="B32" s="49" t="s">
        <v>185</v>
      </c>
      <c r="C32" s="39">
        <v>39850</v>
      </c>
      <c r="D32" s="44" t="s">
        <v>132</v>
      </c>
      <c r="E32" s="44" t="s">
        <v>112</v>
      </c>
      <c r="F32" s="41">
        <v>26</v>
      </c>
      <c r="G32" s="41">
        <v>6</v>
      </c>
      <c r="H32" s="334">
        <v>400640</v>
      </c>
      <c r="I32" s="335">
        <v>38896</v>
      </c>
      <c r="J32" s="103">
        <f aca="true" t="shared" si="1" ref="J32:J37">+H32/I32</f>
        <v>10.30028794734677</v>
      </c>
      <c r="K32" s="387"/>
      <c r="L32" s="107"/>
      <c r="M32" s="108"/>
      <c r="N32" s="107"/>
    </row>
    <row r="33" spans="1:14" s="29" customFormat="1" ht="16.5" customHeight="1">
      <c r="A33" s="106">
        <v>29</v>
      </c>
      <c r="B33" s="49" t="s">
        <v>253</v>
      </c>
      <c r="C33" s="39">
        <v>39885</v>
      </c>
      <c r="D33" s="44" t="s">
        <v>131</v>
      </c>
      <c r="E33" s="44" t="s">
        <v>63</v>
      </c>
      <c r="F33" s="41">
        <v>58</v>
      </c>
      <c r="G33" s="41">
        <v>1</v>
      </c>
      <c r="H33" s="334">
        <v>356870</v>
      </c>
      <c r="I33" s="335">
        <v>36991</v>
      </c>
      <c r="J33" s="103">
        <f t="shared" si="1"/>
        <v>9.647481819902138</v>
      </c>
      <c r="K33" s="387"/>
      <c r="L33" s="107"/>
      <c r="M33" s="108"/>
      <c r="N33" s="107"/>
    </row>
    <row r="34" spans="1:14" s="29" customFormat="1" ht="16.5" customHeight="1">
      <c r="A34" s="106">
        <v>30</v>
      </c>
      <c r="B34" s="49" t="s">
        <v>12</v>
      </c>
      <c r="C34" s="39">
        <v>39829</v>
      </c>
      <c r="D34" s="44" t="s">
        <v>133</v>
      </c>
      <c r="E34" s="44" t="s">
        <v>13</v>
      </c>
      <c r="F34" s="41">
        <v>3</v>
      </c>
      <c r="G34" s="41">
        <v>8</v>
      </c>
      <c r="H34" s="334">
        <f>186683.5+104505+11311.5+18993.5+3012+3864+5338+2063</f>
        <v>335770.5</v>
      </c>
      <c r="I34" s="335">
        <f>17611+9310+1374+2998+454+608+892+412</f>
        <v>33659</v>
      </c>
      <c r="J34" s="103">
        <f t="shared" si="1"/>
        <v>9.975652871445973</v>
      </c>
      <c r="K34" s="353"/>
      <c r="L34" s="107"/>
      <c r="M34" s="108"/>
      <c r="N34" s="107"/>
    </row>
    <row r="35" spans="1:14" s="29" customFormat="1" ht="16.5" customHeight="1">
      <c r="A35" s="106">
        <v>31</v>
      </c>
      <c r="B35" s="49" t="s">
        <v>177</v>
      </c>
      <c r="C35" s="39">
        <v>39843</v>
      </c>
      <c r="D35" s="44" t="s">
        <v>131</v>
      </c>
      <c r="E35" s="44" t="s">
        <v>35</v>
      </c>
      <c r="F35" s="41">
        <v>39</v>
      </c>
      <c r="G35" s="41">
        <v>6</v>
      </c>
      <c r="H35" s="334">
        <f>170398+109259+13223+22668+4716+3323</f>
        <v>323587</v>
      </c>
      <c r="I35" s="335">
        <f>15658+10719+1567+3434+755+489</f>
        <v>32622</v>
      </c>
      <c r="J35" s="103">
        <f t="shared" si="1"/>
        <v>9.919287597326957</v>
      </c>
      <c r="K35" s="353"/>
      <c r="L35" s="107"/>
      <c r="M35" s="108"/>
      <c r="N35" s="107"/>
    </row>
    <row r="36" spans="1:14" s="29" customFormat="1" ht="16.5" customHeight="1">
      <c r="A36" s="106">
        <v>32</v>
      </c>
      <c r="B36" s="49" t="s">
        <v>232</v>
      </c>
      <c r="C36" s="39">
        <v>39878</v>
      </c>
      <c r="D36" s="44" t="s">
        <v>131</v>
      </c>
      <c r="E36" s="44" t="s">
        <v>123</v>
      </c>
      <c r="F36" s="41">
        <v>39</v>
      </c>
      <c r="G36" s="41">
        <v>2</v>
      </c>
      <c r="H36" s="334">
        <f>208640+108142+308</f>
        <v>317090</v>
      </c>
      <c r="I36" s="335">
        <f>19698+10352</f>
        <v>30050</v>
      </c>
      <c r="J36" s="103">
        <f t="shared" si="1"/>
        <v>10.55207986688852</v>
      </c>
      <c r="K36" s="387"/>
      <c r="L36" s="107"/>
      <c r="M36" s="108"/>
      <c r="N36" s="107"/>
    </row>
    <row r="37" spans="1:14" s="29" customFormat="1" ht="16.5" customHeight="1">
      <c r="A37" s="106">
        <v>33</v>
      </c>
      <c r="B37" s="49" t="s">
        <v>226</v>
      </c>
      <c r="C37" s="39">
        <v>39871</v>
      </c>
      <c r="D37" s="44" t="s">
        <v>132</v>
      </c>
      <c r="E37" s="44" t="s">
        <v>227</v>
      </c>
      <c r="F37" s="41">
        <v>52</v>
      </c>
      <c r="G37" s="41">
        <v>3</v>
      </c>
      <c r="H37" s="334">
        <v>300887</v>
      </c>
      <c r="I37" s="335">
        <v>37733</v>
      </c>
      <c r="J37" s="103">
        <f t="shared" si="1"/>
        <v>7.974107545119656</v>
      </c>
      <c r="K37" s="387">
        <v>1</v>
      </c>
      <c r="L37" s="107"/>
      <c r="M37" s="108"/>
      <c r="N37" s="107"/>
    </row>
    <row r="38" spans="1:14" s="29" customFormat="1" ht="16.5" customHeight="1">
      <c r="A38" s="106">
        <v>34</v>
      </c>
      <c r="B38" s="49" t="s">
        <v>213</v>
      </c>
      <c r="C38" s="39">
        <v>39864</v>
      </c>
      <c r="D38" s="44" t="s">
        <v>135</v>
      </c>
      <c r="E38" s="44" t="s">
        <v>214</v>
      </c>
      <c r="F38" s="41">
        <v>60</v>
      </c>
      <c r="G38" s="41">
        <v>3</v>
      </c>
      <c r="H38" s="334">
        <f>182826.5+79990+19672</f>
        <v>282488.5</v>
      </c>
      <c r="I38" s="335">
        <f>20237+9379+2724</f>
        <v>32340</v>
      </c>
      <c r="J38" s="103">
        <f>H38/I38</f>
        <v>8.73495670995671</v>
      </c>
      <c r="K38" s="353"/>
      <c r="L38" s="107"/>
      <c r="M38" s="108"/>
      <c r="N38" s="107"/>
    </row>
    <row r="39" spans="1:14" s="29" customFormat="1" ht="16.5" customHeight="1">
      <c r="A39" s="106">
        <v>35</v>
      </c>
      <c r="B39" s="49" t="s">
        <v>225</v>
      </c>
      <c r="C39" s="39">
        <v>39871</v>
      </c>
      <c r="D39" s="44" t="s">
        <v>131</v>
      </c>
      <c r="E39" s="44" t="s">
        <v>123</v>
      </c>
      <c r="F39" s="41">
        <v>50</v>
      </c>
      <c r="G39" s="41">
        <v>3</v>
      </c>
      <c r="H39" s="334">
        <f>170980+80213+4926</f>
        <v>256119</v>
      </c>
      <c r="I39" s="335">
        <f>17959+8528+552</f>
        <v>27039</v>
      </c>
      <c r="J39" s="103">
        <f>+H39/I39</f>
        <v>9.472206812382115</v>
      </c>
      <c r="K39" s="387"/>
      <c r="L39" s="107"/>
      <c r="M39" s="108"/>
      <c r="N39" s="107"/>
    </row>
    <row r="40" spans="1:14" s="29" customFormat="1" ht="16.5" customHeight="1">
      <c r="A40" s="106">
        <v>36</v>
      </c>
      <c r="B40" s="49" t="s">
        <v>178</v>
      </c>
      <c r="C40" s="39">
        <v>39843</v>
      </c>
      <c r="D40" s="44" t="s">
        <v>133</v>
      </c>
      <c r="E40" s="44" t="s">
        <v>13</v>
      </c>
      <c r="F40" s="41">
        <v>2</v>
      </c>
      <c r="G40" s="41">
        <v>7</v>
      </c>
      <c r="H40" s="334">
        <f>168651.5+46529+10620.5+4304+0.5+12367.5+5085+0.5+811</f>
        <v>248369.5</v>
      </c>
      <c r="I40" s="335">
        <f>20118+5529+1513+681+2223+920+189</f>
        <v>31173</v>
      </c>
      <c r="J40" s="103">
        <f>+H40/I40</f>
        <v>7.9674558111185965</v>
      </c>
      <c r="K40" s="387"/>
      <c r="L40" s="107"/>
      <c r="M40" s="108"/>
      <c r="N40" s="107"/>
    </row>
    <row r="41" spans="1:14" s="29" customFormat="1" ht="16.5" customHeight="1">
      <c r="A41" s="106">
        <v>37</v>
      </c>
      <c r="B41" s="49" t="s">
        <v>254</v>
      </c>
      <c r="C41" s="39">
        <v>39885</v>
      </c>
      <c r="D41" s="44" t="s">
        <v>132</v>
      </c>
      <c r="E41" s="44" t="s">
        <v>128</v>
      </c>
      <c r="F41" s="41">
        <v>51</v>
      </c>
      <c r="G41" s="41">
        <v>1</v>
      </c>
      <c r="H41" s="334">
        <v>203697</v>
      </c>
      <c r="I41" s="335">
        <v>21835</v>
      </c>
      <c r="J41" s="103">
        <f>+H41/I41</f>
        <v>9.328921456377376</v>
      </c>
      <c r="K41" s="387"/>
      <c r="L41" s="107"/>
      <c r="M41" s="108"/>
      <c r="N41" s="107"/>
    </row>
    <row r="42" spans="1:14" s="29" customFormat="1" ht="16.5" customHeight="1">
      <c r="A42" s="106">
        <v>38</v>
      </c>
      <c r="B42" s="49" t="s">
        <v>90</v>
      </c>
      <c r="C42" s="39">
        <v>39822</v>
      </c>
      <c r="D42" s="44" t="s">
        <v>131</v>
      </c>
      <c r="E42" s="44" t="s">
        <v>91</v>
      </c>
      <c r="F42" s="41">
        <v>59</v>
      </c>
      <c r="G42" s="41">
        <v>10</v>
      </c>
      <c r="H42" s="334">
        <f>104780+59149-180+16774+8520+1676+104+1077+1190+1780+175</f>
        <v>195045</v>
      </c>
      <c r="I42" s="335">
        <f>11200+7168-39+2888+1488+293+16+150+340+330+24</f>
        <v>23858</v>
      </c>
      <c r="J42" s="103">
        <f>+H42/I42</f>
        <v>8.17524520077123</v>
      </c>
      <c r="K42" s="387"/>
      <c r="L42" s="107"/>
      <c r="M42" s="108"/>
      <c r="N42" s="107"/>
    </row>
    <row r="43" spans="1:14" s="29" customFormat="1" ht="16.5" customHeight="1">
      <c r="A43" s="106">
        <v>39</v>
      </c>
      <c r="B43" s="49" t="s">
        <v>159</v>
      </c>
      <c r="C43" s="39">
        <v>39836</v>
      </c>
      <c r="D43" s="44" t="s">
        <v>135</v>
      </c>
      <c r="E43" s="44" t="s">
        <v>160</v>
      </c>
      <c r="F43" s="41">
        <v>13</v>
      </c>
      <c r="G43" s="41">
        <v>7</v>
      </c>
      <c r="H43" s="334">
        <f>57133.5+23554+18557+9186+29743.5+13631.5+13446</f>
        <v>165251.5</v>
      </c>
      <c r="I43" s="335">
        <f>5405+2651+2356+1389+3583+1713+1661</f>
        <v>18758</v>
      </c>
      <c r="J43" s="103">
        <f>H43/I43</f>
        <v>8.809654547393112</v>
      </c>
      <c r="K43" s="353">
        <v>1</v>
      </c>
      <c r="L43" s="107"/>
      <c r="M43" s="108"/>
      <c r="N43" s="107"/>
    </row>
    <row r="44" spans="1:14" s="29" customFormat="1" ht="16.5" customHeight="1">
      <c r="A44" s="106">
        <v>40</v>
      </c>
      <c r="B44" s="49" t="s">
        <v>233</v>
      </c>
      <c r="C44" s="39">
        <v>39878</v>
      </c>
      <c r="D44" s="44" t="s">
        <v>135</v>
      </c>
      <c r="E44" s="44" t="s">
        <v>234</v>
      </c>
      <c r="F44" s="41">
        <v>40</v>
      </c>
      <c r="G44" s="41">
        <v>1</v>
      </c>
      <c r="H44" s="334">
        <f>143992.5</f>
        <v>143992.5</v>
      </c>
      <c r="I44" s="335">
        <f>15320</f>
        <v>15320</v>
      </c>
      <c r="J44" s="103">
        <f>H44/I44</f>
        <v>9.398988250652742</v>
      </c>
      <c r="K44" s="353"/>
      <c r="L44" s="107"/>
      <c r="M44" s="108"/>
      <c r="N44" s="107"/>
    </row>
    <row r="45" spans="1:14" s="29" customFormat="1" ht="16.5" customHeight="1">
      <c r="A45" s="106">
        <v>41</v>
      </c>
      <c r="B45" s="49" t="s">
        <v>259</v>
      </c>
      <c r="C45" s="39">
        <v>39815</v>
      </c>
      <c r="D45" s="44" t="s">
        <v>133</v>
      </c>
      <c r="E45" s="44" t="s">
        <v>108</v>
      </c>
      <c r="F45" s="41">
        <v>1</v>
      </c>
      <c r="G45" s="41">
        <v>7</v>
      </c>
      <c r="H45" s="334">
        <f>73862+20664+15776+8085+9922+10832+112</f>
        <v>139253</v>
      </c>
      <c r="I45" s="335">
        <f>7639+2334+2407+1475+1749+1781+22</f>
        <v>17407</v>
      </c>
      <c r="J45" s="103">
        <f>+H45/I45</f>
        <v>7.999827655540875</v>
      </c>
      <c r="K45" s="387"/>
      <c r="L45" s="107"/>
      <c r="M45" s="108"/>
      <c r="N45" s="107"/>
    </row>
    <row r="46" spans="1:14" s="29" customFormat="1" ht="16.5" customHeight="1">
      <c r="A46" s="106">
        <v>42</v>
      </c>
      <c r="B46" s="49" t="s">
        <v>36</v>
      </c>
      <c r="C46" s="39">
        <v>39815</v>
      </c>
      <c r="D46" s="44" t="s">
        <v>135</v>
      </c>
      <c r="E46" s="44" t="s">
        <v>37</v>
      </c>
      <c r="F46" s="41">
        <v>37</v>
      </c>
      <c r="G46" s="41">
        <v>10</v>
      </c>
      <c r="H46" s="334">
        <f>95365.5+19593.5+3155+849+1502+1716+1068+1873+1534+803</f>
        <v>127459</v>
      </c>
      <c r="I46" s="335">
        <f>9915+2232+541+157+246+408+264+355+235+213</f>
        <v>14566</v>
      </c>
      <c r="J46" s="103">
        <f>H46/I46</f>
        <v>8.75044624467939</v>
      </c>
      <c r="K46" s="353"/>
      <c r="L46" s="107"/>
      <c r="M46" s="108"/>
      <c r="N46" s="107"/>
    </row>
    <row r="47" spans="1:14" s="29" customFormat="1" ht="16.5" customHeight="1">
      <c r="A47" s="106">
        <v>43</v>
      </c>
      <c r="B47" s="49" t="s">
        <v>158</v>
      </c>
      <c r="C47" s="39">
        <v>39836</v>
      </c>
      <c r="D47" s="44" t="s">
        <v>4</v>
      </c>
      <c r="E47" s="44" t="s">
        <v>77</v>
      </c>
      <c r="F47" s="41">
        <v>30</v>
      </c>
      <c r="G47" s="41">
        <v>7</v>
      </c>
      <c r="H47" s="334">
        <v>113686</v>
      </c>
      <c r="I47" s="335">
        <v>11461</v>
      </c>
      <c r="J47" s="103">
        <f>+H47/I47</f>
        <v>9.919378762760667</v>
      </c>
      <c r="K47" s="353"/>
      <c r="L47" s="107"/>
      <c r="M47" s="108"/>
      <c r="N47" s="107"/>
    </row>
    <row r="48" spans="1:14" s="29" customFormat="1" ht="16.5" customHeight="1">
      <c r="A48" s="106">
        <v>44</v>
      </c>
      <c r="B48" s="49" t="s">
        <v>38</v>
      </c>
      <c r="C48" s="39">
        <v>39815</v>
      </c>
      <c r="D48" s="44" t="s">
        <v>137</v>
      </c>
      <c r="E48" s="44" t="s">
        <v>39</v>
      </c>
      <c r="F48" s="41">
        <v>16</v>
      </c>
      <c r="G48" s="41">
        <v>9</v>
      </c>
      <c r="H48" s="334">
        <v>56722.5</v>
      </c>
      <c r="I48" s="335">
        <v>6353</v>
      </c>
      <c r="J48" s="103">
        <f>IF(H48&lt;&gt;0,H48/I48,"")</f>
        <v>8.92845899575004</v>
      </c>
      <c r="K48" s="387">
        <v>1</v>
      </c>
      <c r="L48" s="107"/>
      <c r="M48" s="108"/>
      <c r="N48" s="107"/>
    </row>
    <row r="49" spans="1:14" s="29" customFormat="1" ht="16.5" customHeight="1">
      <c r="A49" s="106">
        <v>45</v>
      </c>
      <c r="B49" s="49" t="s">
        <v>235</v>
      </c>
      <c r="C49" s="39">
        <v>39878</v>
      </c>
      <c r="D49" s="44" t="s">
        <v>135</v>
      </c>
      <c r="E49" s="44" t="s">
        <v>236</v>
      </c>
      <c r="F49" s="41">
        <v>23</v>
      </c>
      <c r="G49" s="41">
        <v>1</v>
      </c>
      <c r="H49" s="334">
        <f>53374.5</f>
        <v>53374.5</v>
      </c>
      <c r="I49" s="335">
        <f>6646</f>
        <v>6646</v>
      </c>
      <c r="J49" s="103">
        <f>H49/I49</f>
        <v>8.031071321095396</v>
      </c>
      <c r="K49" s="353">
        <v>1</v>
      </c>
      <c r="L49" s="107"/>
      <c r="M49" s="108"/>
      <c r="N49" s="107"/>
    </row>
    <row r="50" spans="1:14" s="29" customFormat="1" ht="16.5" customHeight="1">
      <c r="A50" s="106">
        <v>46</v>
      </c>
      <c r="B50" s="350" t="s">
        <v>256</v>
      </c>
      <c r="C50" s="385">
        <v>39878</v>
      </c>
      <c r="D50" s="384" t="s">
        <v>257</v>
      </c>
      <c r="E50" s="384" t="s">
        <v>258</v>
      </c>
      <c r="F50" s="41">
        <v>11</v>
      </c>
      <c r="G50" s="41">
        <v>2</v>
      </c>
      <c r="H50" s="334">
        <v>30325.5</v>
      </c>
      <c r="I50" s="335">
        <v>2720</v>
      </c>
      <c r="J50" s="103">
        <f>+H50/I50</f>
        <v>11.14908088235294</v>
      </c>
      <c r="K50" s="387"/>
      <c r="L50" s="107"/>
      <c r="M50" s="108"/>
      <c r="N50" s="107"/>
    </row>
    <row r="51" spans="1:14" s="29" customFormat="1" ht="13.5" customHeight="1">
      <c r="A51" s="106">
        <v>47</v>
      </c>
      <c r="B51" s="49" t="s">
        <v>186</v>
      </c>
      <c r="C51" s="39">
        <v>39850</v>
      </c>
      <c r="D51" s="44" t="s">
        <v>135</v>
      </c>
      <c r="E51" s="44" t="s">
        <v>187</v>
      </c>
      <c r="F51" s="41">
        <v>8</v>
      </c>
      <c r="G51" s="41">
        <v>5</v>
      </c>
      <c r="H51" s="334">
        <f>10492+1122+2325+2330.5+2538</f>
        <v>18807.5</v>
      </c>
      <c r="I51" s="335">
        <f>1114+134+463+420+483</f>
        <v>2614</v>
      </c>
      <c r="J51" s="103">
        <f>H51/I51</f>
        <v>7.194912012241775</v>
      </c>
      <c r="K51" s="353">
        <v>1</v>
      </c>
      <c r="L51" s="107"/>
      <c r="M51" s="108"/>
      <c r="N51" s="107"/>
    </row>
    <row r="52" spans="1:14" s="29" customFormat="1" ht="15">
      <c r="A52" s="106">
        <v>48</v>
      </c>
      <c r="B52" s="49" t="s">
        <v>237</v>
      </c>
      <c r="C52" s="39">
        <v>39878</v>
      </c>
      <c r="D52" s="44" t="s">
        <v>93</v>
      </c>
      <c r="E52" s="44" t="s">
        <v>238</v>
      </c>
      <c r="F52" s="41">
        <v>10</v>
      </c>
      <c r="G52" s="41">
        <v>2</v>
      </c>
      <c r="H52" s="334">
        <v>17440</v>
      </c>
      <c r="I52" s="335">
        <v>1767</v>
      </c>
      <c r="J52" s="103">
        <f>+H52/I52</f>
        <v>9.869835880022638</v>
      </c>
      <c r="K52" s="386">
        <v>1</v>
      </c>
      <c r="L52" s="107"/>
      <c r="M52" s="108"/>
      <c r="N52" s="107"/>
    </row>
    <row r="53" spans="1:14" s="29" customFormat="1" ht="15">
      <c r="A53" s="106">
        <v>49</v>
      </c>
      <c r="B53" s="49" t="s">
        <v>188</v>
      </c>
      <c r="C53" s="39">
        <v>39850</v>
      </c>
      <c r="D53" s="44" t="s">
        <v>135</v>
      </c>
      <c r="E53" s="44" t="s">
        <v>189</v>
      </c>
      <c r="F53" s="41">
        <v>2</v>
      </c>
      <c r="G53" s="41">
        <v>5</v>
      </c>
      <c r="H53" s="334">
        <f>8077.5+3261+2251+2481+682</f>
        <v>16752.5</v>
      </c>
      <c r="I53" s="335">
        <f>773+379+260+266+71</f>
        <v>1749</v>
      </c>
      <c r="J53" s="103">
        <f>H53/I53</f>
        <v>9.57833047455689</v>
      </c>
      <c r="K53" s="353"/>
      <c r="L53" s="107"/>
      <c r="M53" s="108"/>
      <c r="N53" s="107"/>
    </row>
    <row r="54" spans="1:14" s="29" customFormat="1" ht="15">
      <c r="A54" s="106">
        <v>50</v>
      </c>
      <c r="B54" s="49" t="s">
        <v>239</v>
      </c>
      <c r="C54" s="39">
        <v>39871</v>
      </c>
      <c r="D54" s="44" t="s">
        <v>135</v>
      </c>
      <c r="E54" s="44" t="s">
        <v>228</v>
      </c>
      <c r="F54" s="41">
        <v>6</v>
      </c>
      <c r="G54" s="41">
        <v>2</v>
      </c>
      <c r="H54" s="334">
        <f>10784+5573</f>
        <v>16357</v>
      </c>
      <c r="I54" s="335">
        <f>1170+612</f>
        <v>1782</v>
      </c>
      <c r="J54" s="103">
        <f>H54/I54</f>
        <v>9.179012345679013</v>
      </c>
      <c r="K54" s="353">
        <v>1</v>
      </c>
      <c r="L54" s="107"/>
      <c r="M54" s="108"/>
      <c r="N54" s="107"/>
    </row>
    <row r="55" spans="1:14" s="29" customFormat="1" ht="15">
      <c r="A55" s="106">
        <v>51</v>
      </c>
      <c r="B55" s="49" t="s">
        <v>215</v>
      </c>
      <c r="C55" s="39">
        <v>39864</v>
      </c>
      <c r="D55" s="44" t="s">
        <v>135</v>
      </c>
      <c r="E55" s="44" t="s">
        <v>216</v>
      </c>
      <c r="F55" s="41">
        <v>4</v>
      </c>
      <c r="G55" s="41">
        <v>3</v>
      </c>
      <c r="H55" s="334">
        <f>6804+2328+2310</f>
        <v>11442</v>
      </c>
      <c r="I55" s="335">
        <f>775+357+469</f>
        <v>1601</v>
      </c>
      <c r="J55" s="103">
        <f>H55/I55</f>
        <v>7.146783260462211</v>
      </c>
      <c r="K55" s="353">
        <v>1</v>
      </c>
      <c r="L55" s="107"/>
      <c r="M55" s="108"/>
      <c r="N55" s="107"/>
    </row>
    <row r="56" spans="1:14" s="29" customFormat="1" ht="15">
      <c r="A56" s="106">
        <v>52</v>
      </c>
      <c r="B56" s="49" t="s">
        <v>193</v>
      </c>
      <c r="C56" s="39">
        <v>39850</v>
      </c>
      <c r="D56" s="44" t="s">
        <v>135</v>
      </c>
      <c r="E56" s="44" t="s">
        <v>194</v>
      </c>
      <c r="F56" s="41">
        <v>4</v>
      </c>
      <c r="G56" s="41">
        <v>5</v>
      </c>
      <c r="H56" s="334">
        <f>3471+1177+1932+1499+102</f>
        <v>8181</v>
      </c>
      <c r="I56" s="335">
        <f>322+131+339+226+14</f>
        <v>1032</v>
      </c>
      <c r="J56" s="103">
        <f>H56/I56</f>
        <v>7.9273255813953485</v>
      </c>
      <c r="K56" s="353"/>
      <c r="L56" s="107"/>
      <c r="M56" s="108"/>
      <c r="N56" s="107"/>
    </row>
    <row r="57" spans="1:11" ht="15.75" thickBot="1">
      <c r="A57" s="106">
        <v>53</v>
      </c>
      <c r="B57" s="372" t="s">
        <v>229</v>
      </c>
      <c r="C57" s="373">
        <v>39871</v>
      </c>
      <c r="D57" s="374" t="s">
        <v>135</v>
      </c>
      <c r="E57" s="374" t="s">
        <v>1</v>
      </c>
      <c r="F57" s="375">
        <v>1</v>
      </c>
      <c r="G57" s="375">
        <v>2</v>
      </c>
      <c r="H57" s="376">
        <f>1088+1510+1304</f>
        <v>3902</v>
      </c>
      <c r="I57" s="377">
        <f>267+175+155</f>
        <v>597</v>
      </c>
      <c r="J57" s="378">
        <f>H57/I57</f>
        <v>6.536013400335008</v>
      </c>
      <c r="K57" s="353"/>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J14:J57" formula="1"/>
  </ignoredErrors>
</worksheet>
</file>

<file path=xl/worksheets/sheet3.xml><?xml version="1.0" encoding="utf-8"?>
<worksheet xmlns="http://schemas.openxmlformats.org/spreadsheetml/2006/main" xmlns:r="http://schemas.openxmlformats.org/officeDocument/2006/relationships">
  <dimension ref="A1:Q313"/>
  <sheetViews>
    <sheetView zoomScale="90" zoomScaleNormal="90" zoomScalePageLayoutView="0" workbookViewId="0" topLeftCell="A1">
      <selection activeCell="B2" sqref="B2:B3"/>
    </sheetView>
  </sheetViews>
  <sheetFormatPr defaultColWidth="4.00390625" defaultRowHeight="12.75"/>
  <cols>
    <col min="1" max="1" width="4.57421875" style="0" bestFit="1" customWidth="1"/>
    <col min="2" max="2" width="38.140625" style="0" bestFit="1" customWidth="1"/>
    <col min="3" max="3" width="9.8515625" style="62" bestFit="1" customWidth="1"/>
    <col min="4" max="4" width="13.140625" style="0" bestFit="1" customWidth="1"/>
    <col min="5" max="5" width="20.140625" style="0" bestFit="1" customWidth="1"/>
    <col min="6" max="6" width="5.57421875" style="100" bestFit="1" customWidth="1"/>
    <col min="7" max="7" width="7.8515625" style="101" bestFit="1" customWidth="1"/>
    <col min="8" max="8" width="9.421875" style="62" customWidth="1"/>
    <col min="9" max="9" width="14.7109375" style="146" bestFit="1" customWidth="1"/>
    <col min="10" max="10" width="10.140625" style="135" bestFit="1" customWidth="1"/>
    <col min="11" max="11" width="8.7109375" style="137" customWidth="1"/>
    <col min="12" max="12" width="7.28125" style="143" bestFit="1" customWidth="1"/>
    <col min="13" max="13" width="15.8515625" style="130" bestFit="1" customWidth="1"/>
    <col min="14" max="14" width="11.57421875" style="137" bestFit="1" customWidth="1"/>
    <col min="15" max="15" width="7.28125" style="143" bestFit="1" customWidth="1"/>
    <col min="16" max="16" width="3.28125" style="361" bestFit="1" customWidth="1"/>
    <col min="17" max="17" width="4.00390625" style="124" customWidth="1"/>
  </cols>
  <sheetData>
    <row r="1" spans="1:15" ht="34.5" thickBot="1">
      <c r="A1" s="434" t="s">
        <v>248</v>
      </c>
      <c r="B1" s="435"/>
      <c r="C1" s="435"/>
      <c r="D1" s="435"/>
      <c r="E1" s="435"/>
      <c r="F1" s="435"/>
      <c r="G1" s="435"/>
      <c r="H1" s="436"/>
      <c r="I1" s="436"/>
      <c r="J1" s="436"/>
      <c r="K1" s="436"/>
      <c r="L1" s="436"/>
      <c r="M1" s="436"/>
      <c r="N1" s="436"/>
      <c r="O1" s="436"/>
    </row>
    <row r="2" spans="1:17" s="91" customFormat="1" ht="14.25">
      <c r="A2" s="93"/>
      <c r="B2" s="438" t="s">
        <v>3</v>
      </c>
      <c r="C2" s="440" t="s">
        <v>114</v>
      </c>
      <c r="D2" s="433" t="s">
        <v>130</v>
      </c>
      <c r="E2" s="433" t="s">
        <v>129</v>
      </c>
      <c r="F2" s="427" t="s">
        <v>115</v>
      </c>
      <c r="G2" s="427" t="s">
        <v>122</v>
      </c>
      <c r="H2" s="429" t="s">
        <v>124</v>
      </c>
      <c r="I2" s="431" t="s">
        <v>116</v>
      </c>
      <c r="J2" s="431"/>
      <c r="K2" s="431"/>
      <c r="L2" s="431"/>
      <c r="M2" s="431" t="s">
        <v>117</v>
      </c>
      <c r="N2" s="431"/>
      <c r="O2" s="432"/>
      <c r="P2" s="102"/>
      <c r="Q2" s="102"/>
    </row>
    <row r="3" spans="1:17" s="91" customFormat="1" ht="39" thickBot="1">
      <c r="A3" s="94"/>
      <c r="B3" s="439"/>
      <c r="C3" s="441"/>
      <c r="D3" s="428"/>
      <c r="E3" s="428"/>
      <c r="F3" s="428"/>
      <c r="G3" s="428"/>
      <c r="H3" s="430"/>
      <c r="I3" s="128" t="s">
        <v>118</v>
      </c>
      <c r="J3" s="133" t="s">
        <v>119</v>
      </c>
      <c r="K3" s="133" t="s">
        <v>102</v>
      </c>
      <c r="L3" s="141" t="s">
        <v>120</v>
      </c>
      <c r="M3" s="131" t="s">
        <v>118</v>
      </c>
      <c r="N3" s="133" t="s">
        <v>119</v>
      </c>
      <c r="O3" s="144" t="s">
        <v>121</v>
      </c>
      <c r="P3" s="102"/>
      <c r="Q3" s="102"/>
    </row>
    <row r="4" spans="1:16" ht="15">
      <c r="A4" s="66">
        <v>1</v>
      </c>
      <c r="B4" s="162" t="s">
        <v>64</v>
      </c>
      <c r="C4" s="163">
        <v>39759</v>
      </c>
      <c r="D4" s="164" t="s">
        <v>65</v>
      </c>
      <c r="E4" s="164" t="s">
        <v>66</v>
      </c>
      <c r="F4" s="165">
        <v>159</v>
      </c>
      <c r="G4" s="165">
        <v>159</v>
      </c>
      <c r="H4" s="165">
        <v>9</v>
      </c>
      <c r="I4" s="322">
        <v>2001009.5</v>
      </c>
      <c r="J4" s="323">
        <v>246070</v>
      </c>
      <c r="K4" s="168">
        <f>+J4/G4</f>
        <v>1547.6100628930817</v>
      </c>
      <c r="L4" s="169">
        <f>+I4/J4</f>
        <v>8.13187101231357</v>
      </c>
      <c r="M4" s="166">
        <v>19583374</v>
      </c>
      <c r="N4" s="167">
        <v>2259210</v>
      </c>
      <c r="O4" s="170">
        <f>+M4/N4</f>
        <v>8.668239782932972</v>
      </c>
      <c r="P4" s="362">
        <v>1</v>
      </c>
    </row>
    <row r="5" spans="1:16" ht="15">
      <c r="A5" s="66">
        <v>2</v>
      </c>
      <c r="B5" s="232" t="s">
        <v>64</v>
      </c>
      <c r="C5" s="216">
        <v>39759</v>
      </c>
      <c r="D5" s="217" t="s">
        <v>65</v>
      </c>
      <c r="E5" s="217" t="s">
        <v>66</v>
      </c>
      <c r="F5" s="218">
        <v>159</v>
      </c>
      <c r="G5" s="218">
        <v>159</v>
      </c>
      <c r="H5" s="218">
        <v>10</v>
      </c>
      <c r="I5" s="324">
        <v>1362993</v>
      </c>
      <c r="J5" s="325">
        <v>175799</v>
      </c>
      <c r="K5" s="223">
        <f>J5/G5</f>
        <v>1105.6540880503144</v>
      </c>
      <c r="L5" s="224">
        <f>I5/J5</f>
        <v>7.753132839208414</v>
      </c>
      <c r="M5" s="225">
        <v>20952200</v>
      </c>
      <c r="N5" s="226">
        <v>2436833</v>
      </c>
      <c r="O5" s="233">
        <f>+M5/N5</f>
        <v>8.598127159308824</v>
      </c>
      <c r="P5" s="363">
        <v>1</v>
      </c>
    </row>
    <row r="6" spans="1:16" ht="15">
      <c r="A6" s="123">
        <v>3</v>
      </c>
      <c r="B6" s="247" t="s">
        <v>64</v>
      </c>
      <c r="C6" s="248">
        <v>39759</v>
      </c>
      <c r="D6" s="249" t="s">
        <v>65</v>
      </c>
      <c r="E6" s="249" t="s">
        <v>66</v>
      </c>
      <c r="F6" s="250">
        <v>156</v>
      </c>
      <c r="G6" s="250">
        <v>156</v>
      </c>
      <c r="H6" s="250">
        <v>11</v>
      </c>
      <c r="I6" s="326">
        <v>1069198</v>
      </c>
      <c r="J6" s="327">
        <v>142250</v>
      </c>
      <c r="K6" s="251">
        <f>J6/G6</f>
        <v>911.8589743589744</v>
      </c>
      <c r="L6" s="252">
        <f>I6/J6</f>
        <v>7.516330404217926</v>
      </c>
      <c r="M6" s="253">
        <v>22036559</v>
      </c>
      <c r="N6" s="254">
        <v>2580474</v>
      </c>
      <c r="O6" s="255">
        <f>+M6/N6</f>
        <v>8.539733010291908</v>
      </c>
      <c r="P6" s="364">
        <v>1</v>
      </c>
    </row>
    <row r="7" spans="1:16" ht="15">
      <c r="A7" s="66">
        <v>5</v>
      </c>
      <c r="B7" s="238" t="s">
        <v>22</v>
      </c>
      <c r="C7" s="256">
        <v>39787</v>
      </c>
      <c r="D7" s="257" t="s">
        <v>132</v>
      </c>
      <c r="E7" s="257" t="s">
        <v>139</v>
      </c>
      <c r="F7" s="239">
        <v>406</v>
      </c>
      <c r="G7" s="239">
        <v>284</v>
      </c>
      <c r="H7" s="239">
        <v>5</v>
      </c>
      <c r="I7" s="328">
        <v>779810</v>
      </c>
      <c r="J7" s="329">
        <v>96885</v>
      </c>
      <c r="K7" s="246">
        <f>J7/G7</f>
        <v>341.1443661971831</v>
      </c>
      <c r="L7" s="259">
        <f>+I7/J7</f>
        <v>8.048820766888579</v>
      </c>
      <c r="M7" s="258">
        <v>29377571</v>
      </c>
      <c r="N7" s="246">
        <v>3556373</v>
      </c>
      <c r="O7" s="260">
        <f>+M7/N7</f>
        <v>8.260542693356406</v>
      </c>
      <c r="P7" s="362">
        <v>1</v>
      </c>
    </row>
    <row r="8" spans="1:16" ht="15">
      <c r="A8" s="66">
        <v>6</v>
      </c>
      <c r="B8" s="53" t="s">
        <v>64</v>
      </c>
      <c r="C8" s="39">
        <v>39759</v>
      </c>
      <c r="D8" s="127" t="s">
        <v>65</v>
      </c>
      <c r="E8" s="127" t="s">
        <v>66</v>
      </c>
      <c r="F8" s="50">
        <v>141</v>
      </c>
      <c r="G8" s="50">
        <v>141</v>
      </c>
      <c r="H8" s="50">
        <v>12</v>
      </c>
      <c r="I8" s="273">
        <v>603833</v>
      </c>
      <c r="J8" s="274">
        <v>87195</v>
      </c>
      <c r="K8" s="275">
        <f>J8/G8</f>
        <v>618.4042553191489</v>
      </c>
      <c r="L8" s="159">
        <f>I8/J8</f>
        <v>6.925087447674752</v>
      </c>
      <c r="M8" s="276">
        <v>22640352</v>
      </c>
      <c r="N8" s="277">
        <v>2667669</v>
      </c>
      <c r="O8" s="105">
        <f>+M8/N8</f>
        <v>8.486941970686768</v>
      </c>
      <c r="P8" s="362"/>
    </row>
    <row r="9" spans="1:16" ht="15">
      <c r="A9" s="66">
        <v>7</v>
      </c>
      <c r="B9" s="49" t="s">
        <v>26</v>
      </c>
      <c r="C9" s="39">
        <v>39808</v>
      </c>
      <c r="D9" s="45" t="s">
        <v>135</v>
      </c>
      <c r="E9" s="44" t="s">
        <v>134</v>
      </c>
      <c r="F9" s="41">
        <v>75</v>
      </c>
      <c r="G9" s="41">
        <v>75</v>
      </c>
      <c r="H9" s="41">
        <v>2</v>
      </c>
      <c r="I9" s="330">
        <v>578530</v>
      </c>
      <c r="J9" s="331">
        <v>57106</v>
      </c>
      <c r="K9" s="158">
        <f>(J9/G9)</f>
        <v>761.4133333333333</v>
      </c>
      <c r="L9" s="159">
        <f>I9/J9</f>
        <v>10.130809372044968</v>
      </c>
      <c r="M9" s="150">
        <f>681566+578530</f>
        <v>1260096</v>
      </c>
      <c r="N9" s="151">
        <f>64102+57106</f>
        <v>121208</v>
      </c>
      <c r="O9" s="104">
        <f>IF(M9&lt;&gt;0,M9/N9,"")</f>
        <v>10.396145468945944</v>
      </c>
      <c r="P9" s="362">
        <v>1</v>
      </c>
    </row>
    <row r="10" spans="1:16" ht="15">
      <c r="A10" s="66">
        <v>8</v>
      </c>
      <c r="B10" s="48" t="s">
        <v>23</v>
      </c>
      <c r="C10" s="39">
        <v>39808</v>
      </c>
      <c r="D10" s="42" t="s">
        <v>137</v>
      </c>
      <c r="E10" s="42" t="s">
        <v>24</v>
      </c>
      <c r="F10" s="54">
        <v>198</v>
      </c>
      <c r="G10" s="54">
        <v>198</v>
      </c>
      <c r="H10" s="54">
        <v>2</v>
      </c>
      <c r="I10" s="332">
        <v>532572.5</v>
      </c>
      <c r="J10" s="333">
        <v>67146</v>
      </c>
      <c r="K10" s="152">
        <f>IF(I10&lt;&gt;0,J10/G10,"")</f>
        <v>339.1212121212121</v>
      </c>
      <c r="L10" s="153">
        <f>IF(I10&lt;&gt;0,I10/J10,"")</f>
        <v>7.9315595865725435</v>
      </c>
      <c r="M10" s="157">
        <f>909072+532572.5</f>
        <v>1441644.5</v>
      </c>
      <c r="N10" s="155">
        <f>112486+67146</f>
        <v>179632</v>
      </c>
      <c r="O10" s="104">
        <f>IF(M10&lt;&gt;0,M10/N10,"")</f>
        <v>8.025543889730114</v>
      </c>
      <c r="P10" s="364"/>
    </row>
    <row r="11" spans="1:16" ht="15">
      <c r="A11" s="66">
        <v>9</v>
      </c>
      <c r="B11" s="49" t="s">
        <v>140</v>
      </c>
      <c r="C11" s="40">
        <v>39787</v>
      </c>
      <c r="D11" s="44" t="s">
        <v>133</v>
      </c>
      <c r="E11" s="44" t="s">
        <v>141</v>
      </c>
      <c r="F11" s="41">
        <v>241</v>
      </c>
      <c r="G11" s="41">
        <v>215</v>
      </c>
      <c r="H11" s="41">
        <v>5</v>
      </c>
      <c r="I11" s="334">
        <v>528440.5</v>
      </c>
      <c r="J11" s="335">
        <v>73035</v>
      </c>
      <c r="K11" s="152">
        <f>+J11/G11</f>
        <v>339.69767441860466</v>
      </c>
      <c r="L11" s="153">
        <f>+I11/J11</f>
        <v>7.2354419114123365</v>
      </c>
      <c r="M11" s="154">
        <f>9280968+4694050.5+1992628+1117778+528440.5</f>
        <v>17613865</v>
      </c>
      <c r="N11" s="155">
        <f>1147876+614752+261380+141495+73035</f>
        <v>2238538</v>
      </c>
      <c r="O11" s="104">
        <f aca="true" t="shared" si="0" ref="O11:O17">+M11/N11</f>
        <v>7.868468169850143</v>
      </c>
      <c r="P11" s="364">
        <v>1</v>
      </c>
    </row>
    <row r="12" spans="1:16" ht="15">
      <c r="A12" s="66">
        <v>10</v>
      </c>
      <c r="B12" s="244" t="s">
        <v>22</v>
      </c>
      <c r="C12" s="241">
        <v>39787</v>
      </c>
      <c r="D12" s="65" t="s">
        <v>132</v>
      </c>
      <c r="E12" s="243" t="s">
        <v>139</v>
      </c>
      <c r="F12" s="41">
        <v>406</v>
      </c>
      <c r="G12" s="41">
        <v>67</v>
      </c>
      <c r="H12" s="41">
        <v>7</v>
      </c>
      <c r="I12" s="334">
        <v>525517</v>
      </c>
      <c r="J12" s="335">
        <v>57856</v>
      </c>
      <c r="K12" s="155">
        <f aca="true" t="shared" si="1" ref="K12:K17">J12/G12</f>
        <v>863.5223880597015</v>
      </c>
      <c r="L12" s="156">
        <f>+I12/J12</f>
        <v>9.083189297566372</v>
      </c>
      <c r="M12" s="154">
        <v>30377332</v>
      </c>
      <c r="N12" s="155">
        <v>3697746</v>
      </c>
      <c r="O12" s="103">
        <f t="shared" si="0"/>
        <v>8.215094276351053</v>
      </c>
      <c r="P12" s="364"/>
    </row>
    <row r="13" spans="1:16" ht="15">
      <c r="A13" s="66">
        <v>11</v>
      </c>
      <c r="B13" s="235" t="s">
        <v>22</v>
      </c>
      <c r="C13" s="229">
        <v>39787</v>
      </c>
      <c r="D13" s="227" t="s">
        <v>132</v>
      </c>
      <c r="E13" s="227" t="s">
        <v>139</v>
      </c>
      <c r="F13" s="228">
        <v>406</v>
      </c>
      <c r="G13" s="228">
        <v>268</v>
      </c>
      <c r="H13" s="228">
        <v>6</v>
      </c>
      <c r="I13" s="336">
        <v>474244</v>
      </c>
      <c r="J13" s="337">
        <v>83517</v>
      </c>
      <c r="K13" s="222">
        <f t="shared" si="1"/>
        <v>311.6305970149254</v>
      </c>
      <c r="L13" s="230">
        <f>+I13/J13</f>
        <v>5.678412778236766</v>
      </c>
      <c r="M13" s="231">
        <v>29851815</v>
      </c>
      <c r="N13" s="222">
        <v>3639890</v>
      </c>
      <c r="O13" s="236">
        <f t="shared" si="0"/>
        <v>8.201295918283245</v>
      </c>
      <c r="P13" s="364"/>
    </row>
    <row r="14" spans="1:16" ht="15">
      <c r="A14" s="66">
        <v>12</v>
      </c>
      <c r="B14" s="49" t="s">
        <v>25</v>
      </c>
      <c r="C14" s="40">
        <v>39808</v>
      </c>
      <c r="D14" s="65" t="s">
        <v>132</v>
      </c>
      <c r="E14" s="44" t="s">
        <v>112</v>
      </c>
      <c r="F14" s="41">
        <v>112</v>
      </c>
      <c r="G14" s="41">
        <v>111</v>
      </c>
      <c r="H14" s="41">
        <v>2</v>
      </c>
      <c r="I14" s="334">
        <v>463795</v>
      </c>
      <c r="J14" s="335">
        <v>46542</v>
      </c>
      <c r="K14" s="155">
        <f t="shared" si="1"/>
        <v>419.2972972972973</v>
      </c>
      <c r="L14" s="156">
        <f>+I14/J14</f>
        <v>9.965085299299558</v>
      </c>
      <c r="M14" s="154">
        <v>1284128</v>
      </c>
      <c r="N14" s="155">
        <v>127360</v>
      </c>
      <c r="O14" s="103">
        <f t="shared" si="0"/>
        <v>10.082663316582915</v>
      </c>
      <c r="P14" s="364">
        <v>1</v>
      </c>
    </row>
    <row r="15" spans="1:16" ht="15">
      <c r="A15" s="66">
        <v>13</v>
      </c>
      <c r="B15" s="48" t="s">
        <v>145</v>
      </c>
      <c r="C15" s="39">
        <v>39801</v>
      </c>
      <c r="D15" s="43" t="s">
        <v>131</v>
      </c>
      <c r="E15" s="42" t="s">
        <v>123</v>
      </c>
      <c r="F15" s="54">
        <v>69</v>
      </c>
      <c r="G15" s="54">
        <v>69</v>
      </c>
      <c r="H15" s="54">
        <v>3</v>
      </c>
      <c r="I15" s="330">
        <v>413907</v>
      </c>
      <c r="J15" s="331">
        <v>42374</v>
      </c>
      <c r="K15" s="158">
        <f t="shared" si="1"/>
        <v>614.1159420289855</v>
      </c>
      <c r="L15" s="159">
        <f>I15/J15</f>
        <v>9.767947326190589</v>
      </c>
      <c r="M15" s="150">
        <f>820286+588484+413907</f>
        <v>1822677</v>
      </c>
      <c r="N15" s="151">
        <f>83839+57678+42374</f>
        <v>183891</v>
      </c>
      <c r="O15" s="105">
        <f t="shared" si="0"/>
        <v>9.911724880499861</v>
      </c>
      <c r="P15" s="364"/>
    </row>
    <row r="16" spans="1:16" ht="15">
      <c r="A16" s="66">
        <v>14</v>
      </c>
      <c r="B16" s="293" t="s">
        <v>64</v>
      </c>
      <c r="C16" s="286">
        <v>39759</v>
      </c>
      <c r="D16" s="285" t="s">
        <v>65</v>
      </c>
      <c r="E16" s="285" t="s">
        <v>66</v>
      </c>
      <c r="F16" s="287">
        <v>141</v>
      </c>
      <c r="G16" s="287">
        <v>141</v>
      </c>
      <c r="H16" s="287">
        <v>13</v>
      </c>
      <c r="I16" s="288">
        <v>382194.5</v>
      </c>
      <c r="J16" s="289">
        <v>56841</v>
      </c>
      <c r="K16" s="290">
        <f t="shared" si="1"/>
        <v>403.1276595744681</v>
      </c>
      <c r="L16" s="291">
        <f>I16/J16</f>
        <v>6.7239228725743745</v>
      </c>
      <c r="M16" s="292">
        <v>23022546.5</v>
      </c>
      <c r="N16" s="290">
        <v>2724510</v>
      </c>
      <c r="O16" s="302">
        <f t="shared" si="0"/>
        <v>8.450160395814294</v>
      </c>
      <c r="P16" s="364"/>
    </row>
    <row r="17" spans="1:16" ht="15">
      <c r="A17" s="66">
        <v>15</v>
      </c>
      <c r="B17" s="235" t="s">
        <v>25</v>
      </c>
      <c r="C17" s="229">
        <v>39808</v>
      </c>
      <c r="D17" s="227" t="s">
        <v>132</v>
      </c>
      <c r="E17" s="227" t="s">
        <v>112</v>
      </c>
      <c r="F17" s="228">
        <v>112</v>
      </c>
      <c r="G17" s="228">
        <v>111</v>
      </c>
      <c r="H17" s="228">
        <v>3</v>
      </c>
      <c r="I17" s="336">
        <v>346957</v>
      </c>
      <c r="J17" s="337">
        <v>36487</v>
      </c>
      <c r="K17" s="222">
        <f t="shared" si="1"/>
        <v>328.7117117117117</v>
      </c>
      <c r="L17" s="230">
        <f>+I17/J17</f>
        <v>9.509058020664895</v>
      </c>
      <c r="M17" s="231">
        <v>1631085</v>
      </c>
      <c r="N17" s="222">
        <v>163847</v>
      </c>
      <c r="O17" s="236">
        <f t="shared" si="0"/>
        <v>9.95492746281592</v>
      </c>
      <c r="P17" s="364">
        <v>1</v>
      </c>
    </row>
    <row r="18" spans="1:16" ht="15">
      <c r="A18" s="66">
        <v>16</v>
      </c>
      <c r="B18" s="234" t="s">
        <v>26</v>
      </c>
      <c r="C18" s="229">
        <v>39808</v>
      </c>
      <c r="D18" s="217" t="s">
        <v>135</v>
      </c>
      <c r="E18" s="227" t="s">
        <v>134</v>
      </c>
      <c r="F18" s="228">
        <v>75</v>
      </c>
      <c r="G18" s="228">
        <v>76</v>
      </c>
      <c r="H18" s="228">
        <v>3</v>
      </c>
      <c r="I18" s="324">
        <v>317284.5</v>
      </c>
      <c r="J18" s="325">
        <v>32401</v>
      </c>
      <c r="K18" s="223">
        <f>(J18/G18)</f>
        <v>426.32894736842104</v>
      </c>
      <c r="L18" s="224">
        <f>I18/J18</f>
        <v>9.792429246010926</v>
      </c>
      <c r="M18" s="225">
        <f>681566+578530+317284.5</f>
        <v>1577380.5</v>
      </c>
      <c r="N18" s="226">
        <f>64102+57106+32401</f>
        <v>153609</v>
      </c>
      <c r="O18" s="233">
        <f>M18/N18</f>
        <v>10.268802609222115</v>
      </c>
      <c r="P18" s="364">
        <v>1</v>
      </c>
    </row>
    <row r="19" spans="1:16" ht="15">
      <c r="A19" s="66">
        <v>17</v>
      </c>
      <c r="B19" s="49" t="s">
        <v>27</v>
      </c>
      <c r="C19" s="40">
        <v>39808</v>
      </c>
      <c r="D19" s="65" t="s">
        <v>132</v>
      </c>
      <c r="E19" s="44" t="s">
        <v>125</v>
      </c>
      <c r="F19" s="41">
        <v>34</v>
      </c>
      <c r="G19" s="41">
        <v>34</v>
      </c>
      <c r="H19" s="41">
        <v>2</v>
      </c>
      <c r="I19" s="334">
        <v>252304</v>
      </c>
      <c r="J19" s="335">
        <v>27182</v>
      </c>
      <c r="K19" s="155">
        <f>J19/G19</f>
        <v>799.4705882352941</v>
      </c>
      <c r="L19" s="156">
        <f>+I19/J19</f>
        <v>9.282024869398867</v>
      </c>
      <c r="M19" s="154">
        <v>650913</v>
      </c>
      <c r="N19" s="155">
        <v>68745</v>
      </c>
      <c r="O19" s="103">
        <f>+M19/N19</f>
        <v>9.468514073750818</v>
      </c>
      <c r="P19" s="364">
        <v>1</v>
      </c>
    </row>
    <row r="20" spans="1:16" ht="15">
      <c r="A20" s="66">
        <v>18</v>
      </c>
      <c r="B20" s="234" t="s">
        <v>140</v>
      </c>
      <c r="C20" s="229">
        <v>39787</v>
      </c>
      <c r="D20" s="227" t="s">
        <v>133</v>
      </c>
      <c r="E20" s="227" t="s">
        <v>141</v>
      </c>
      <c r="F20" s="228">
        <v>241</v>
      </c>
      <c r="G20" s="228">
        <v>186</v>
      </c>
      <c r="H20" s="228">
        <v>6</v>
      </c>
      <c r="I20" s="336">
        <v>225948.5</v>
      </c>
      <c r="J20" s="337">
        <v>33259</v>
      </c>
      <c r="K20" s="223">
        <f>J20/G20</f>
        <v>178.81182795698925</v>
      </c>
      <c r="L20" s="224">
        <f>I20/J20</f>
        <v>6.793604738567004</v>
      </c>
      <c r="M20" s="231">
        <f>9280968+4694050.5+1992628+1117778+528440.5+225948.5</f>
        <v>17839813.5</v>
      </c>
      <c r="N20" s="222">
        <f>1147876+614752+261380+141495+73035+33259</f>
        <v>2271797</v>
      </c>
      <c r="O20" s="233">
        <f>+M20/N20</f>
        <v>7.852732220352435</v>
      </c>
      <c r="P20" s="364"/>
    </row>
    <row r="21" spans="1:16" ht="15">
      <c r="A21" s="66">
        <v>19</v>
      </c>
      <c r="B21" s="232" t="s">
        <v>23</v>
      </c>
      <c r="C21" s="216">
        <v>39808</v>
      </c>
      <c r="D21" s="217" t="s">
        <v>137</v>
      </c>
      <c r="E21" s="217" t="s">
        <v>24</v>
      </c>
      <c r="F21" s="218">
        <v>198</v>
      </c>
      <c r="G21" s="218">
        <v>183</v>
      </c>
      <c r="H21" s="218">
        <v>3</v>
      </c>
      <c r="I21" s="338">
        <v>214521.5</v>
      </c>
      <c r="J21" s="339">
        <v>29772</v>
      </c>
      <c r="K21" s="219">
        <f>IF(I21&lt;&gt;0,J21/G21,"")</f>
        <v>162.68852459016392</v>
      </c>
      <c r="L21" s="220">
        <f>IF(I21&lt;&gt;0,I21/J21,"")</f>
        <v>7.205478301760043</v>
      </c>
      <c r="M21" s="221">
        <f>909072+532572.5+214521.5</f>
        <v>1656166</v>
      </c>
      <c r="N21" s="222">
        <f>112486+67146+29772</f>
        <v>209404</v>
      </c>
      <c r="O21" s="237">
        <f>IF(M21&lt;&gt;0,M21/N21,"")</f>
        <v>7.908951118412256</v>
      </c>
      <c r="P21" s="353"/>
    </row>
    <row r="22" spans="1:16" ht="15">
      <c r="A22" s="66">
        <v>20</v>
      </c>
      <c r="B22" s="293" t="s">
        <v>64</v>
      </c>
      <c r="C22" s="286">
        <v>39759</v>
      </c>
      <c r="D22" s="285" t="s">
        <v>65</v>
      </c>
      <c r="E22" s="285" t="s">
        <v>66</v>
      </c>
      <c r="F22" s="287">
        <v>116</v>
      </c>
      <c r="G22" s="287">
        <v>116</v>
      </c>
      <c r="H22" s="287">
        <v>14</v>
      </c>
      <c r="I22" s="288">
        <v>192706.5</v>
      </c>
      <c r="J22" s="289">
        <v>29016</v>
      </c>
      <c r="K22" s="290">
        <f>J22/G22</f>
        <v>250.13793103448276</v>
      </c>
      <c r="L22" s="291">
        <f>I22/J22</f>
        <v>6.641387510339123</v>
      </c>
      <c r="M22" s="292">
        <v>23215517.5</v>
      </c>
      <c r="N22" s="290">
        <v>2753398</v>
      </c>
      <c r="O22" s="302">
        <f>+M22/N22</f>
        <v>8.43158798691653</v>
      </c>
      <c r="P22" s="353"/>
    </row>
    <row r="23" spans="1:16" ht="15">
      <c r="A23" s="66">
        <v>21</v>
      </c>
      <c r="B23" s="49" t="s">
        <v>148</v>
      </c>
      <c r="C23" s="40">
        <v>39801</v>
      </c>
      <c r="D23" s="45" t="s">
        <v>135</v>
      </c>
      <c r="E23" s="44" t="s">
        <v>149</v>
      </c>
      <c r="F23" s="41">
        <v>36</v>
      </c>
      <c r="G23" s="41">
        <v>38</v>
      </c>
      <c r="H23" s="41">
        <v>3</v>
      </c>
      <c r="I23" s="330">
        <v>145464.5</v>
      </c>
      <c r="J23" s="331">
        <v>19417</v>
      </c>
      <c r="K23" s="158">
        <f>(J23/G23)</f>
        <v>510.9736842105263</v>
      </c>
      <c r="L23" s="159">
        <f>I23/J23</f>
        <v>7.491605294329711</v>
      </c>
      <c r="M23" s="150">
        <f>295344+204961.5+145464.5</f>
        <v>645770</v>
      </c>
      <c r="N23" s="151">
        <f>36142+24747+19417</f>
        <v>80306</v>
      </c>
      <c r="O23" s="105">
        <f>M23/N23</f>
        <v>8.04136677209673</v>
      </c>
      <c r="P23" s="353"/>
    </row>
    <row r="24" spans="1:16" ht="15">
      <c r="A24" s="66">
        <v>22</v>
      </c>
      <c r="B24" s="245" t="s">
        <v>25</v>
      </c>
      <c r="C24" s="241">
        <v>39808</v>
      </c>
      <c r="D24" s="65" t="s">
        <v>132</v>
      </c>
      <c r="E24" s="242" t="s">
        <v>112</v>
      </c>
      <c r="F24" s="41">
        <v>112</v>
      </c>
      <c r="G24" s="41">
        <v>89</v>
      </c>
      <c r="H24" s="41">
        <v>4</v>
      </c>
      <c r="I24" s="334">
        <v>141298</v>
      </c>
      <c r="J24" s="335">
        <v>16688</v>
      </c>
      <c r="K24" s="155">
        <f>J24/G24</f>
        <v>187.5056179775281</v>
      </c>
      <c r="L24" s="156">
        <f>+I24/J24</f>
        <v>8.467042186001917</v>
      </c>
      <c r="M24" s="154">
        <v>1769493</v>
      </c>
      <c r="N24" s="155">
        <v>180421</v>
      </c>
      <c r="O24" s="103">
        <f>+M24/N24</f>
        <v>9.807577831848842</v>
      </c>
      <c r="P24" s="353">
        <v>1</v>
      </c>
    </row>
    <row r="25" spans="1:16" ht="15">
      <c r="A25" s="66">
        <v>23</v>
      </c>
      <c r="B25" s="49" t="s">
        <v>26</v>
      </c>
      <c r="C25" s="40">
        <v>39808</v>
      </c>
      <c r="D25" s="45" t="s">
        <v>135</v>
      </c>
      <c r="E25" s="44" t="s">
        <v>134</v>
      </c>
      <c r="F25" s="41">
        <v>75</v>
      </c>
      <c r="G25" s="41">
        <v>70</v>
      </c>
      <c r="H25" s="41">
        <v>4</v>
      </c>
      <c r="I25" s="330">
        <v>141025.5</v>
      </c>
      <c r="J25" s="331">
        <v>16644</v>
      </c>
      <c r="K25" s="158">
        <f>(J25/G25)</f>
        <v>237.77142857142857</v>
      </c>
      <c r="L25" s="159">
        <f>I25/J25</f>
        <v>8.47305335255948</v>
      </c>
      <c r="M25" s="150">
        <f>681566+578530+317284.5+141025.5</f>
        <v>1718406</v>
      </c>
      <c r="N25" s="151">
        <f>64102+57106+32401+16644</f>
        <v>170253</v>
      </c>
      <c r="O25" s="105">
        <f>M25/N25</f>
        <v>10.093249458159328</v>
      </c>
      <c r="P25" s="353"/>
    </row>
    <row r="26" spans="1:16" ht="15">
      <c r="A26" s="66">
        <v>24</v>
      </c>
      <c r="B26" s="281" t="s">
        <v>25</v>
      </c>
      <c r="C26" s="40">
        <v>39808</v>
      </c>
      <c r="D26" s="261" t="s">
        <v>132</v>
      </c>
      <c r="E26" s="261" t="s">
        <v>112</v>
      </c>
      <c r="F26" s="262">
        <v>112</v>
      </c>
      <c r="G26" s="262">
        <v>49</v>
      </c>
      <c r="H26" s="262">
        <v>5</v>
      </c>
      <c r="I26" s="263">
        <v>120787</v>
      </c>
      <c r="J26" s="264">
        <v>12258</v>
      </c>
      <c r="K26" s="271">
        <f>+J26/G26</f>
        <v>250.16326530612244</v>
      </c>
      <c r="L26" s="153">
        <f>+I26/J26</f>
        <v>9.853728177516723</v>
      </c>
      <c r="M26" s="267">
        <v>1894077</v>
      </c>
      <c r="N26" s="268">
        <v>192963</v>
      </c>
      <c r="O26" s="103">
        <f>+M26/N26</f>
        <v>9.815752242657918</v>
      </c>
      <c r="P26" s="353"/>
    </row>
    <row r="27" spans="1:16" ht="15">
      <c r="A27" s="66">
        <v>25</v>
      </c>
      <c r="B27" s="234" t="s">
        <v>148</v>
      </c>
      <c r="C27" s="229">
        <v>39801</v>
      </c>
      <c r="D27" s="217" t="s">
        <v>135</v>
      </c>
      <c r="E27" s="227" t="s">
        <v>149</v>
      </c>
      <c r="F27" s="228">
        <v>36</v>
      </c>
      <c r="G27" s="228">
        <v>42</v>
      </c>
      <c r="H27" s="228">
        <v>4</v>
      </c>
      <c r="I27" s="324">
        <v>116108.5</v>
      </c>
      <c r="J27" s="325">
        <v>15404</v>
      </c>
      <c r="K27" s="223">
        <f>(J27/G27)</f>
        <v>366.76190476190476</v>
      </c>
      <c r="L27" s="224">
        <f>I27/J27</f>
        <v>7.537555180472604</v>
      </c>
      <c r="M27" s="225">
        <f>295344+204961.5+145464.5+116108.5</f>
        <v>761878.5</v>
      </c>
      <c r="N27" s="226">
        <f>36142+24747+19417+15404</f>
        <v>95710</v>
      </c>
      <c r="O27" s="233">
        <f>M27/N27</f>
        <v>7.960281057360778</v>
      </c>
      <c r="P27" s="353">
        <v>1</v>
      </c>
    </row>
    <row r="28" spans="1:16" ht="15">
      <c r="A28" s="66">
        <v>26</v>
      </c>
      <c r="B28" s="49" t="s">
        <v>143</v>
      </c>
      <c r="C28" s="40">
        <v>39794</v>
      </c>
      <c r="D28" s="45" t="s">
        <v>135</v>
      </c>
      <c r="E28" s="44" t="s">
        <v>134</v>
      </c>
      <c r="F28" s="41">
        <v>100</v>
      </c>
      <c r="G28" s="41">
        <v>73</v>
      </c>
      <c r="H28" s="41">
        <v>4</v>
      </c>
      <c r="I28" s="330">
        <v>112679.5</v>
      </c>
      <c r="J28" s="340">
        <v>14968</v>
      </c>
      <c r="K28" s="158">
        <f>(J28/G28)</f>
        <v>205.04109589041096</v>
      </c>
      <c r="L28" s="159">
        <f>I28/J28</f>
        <v>7.528026456440406</v>
      </c>
      <c r="M28" s="150">
        <f>1276778.5+626123+380324+112679.5</f>
        <v>2395905</v>
      </c>
      <c r="N28" s="151">
        <f>133555+68793+41581+14968</f>
        <v>258897</v>
      </c>
      <c r="O28" s="105">
        <f>M28/N28</f>
        <v>9.254278728606357</v>
      </c>
      <c r="P28" s="353"/>
    </row>
    <row r="29" spans="1:16" ht="15">
      <c r="A29" s="66">
        <v>27</v>
      </c>
      <c r="B29" s="232" t="s">
        <v>145</v>
      </c>
      <c r="C29" s="216">
        <v>39801</v>
      </c>
      <c r="D29" s="217" t="s">
        <v>131</v>
      </c>
      <c r="E29" s="217" t="s">
        <v>123</v>
      </c>
      <c r="F29" s="218">
        <v>69</v>
      </c>
      <c r="G29" s="218">
        <v>53</v>
      </c>
      <c r="H29" s="218">
        <v>4</v>
      </c>
      <c r="I29" s="324">
        <v>112495</v>
      </c>
      <c r="J29" s="325">
        <v>12212</v>
      </c>
      <c r="K29" s="223">
        <f>J29/G29</f>
        <v>230.41509433962264</v>
      </c>
      <c r="L29" s="224">
        <f>I29/J29</f>
        <v>9.211840812315755</v>
      </c>
      <c r="M29" s="225">
        <f>820286+588484+413907+112495</f>
        <v>1935172</v>
      </c>
      <c r="N29" s="226">
        <f>83839+57678+42374+12212</f>
        <v>196103</v>
      </c>
      <c r="O29" s="233">
        <f>+M29/N29</f>
        <v>9.868140721967537</v>
      </c>
      <c r="P29" s="353">
        <v>1</v>
      </c>
    </row>
    <row r="30" spans="1:16" ht="15">
      <c r="A30" s="66">
        <v>28</v>
      </c>
      <c r="B30" s="49" t="s">
        <v>148</v>
      </c>
      <c r="C30" s="40">
        <v>39801</v>
      </c>
      <c r="D30" s="45" t="s">
        <v>135</v>
      </c>
      <c r="E30" s="44" t="s">
        <v>149</v>
      </c>
      <c r="F30" s="41">
        <v>42</v>
      </c>
      <c r="G30" s="41">
        <v>42</v>
      </c>
      <c r="H30" s="41">
        <v>5</v>
      </c>
      <c r="I30" s="330">
        <v>111972.5</v>
      </c>
      <c r="J30" s="331">
        <v>14719</v>
      </c>
      <c r="K30" s="158">
        <f>(J30/G30)</f>
        <v>350.45238095238096</v>
      </c>
      <c r="L30" s="159">
        <f>I30/J30</f>
        <v>7.607344248929954</v>
      </c>
      <c r="M30" s="150">
        <f>295344+204961.5+145464.5+116108.5+111972.5</f>
        <v>873851</v>
      </c>
      <c r="N30" s="151">
        <f>36142+24747+19417+15404+14719</f>
        <v>110429</v>
      </c>
      <c r="O30" s="105">
        <f>M30/N30</f>
        <v>7.9132383703556135</v>
      </c>
      <c r="P30" s="353">
        <v>1</v>
      </c>
    </row>
    <row r="31" spans="1:16" ht="15">
      <c r="A31" s="66">
        <v>29</v>
      </c>
      <c r="B31" s="49" t="s">
        <v>28</v>
      </c>
      <c r="C31" s="40">
        <v>39808</v>
      </c>
      <c r="D31" s="44" t="s">
        <v>133</v>
      </c>
      <c r="E31" s="44" t="s">
        <v>29</v>
      </c>
      <c r="F31" s="41">
        <v>89</v>
      </c>
      <c r="G31" s="41">
        <v>88</v>
      </c>
      <c r="H31" s="41">
        <v>2</v>
      </c>
      <c r="I31" s="334">
        <v>101994</v>
      </c>
      <c r="J31" s="335">
        <v>15166</v>
      </c>
      <c r="K31" s="152">
        <f>+J31/G31</f>
        <v>172.3409090909091</v>
      </c>
      <c r="L31" s="153">
        <f>+I31/J31</f>
        <v>6.725174732955295</v>
      </c>
      <c r="M31" s="154">
        <f>173290.5+101994</f>
        <v>275284.5</v>
      </c>
      <c r="N31" s="155">
        <f>23989+15166</f>
        <v>39155</v>
      </c>
      <c r="O31" s="104">
        <f>+M31/N31</f>
        <v>7.030634657131912</v>
      </c>
      <c r="P31" s="353">
        <v>1</v>
      </c>
    </row>
    <row r="32" spans="1:16" ht="15">
      <c r="A32" s="66">
        <v>30</v>
      </c>
      <c r="B32" s="49" t="s">
        <v>140</v>
      </c>
      <c r="C32" s="40">
        <v>39787</v>
      </c>
      <c r="D32" s="44" t="s">
        <v>133</v>
      </c>
      <c r="E32" s="44" t="s">
        <v>141</v>
      </c>
      <c r="F32" s="41">
        <v>241</v>
      </c>
      <c r="G32" s="41">
        <v>37</v>
      </c>
      <c r="H32" s="41">
        <v>7</v>
      </c>
      <c r="I32" s="334">
        <v>100229.5</v>
      </c>
      <c r="J32" s="335">
        <v>17736</v>
      </c>
      <c r="K32" s="158">
        <f>(J32/G32)</f>
        <v>479.35135135135135</v>
      </c>
      <c r="L32" s="159">
        <f>I32/J32</f>
        <v>5.651189670726207</v>
      </c>
      <c r="M32" s="154">
        <f>9280968+4694050.5+1992628+1117778+528440.5+225948.5+100229.5</f>
        <v>17940043</v>
      </c>
      <c r="N32" s="155">
        <f>1147876+614752+261380+141495+73035+33259+17736</f>
        <v>2289533</v>
      </c>
      <c r="O32" s="105">
        <f>M32/N32</f>
        <v>7.835677843472883</v>
      </c>
      <c r="P32" s="353">
        <v>1</v>
      </c>
    </row>
    <row r="33" spans="1:16" ht="15">
      <c r="A33" s="66">
        <v>31</v>
      </c>
      <c r="B33" s="293" t="s">
        <v>25</v>
      </c>
      <c r="C33" s="286">
        <v>39808</v>
      </c>
      <c r="D33" s="285" t="s">
        <v>132</v>
      </c>
      <c r="E33" s="285" t="s">
        <v>112</v>
      </c>
      <c r="F33" s="287">
        <v>112</v>
      </c>
      <c r="G33" s="287">
        <v>45</v>
      </c>
      <c r="H33" s="287">
        <v>6</v>
      </c>
      <c r="I33" s="288">
        <v>94031</v>
      </c>
      <c r="J33" s="289">
        <v>10781</v>
      </c>
      <c r="K33" s="290">
        <f>J33/G33</f>
        <v>239.57777777777778</v>
      </c>
      <c r="L33" s="291">
        <f>I33/J33</f>
        <v>8.72191818940729</v>
      </c>
      <c r="M33" s="292">
        <v>1995783</v>
      </c>
      <c r="N33" s="290">
        <v>204725</v>
      </c>
      <c r="O33" s="302">
        <f>+M33/N33</f>
        <v>9.74860422518012</v>
      </c>
      <c r="P33" s="353">
        <v>1</v>
      </c>
    </row>
    <row r="34" spans="1:16" ht="15">
      <c r="A34" s="66">
        <v>32</v>
      </c>
      <c r="B34" s="235" t="s">
        <v>27</v>
      </c>
      <c r="C34" s="229">
        <v>39808</v>
      </c>
      <c r="D34" s="227" t="s">
        <v>132</v>
      </c>
      <c r="E34" s="227" t="s">
        <v>125</v>
      </c>
      <c r="F34" s="228">
        <v>34</v>
      </c>
      <c r="G34" s="228">
        <v>34</v>
      </c>
      <c r="H34" s="228">
        <v>3</v>
      </c>
      <c r="I34" s="336">
        <v>91888</v>
      </c>
      <c r="J34" s="337">
        <v>10997</v>
      </c>
      <c r="K34" s="222">
        <f>J34/G34</f>
        <v>323.44117647058823</v>
      </c>
      <c r="L34" s="230">
        <f>+I34/J34</f>
        <v>8.355733381831408</v>
      </c>
      <c r="M34" s="231">
        <v>742801</v>
      </c>
      <c r="N34" s="222">
        <v>79742</v>
      </c>
      <c r="O34" s="236">
        <f>+M34/N34</f>
        <v>9.315053547691305</v>
      </c>
      <c r="P34" s="353"/>
    </row>
    <row r="35" spans="1:16" ht="15">
      <c r="A35" s="66">
        <v>33</v>
      </c>
      <c r="B35" s="48" t="s">
        <v>23</v>
      </c>
      <c r="C35" s="39">
        <v>39808</v>
      </c>
      <c r="D35" s="42" t="s">
        <v>137</v>
      </c>
      <c r="E35" s="240" t="s">
        <v>24</v>
      </c>
      <c r="F35" s="54">
        <v>198</v>
      </c>
      <c r="G35" s="54">
        <v>117</v>
      </c>
      <c r="H35" s="54">
        <v>4</v>
      </c>
      <c r="I35" s="332">
        <v>64908</v>
      </c>
      <c r="J35" s="333">
        <v>10700</v>
      </c>
      <c r="K35" s="152">
        <f>IF(I35&lt;&gt;0,J35/G35,"")</f>
        <v>91.45299145299145</v>
      </c>
      <c r="L35" s="153">
        <f>IF(I35&lt;&gt;0,I35/J35,"")</f>
        <v>6.066168224299066</v>
      </c>
      <c r="M35" s="157">
        <f>909072+532572.5+214521.5+64908</f>
        <v>1721074</v>
      </c>
      <c r="N35" s="155">
        <f>112486+67146+29772+10700</f>
        <v>220104</v>
      </c>
      <c r="O35" s="104">
        <f>IF(M35&lt;&gt;0,M35/N35,"")</f>
        <v>7.8193672082288375</v>
      </c>
      <c r="P35" s="353"/>
    </row>
    <row r="36" spans="1:16" ht="15">
      <c r="A36" s="66">
        <v>34</v>
      </c>
      <c r="B36" s="293" t="s">
        <v>64</v>
      </c>
      <c r="C36" s="286">
        <v>39759</v>
      </c>
      <c r="D36" s="285" t="s">
        <v>65</v>
      </c>
      <c r="E36" s="285" t="s">
        <v>66</v>
      </c>
      <c r="F36" s="287">
        <v>56</v>
      </c>
      <c r="G36" s="287">
        <v>56</v>
      </c>
      <c r="H36" s="287">
        <v>15</v>
      </c>
      <c r="I36" s="288">
        <v>63097</v>
      </c>
      <c r="J36" s="289">
        <v>10541</v>
      </c>
      <c r="K36" s="290">
        <f>J36/G36</f>
        <v>188.23214285714286</v>
      </c>
      <c r="L36" s="291">
        <f>I36/J36</f>
        <v>5.985864718717389</v>
      </c>
      <c r="M36" s="292">
        <v>23277790.5</v>
      </c>
      <c r="N36" s="290">
        <v>2763898</v>
      </c>
      <c r="O36" s="302">
        <f>+M36/N36</f>
        <v>8.422087392515932</v>
      </c>
      <c r="P36" s="353"/>
    </row>
    <row r="37" spans="1:16" ht="15">
      <c r="A37" s="66">
        <v>35</v>
      </c>
      <c r="B37" s="281" t="s">
        <v>140</v>
      </c>
      <c r="C37" s="40">
        <v>39787</v>
      </c>
      <c r="D37" s="261" t="s">
        <v>133</v>
      </c>
      <c r="E37" s="261" t="s">
        <v>141</v>
      </c>
      <c r="F37" s="262">
        <v>25</v>
      </c>
      <c r="G37" s="262">
        <v>25</v>
      </c>
      <c r="H37" s="262">
        <v>8</v>
      </c>
      <c r="I37" s="263">
        <v>60712.5</v>
      </c>
      <c r="J37" s="264">
        <v>11735</v>
      </c>
      <c r="K37" s="271">
        <f>+J37/G37</f>
        <v>469.4</v>
      </c>
      <c r="L37" s="153">
        <f>+I37/J37</f>
        <v>5.173625905411163</v>
      </c>
      <c r="M37" s="267">
        <f>9280968+4694050.5+1992628+1117778+528440.5+225948.5+100229.5+60712.5</f>
        <v>18000755.5</v>
      </c>
      <c r="N37" s="268">
        <f>1147876+614752+261380+141495+73035+33259+17736+11735</f>
        <v>2301268</v>
      </c>
      <c r="O37" s="104">
        <f>+M37/N37</f>
        <v>7.822103075348026</v>
      </c>
      <c r="P37" s="353">
        <v>1</v>
      </c>
    </row>
    <row r="38" spans="1:16" ht="15">
      <c r="A38" s="66">
        <v>36</v>
      </c>
      <c r="B38" s="234" t="s">
        <v>143</v>
      </c>
      <c r="C38" s="229">
        <v>39794</v>
      </c>
      <c r="D38" s="217" t="s">
        <v>135</v>
      </c>
      <c r="E38" s="227" t="s">
        <v>134</v>
      </c>
      <c r="F38" s="228">
        <v>100</v>
      </c>
      <c r="G38" s="228">
        <v>39</v>
      </c>
      <c r="H38" s="228">
        <v>5</v>
      </c>
      <c r="I38" s="324">
        <v>54533</v>
      </c>
      <c r="J38" s="325">
        <v>8873</v>
      </c>
      <c r="K38" s="223">
        <f>(J38/G38)</f>
        <v>227.51282051282053</v>
      </c>
      <c r="L38" s="224">
        <f>I38/J38</f>
        <v>6.1459483827341375</v>
      </c>
      <c r="M38" s="225">
        <f>1276778.5+626123+380324+112679.5+54533</f>
        <v>2450438</v>
      </c>
      <c r="N38" s="226">
        <f>133555+68793+41581+14968+8873</f>
        <v>267770</v>
      </c>
      <c r="O38" s="233">
        <f>M38/N38</f>
        <v>9.151279082794936</v>
      </c>
      <c r="P38" s="353"/>
    </row>
    <row r="39" spans="1:16" ht="15">
      <c r="A39" s="66">
        <v>37</v>
      </c>
      <c r="B39" s="234" t="s">
        <v>28</v>
      </c>
      <c r="C39" s="229">
        <v>39808</v>
      </c>
      <c r="D39" s="227" t="s">
        <v>133</v>
      </c>
      <c r="E39" s="227" t="s">
        <v>29</v>
      </c>
      <c r="F39" s="228">
        <v>89</v>
      </c>
      <c r="G39" s="228">
        <v>82</v>
      </c>
      <c r="H39" s="228">
        <v>3</v>
      </c>
      <c r="I39" s="336">
        <v>52183.5</v>
      </c>
      <c r="J39" s="337">
        <v>8100</v>
      </c>
      <c r="K39" s="223">
        <f>J39/G39</f>
        <v>98.78048780487805</v>
      </c>
      <c r="L39" s="224">
        <f>I39/J39</f>
        <v>6.442407407407408</v>
      </c>
      <c r="M39" s="231">
        <f>173290.5+101994+52183.5</f>
        <v>327468</v>
      </c>
      <c r="N39" s="222">
        <f>23989+15166+8100</f>
        <v>47255</v>
      </c>
      <c r="O39" s="233">
        <f>+M39/N39</f>
        <v>6.929806369696329</v>
      </c>
      <c r="P39" s="353">
        <v>1</v>
      </c>
    </row>
    <row r="40" spans="1:16" ht="15">
      <c r="A40" s="66">
        <v>38</v>
      </c>
      <c r="B40" s="281" t="s">
        <v>148</v>
      </c>
      <c r="C40" s="40">
        <v>39801</v>
      </c>
      <c r="D40" s="127" t="s">
        <v>135</v>
      </c>
      <c r="E40" s="261" t="s">
        <v>149</v>
      </c>
      <c r="F40" s="262">
        <v>42</v>
      </c>
      <c r="G40" s="262">
        <v>35</v>
      </c>
      <c r="H40" s="262">
        <v>6</v>
      </c>
      <c r="I40" s="273">
        <v>49984</v>
      </c>
      <c r="J40" s="274">
        <v>7567</v>
      </c>
      <c r="K40" s="275">
        <f>(J40/G40)</f>
        <v>216.2</v>
      </c>
      <c r="L40" s="159">
        <f>I40/J40</f>
        <v>6.605523985727501</v>
      </c>
      <c r="M40" s="276">
        <f>295344+204961.5+145464.5+116108.5+111972.5+49984</f>
        <v>923835</v>
      </c>
      <c r="N40" s="277">
        <f>36142+24747+19417+15404+14719+7567</f>
        <v>117996</v>
      </c>
      <c r="O40" s="105">
        <f>M40/N40</f>
        <v>7.82937557205329</v>
      </c>
      <c r="P40" s="353">
        <v>1</v>
      </c>
    </row>
    <row r="41" spans="1:16" ht="15">
      <c r="A41" s="66">
        <v>39</v>
      </c>
      <c r="B41" s="48" t="s">
        <v>146</v>
      </c>
      <c r="C41" s="39">
        <v>39801</v>
      </c>
      <c r="D41" s="42" t="s">
        <v>137</v>
      </c>
      <c r="E41" s="42" t="s">
        <v>147</v>
      </c>
      <c r="F41" s="54">
        <v>84</v>
      </c>
      <c r="G41" s="54">
        <v>48</v>
      </c>
      <c r="H41" s="54">
        <v>3</v>
      </c>
      <c r="I41" s="332">
        <v>43813</v>
      </c>
      <c r="J41" s="333">
        <v>6346</v>
      </c>
      <c r="K41" s="152">
        <f>IF(I41&lt;&gt;0,J41/G41,"")</f>
        <v>132.20833333333334</v>
      </c>
      <c r="L41" s="153">
        <f>IF(I41&lt;&gt;0,I41/J41,"")</f>
        <v>6.90403403718878</v>
      </c>
      <c r="M41" s="157">
        <f>369313.5+145108.5+43813</f>
        <v>558235</v>
      </c>
      <c r="N41" s="155">
        <f>41017+16460+6346</f>
        <v>63823</v>
      </c>
      <c r="O41" s="104">
        <f>IF(M41&lt;&gt;0,M41/N41,"")</f>
        <v>8.74661172304655</v>
      </c>
      <c r="P41" s="353"/>
    </row>
    <row r="42" spans="1:16" ht="15">
      <c r="A42" s="66">
        <v>40</v>
      </c>
      <c r="B42" s="48" t="s">
        <v>145</v>
      </c>
      <c r="C42" s="39">
        <v>39801</v>
      </c>
      <c r="D42" s="43" t="s">
        <v>131</v>
      </c>
      <c r="E42" s="42" t="s">
        <v>123</v>
      </c>
      <c r="F42" s="54">
        <v>69</v>
      </c>
      <c r="G42" s="54">
        <v>26</v>
      </c>
      <c r="H42" s="54">
        <v>5</v>
      </c>
      <c r="I42" s="330">
        <f>41441-111</f>
        <v>41330</v>
      </c>
      <c r="J42" s="331">
        <f>5722-11</f>
        <v>5711</v>
      </c>
      <c r="K42" s="158">
        <f>J42/G42</f>
        <v>219.65384615384616</v>
      </c>
      <c r="L42" s="159">
        <f>I42/J42</f>
        <v>7.236911223953774</v>
      </c>
      <c r="M42" s="150">
        <f>820286+588484+413907+112495+41441-111</f>
        <v>1976502</v>
      </c>
      <c r="N42" s="151">
        <f>83839+57678+42374+12212+5722-11</f>
        <v>201814</v>
      </c>
      <c r="O42" s="105">
        <f>+M42/N42</f>
        <v>9.79368131051364</v>
      </c>
      <c r="P42" s="353"/>
    </row>
    <row r="43" spans="1:16" ht="15">
      <c r="A43" s="66">
        <v>41</v>
      </c>
      <c r="B43" s="293" t="s">
        <v>64</v>
      </c>
      <c r="C43" s="286">
        <v>39759</v>
      </c>
      <c r="D43" s="285" t="s">
        <v>65</v>
      </c>
      <c r="E43" s="285" t="s">
        <v>66</v>
      </c>
      <c r="F43" s="287">
        <v>41</v>
      </c>
      <c r="G43" s="287">
        <v>41</v>
      </c>
      <c r="H43" s="287">
        <v>16</v>
      </c>
      <c r="I43" s="288">
        <v>38577</v>
      </c>
      <c r="J43" s="289">
        <v>6435</v>
      </c>
      <c r="K43" s="290">
        <f>J43/G43</f>
        <v>156.9512195121951</v>
      </c>
      <c r="L43" s="291">
        <f>I43/J43</f>
        <v>5.994871794871795</v>
      </c>
      <c r="M43" s="292">
        <v>23314058</v>
      </c>
      <c r="N43" s="290">
        <v>2770333</v>
      </c>
      <c r="O43" s="302">
        <f>+M43/N43</f>
        <v>8.415615740057243</v>
      </c>
      <c r="P43" s="353">
        <v>1</v>
      </c>
    </row>
    <row r="44" spans="1:16" ht="15">
      <c r="A44" s="66">
        <v>42</v>
      </c>
      <c r="B44" s="49" t="s">
        <v>143</v>
      </c>
      <c r="C44" s="40">
        <v>39794</v>
      </c>
      <c r="D44" s="45" t="s">
        <v>135</v>
      </c>
      <c r="E44" s="44" t="s">
        <v>134</v>
      </c>
      <c r="F44" s="41">
        <v>100</v>
      </c>
      <c r="G44" s="41">
        <v>25</v>
      </c>
      <c r="H44" s="41">
        <v>6</v>
      </c>
      <c r="I44" s="330">
        <v>36086</v>
      </c>
      <c r="J44" s="331">
        <v>6454</v>
      </c>
      <c r="K44" s="158">
        <f>(J44/G44)</f>
        <v>258.16</v>
      </c>
      <c r="L44" s="159">
        <f>I44/J44</f>
        <v>5.591261233343663</v>
      </c>
      <c r="M44" s="150">
        <f>1276778.5+626123+380324+112679.5+54533+36086</f>
        <v>2486524</v>
      </c>
      <c r="N44" s="151">
        <f>133555+68793+41581+14968+8873+6454</f>
        <v>274224</v>
      </c>
      <c r="O44" s="105">
        <f>M44/N44</f>
        <v>9.06749226909388</v>
      </c>
      <c r="P44" s="353"/>
    </row>
    <row r="45" spans="1:16" ht="15">
      <c r="A45" s="66">
        <v>43</v>
      </c>
      <c r="B45" s="281" t="s">
        <v>26</v>
      </c>
      <c r="C45" s="40">
        <v>39808</v>
      </c>
      <c r="D45" s="127" t="s">
        <v>135</v>
      </c>
      <c r="E45" s="261" t="s">
        <v>134</v>
      </c>
      <c r="F45" s="262">
        <v>75</v>
      </c>
      <c r="G45" s="262">
        <v>29</v>
      </c>
      <c r="H45" s="262">
        <v>5</v>
      </c>
      <c r="I45" s="273">
        <v>34373.5</v>
      </c>
      <c r="J45" s="274">
        <v>4655</v>
      </c>
      <c r="K45" s="275">
        <f>(J45/G45)</f>
        <v>160.51724137931035</v>
      </c>
      <c r="L45" s="159">
        <f>I45/J45</f>
        <v>7.38421052631579</v>
      </c>
      <c r="M45" s="276">
        <f>681566+578530+317284.5+141025.5+34373.5</f>
        <v>1752779.5</v>
      </c>
      <c r="N45" s="277">
        <f>64102+57106+32401+16644+4655</f>
        <v>174908</v>
      </c>
      <c r="O45" s="105">
        <f>M45/N45</f>
        <v>10.021151119445651</v>
      </c>
      <c r="P45" s="353"/>
    </row>
    <row r="46" spans="1:16" ht="15">
      <c r="A46" s="66">
        <v>44</v>
      </c>
      <c r="B46" s="49" t="s">
        <v>72</v>
      </c>
      <c r="C46" s="40">
        <v>39773</v>
      </c>
      <c r="D46" s="65" t="s">
        <v>132</v>
      </c>
      <c r="E46" s="44" t="s">
        <v>127</v>
      </c>
      <c r="F46" s="41">
        <v>204</v>
      </c>
      <c r="G46" s="41">
        <v>30</v>
      </c>
      <c r="H46" s="41">
        <v>7</v>
      </c>
      <c r="I46" s="334">
        <v>33453</v>
      </c>
      <c r="J46" s="335">
        <v>5727</v>
      </c>
      <c r="K46" s="155">
        <f>J46/G46</f>
        <v>190.9</v>
      </c>
      <c r="L46" s="156">
        <f>+I46/J46</f>
        <v>5.841278156102671</v>
      </c>
      <c r="M46" s="154">
        <v>11399323</v>
      </c>
      <c r="N46" s="155">
        <v>1407230</v>
      </c>
      <c r="O46" s="103">
        <f>+M46/N46</f>
        <v>8.100540068077002</v>
      </c>
      <c r="P46" s="353">
        <v>1</v>
      </c>
    </row>
    <row r="47" spans="1:16" ht="15">
      <c r="A47" s="66">
        <v>45</v>
      </c>
      <c r="B47" s="293" t="s">
        <v>25</v>
      </c>
      <c r="C47" s="286">
        <v>39808</v>
      </c>
      <c r="D47" s="285" t="s">
        <v>132</v>
      </c>
      <c r="E47" s="285" t="s">
        <v>112</v>
      </c>
      <c r="F47" s="287">
        <v>112</v>
      </c>
      <c r="G47" s="287">
        <v>31</v>
      </c>
      <c r="H47" s="287">
        <v>7</v>
      </c>
      <c r="I47" s="288">
        <v>32857</v>
      </c>
      <c r="J47" s="289">
        <v>3082</v>
      </c>
      <c r="K47" s="290">
        <f>J47/G47</f>
        <v>99.41935483870968</v>
      </c>
      <c r="L47" s="291">
        <f>I47/J47</f>
        <v>10.660934458144062</v>
      </c>
      <c r="M47" s="292">
        <v>2028640</v>
      </c>
      <c r="N47" s="290">
        <v>207807</v>
      </c>
      <c r="O47" s="302">
        <f>+M47/N47</f>
        <v>9.762135058010557</v>
      </c>
      <c r="P47" s="353"/>
    </row>
    <row r="48" spans="1:16" ht="15">
      <c r="A48" s="66">
        <v>46</v>
      </c>
      <c r="B48" s="293" t="s">
        <v>148</v>
      </c>
      <c r="C48" s="286">
        <v>39801</v>
      </c>
      <c r="D48" s="285" t="s">
        <v>135</v>
      </c>
      <c r="E48" s="285" t="s">
        <v>149</v>
      </c>
      <c r="F48" s="287">
        <v>42</v>
      </c>
      <c r="G48" s="287">
        <v>28</v>
      </c>
      <c r="H48" s="287">
        <v>8</v>
      </c>
      <c r="I48" s="288">
        <v>32042</v>
      </c>
      <c r="J48" s="289">
        <v>5289</v>
      </c>
      <c r="K48" s="290">
        <f>(J48/G48)</f>
        <v>188.89285714285714</v>
      </c>
      <c r="L48" s="291">
        <f>I48/J48</f>
        <v>6.0582340707128</v>
      </c>
      <c r="M48" s="292">
        <f>295344+204961.5+145464.5+116108.5+111972.5+49984+26327+32042</f>
        <v>982204</v>
      </c>
      <c r="N48" s="290">
        <f>36142+24747+19417+15404+14719+7567+3314+5289</f>
        <v>126599</v>
      </c>
      <c r="O48" s="302">
        <f>M48/N48</f>
        <v>7.758386717114669</v>
      </c>
      <c r="P48" s="364">
        <v>1</v>
      </c>
    </row>
    <row r="49" spans="1:16" ht="15">
      <c r="A49" s="66">
        <v>47</v>
      </c>
      <c r="B49" s="232" t="s">
        <v>146</v>
      </c>
      <c r="C49" s="216">
        <v>39801</v>
      </c>
      <c r="D49" s="217" t="s">
        <v>137</v>
      </c>
      <c r="E49" s="217" t="s">
        <v>147</v>
      </c>
      <c r="F49" s="218">
        <v>84</v>
      </c>
      <c r="G49" s="218">
        <v>38</v>
      </c>
      <c r="H49" s="218">
        <v>4</v>
      </c>
      <c r="I49" s="338">
        <v>31258</v>
      </c>
      <c r="J49" s="339">
        <v>5364</v>
      </c>
      <c r="K49" s="219">
        <f>IF(I49&lt;&gt;0,J49/G49,"")</f>
        <v>141.1578947368421</v>
      </c>
      <c r="L49" s="220">
        <f>IF(I49&lt;&gt;0,I49/J49,"")</f>
        <v>5.827367636092468</v>
      </c>
      <c r="M49" s="221">
        <f>369313.5+145108.5+43813+31258</f>
        <v>589493</v>
      </c>
      <c r="N49" s="222">
        <f>41017+16460+6346+5364</f>
        <v>69187</v>
      </c>
      <c r="O49" s="237">
        <f>IF(M49&lt;&gt;0,M49/N49,"")</f>
        <v>8.52028560278665</v>
      </c>
      <c r="P49" s="364">
        <v>1</v>
      </c>
    </row>
    <row r="50" spans="1:16" ht="15">
      <c r="A50" s="66">
        <v>48</v>
      </c>
      <c r="B50" s="293" t="s">
        <v>148</v>
      </c>
      <c r="C50" s="286">
        <v>39801</v>
      </c>
      <c r="D50" s="285" t="s">
        <v>135</v>
      </c>
      <c r="E50" s="285" t="s">
        <v>149</v>
      </c>
      <c r="F50" s="287">
        <v>42</v>
      </c>
      <c r="G50" s="287">
        <v>20</v>
      </c>
      <c r="H50" s="287">
        <v>7</v>
      </c>
      <c r="I50" s="288">
        <v>26327</v>
      </c>
      <c r="J50" s="289">
        <v>3314</v>
      </c>
      <c r="K50" s="290">
        <f>(J50/G50)</f>
        <v>165.7</v>
      </c>
      <c r="L50" s="291">
        <f>I50/J50</f>
        <v>7.944176222088111</v>
      </c>
      <c r="M50" s="292">
        <f>295344+204961.5+145464.5+116108.5+111972.5+49984+26327</f>
        <v>950162</v>
      </c>
      <c r="N50" s="290">
        <f>36142+24747+19417+15404+14719+7567+3314</f>
        <v>121310</v>
      </c>
      <c r="O50" s="302">
        <f>+M50/N50</f>
        <v>7.832511746764488</v>
      </c>
      <c r="P50" s="364"/>
    </row>
    <row r="51" spans="1:16" ht="15">
      <c r="A51" s="66">
        <v>49</v>
      </c>
      <c r="B51" s="49" t="s">
        <v>44</v>
      </c>
      <c r="C51" s="40">
        <v>39780</v>
      </c>
      <c r="D51" s="65" t="s">
        <v>132</v>
      </c>
      <c r="E51" s="44" t="s">
        <v>128</v>
      </c>
      <c r="F51" s="41">
        <v>121</v>
      </c>
      <c r="G51" s="41">
        <v>34</v>
      </c>
      <c r="H51" s="41">
        <v>6</v>
      </c>
      <c r="I51" s="334">
        <v>24200</v>
      </c>
      <c r="J51" s="335">
        <v>4086</v>
      </c>
      <c r="K51" s="155">
        <f>J51/G51</f>
        <v>120.17647058823529</v>
      </c>
      <c r="L51" s="156">
        <f>+I51/J51</f>
        <v>5.922662750856584</v>
      </c>
      <c r="M51" s="154">
        <v>3379638</v>
      </c>
      <c r="N51" s="155">
        <v>389905</v>
      </c>
      <c r="O51" s="103">
        <f>+M51/N51</f>
        <v>8.667849860863544</v>
      </c>
      <c r="P51" s="364">
        <v>1</v>
      </c>
    </row>
    <row r="52" spans="1:16" ht="15">
      <c r="A52" s="66">
        <v>50</v>
      </c>
      <c r="B52" s="281" t="s">
        <v>140</v>
      </c>
      <c r="C52" s="286">
        <v>39787</v>
      </c>
      <c r="D52" s="285" t="s">
        <v>133</v>
      </c>
      <c r="E52" s="285" t="s">
        <v>141</v>
      </c>
      <c r="F52" s="287">
        <v>15</v>
      </c>
      <c r="G52" s="287">
        <v>15</v>
      </c>
      <c r="H52" s="287">
        <v>9</v>
      </c>
      <c r="I52" s="288">
        <v>23747.5</v>
      </c>
      <c r="J52" s="289">
        <v>4194</v>
      </c>
      <c r="K52" s="290">
        <f>J52/G52</f>
        <v>279.6</v>
      </c>
      <c r="L52" s="291">
        <f>I52/J52</f>
        <v>5.662255603242728</v>
      </c>
      <c r="M52" s="292">
        <f>9280968+4694050.5+1992628+1117778+528440.5+225948.5+100229.5+60712.5+23747.5</f>
        <v>18024503</v>
      </c>
      <c r="N52" s="290">
        <f>1147876+614752+261380+141495+73035+33259+17736+11735+4194</f>
        <v>2305462</v>
      </c>
      <c r="O52" s="302">
        <f>+M52/N52</f>
        <v>7.818173971204036</v>
      </c>
      <c r="P52" s="364">
        <v>1</v>
      </c>
    </row>
    <row r="53" spans="1:16" ht="15">
      <c r="A53" s="66">
        <v>51</v>
      </c>
      <c r="B53" s="245" t="s">
        <v>14</v>
      </c>
      <c r="C53" s="241">
        <v>39808</v>
      </c>
      <c r="D53" s="65" t="s">
        <v>132</v>
      </c>
      <c r="E53" s="242" t="s">
        <v>125</v>
      </c>
      <c r="F53" s="41">
        <v>34</v>
      </c>
      <c r="G53" s="41">
        <v>20</v>
      </c>
      <c r="H53" s="41">
        <v>4</v>
      </c>
      <c r="I53" s="334">
        <v>22932</v>
      </c>
      <c r="J53" s="335">
        <v>3741</v>
      </c>
      <c r="K53" s="155">
        <f>J53/G53</f>
        <v>187.05</v>
      </c>
      <c r="L53" s="156">
        <f>+I53/J53</f>
        <v>6.129911788291901</v>
      </c>
      <c r="M53" s="154">
        <v>765733</v>
      </c>
      <c r="N53" s="155">
        <v>83483</v>
      </c>
      <c r="O53" s="103">
        <f>+M53/N53</f>
        <v>9.172322508774242</v>
      </c>
      <c r="P53" s="364"/>
    </row>
    <row r="54" spans="1:16" ht="15">
      <c r="A54" s="66">
        <v>52</v>
      </c>
      <c r="B54" s="293" t="s">
        <v>148</v>
      </c>
      <c r="C54" s="286">
        <v>39801</v>
      </c>
      <c r="D54" s="285" t="s">
        <v>135</v>
      </c>
      <c r="E54" s="285" t="s">
        <v>149</v>
      </c>
      <c r="F54" s="287">
        <v>42</v>
      </c>
      <c r="G54" s="287">
        <v>12</v>
      </c>
      <c r="H54" s="287">
        <v>10</v>
      </c>
      <c r="I54" s="288">
        <v>20005</v>
      </c>
      <c r="J54" s="289">
        <v>3275</v>
      </c>
      <c r="K54" s="290">
        <f>(J54/G54)</f>
        <v>272.9166666666667</v>
      </c>
      <c r="L54" s="291">
        <f>I54/J54</f>
        <v>6.108396946564885</v>
      </c>
      <c r="M54" s="292">
        <f>295344+204961.5+145464.5+116108.5+111972.5+49984+26327+32042+18579+20005</f>
        <v>1020788</v>
      </c>
      <c r="N54" s="290">
        <f>36142+24747+19417+15404+14719+7567+3314+5289+3173+3275</f>
        <v>133047</v>
      </c>
      <c r="O54" s="302">
        <f>M54/N54</f>
        <v>7.672386449901163</v>
      </c>
      <c r="P54" s="364">
        <v>1</v>
      </c>
    </row>
    <row r="55" spans="1:16" ht="15">
      <c r="A55" s="66">
        <v>53</v>
      </c>
      <c r="B55" s="49" t="s">
        <v>70</v>
      </c>
      <c r="C55" s="40">
        <v>39766</v>
      </c>
      <c r="D55" s="44" t="s">
        <v>133</v>
      </c>
      <c r="E55" s="44" t="s">
        <v>71</v>
      </c>
      <c r="F55" s="41">
        <v>24</v>
      </c>
      <c r="G55" s="41">
        <v>5</v>
      </c>
      <c r="H55" s="41">
        <v>8</v>
      </c>
      <c r="I55" s="334">
        <v>19699.5</v>
      </c>
      <c r="J55" s="335">
        <v>2958</v>
      </c>
      <c r="K55" s="152">
        <f>+J55/G55</f>
        <v>591.6</v>
      </c>
      <c r="L55" s="153">
        <f>+I55/J55</f>
        <v>6.65973630831643</v>
      </c>
      <c r="M55" s="154">
        <f>191668+16358.5+8305+0.5+19699.5</f>
        <v>236031.5</v>
      </c>
      <c r="N55" s="155">
        <f>10324+8249+7871+7121+4755+3362+1751+2958</f>
        <v>46391</v>
      </c>
      <c r="O55" s="104">
        <f>+M55/N55</f>
        <v>5.087872647711841</v>
      </c>
      <c r="P55" s="364"/>
    </row>
    <row r="56" spans="1:16" ht="15">
      <c r="A56" s="66">
        <v>54</v>
      </c>
      <c r="B56" s="235" t="s">
        <v>44</v>
      </c>
      <c r="C56" s="229">
        <v>39780</v>
      </c>
      <c r="D56" s="227" t="s">
        <v>132</v>
      </c>
      <c r="E56" s="227" t="s">
        <v>128</v>
      </c>
      <c r="F56" s="228">
        <v>121</v>
      </c>
      <c r="G56" s="228">
        <v>32</v>
      </c>
      <c r="H56" s="228">
        <v>7</v>
      </c>
      <c r="I56" s="336">
        <v>19269</v>
      </c>
      <c r="J56" s="337">
        <v>3470</v>
      </c>
      <c r="K56" s="222">
        <f>J56/G56</f>
        <v>108.4375</v>
      </c>
      <c r="L56" s="230">
        <f>+I56/J56</f>
        <v>5.553025936599424</v>
      </c>
      <c r="M56" s="231">
        <v>3399520</v>
      </c>
      <c r="N56" s="222">
        <v>393715</v>
      </c>
      <c r="O56" s="236">
        <f>+M56/N56</f>
        <v>8.634469095665647</v>
      </c>
      <c r="P56" s="364">
        <v>1</v>
      </c>
    </row>
    <row r="57" spans="1:16" ht="15">
      <c r="A57" s="66">
        <v>55</v>
      </c>
      <c r="B57" s="293" t="s">
        <v>148</v>
      </c>
      <c r="C57" s="286">
        <v>39801</v>
      </c>
      <c r="D57" s="285" t="s">
        <v>135</v>
      </c>
      <c r="E57" s="285" t="s">
        <v>149</v>
      </c>
      <c r="F57" s="287">
        <v>42</v>
      </c>
      <c r="G57" s="287">
        <v>16</v>
      </c>
      <c r="H57" s="287">
        <v>11</v>
      </c>
      <c r="I57" s="288">
        <v>19180</v>
      </c>
      <c r="J57" s="289">
        <v>3534</v>
      </c>
      <c r="K57" s="290">
        <f>(J57/G57)</f>
        <v>220.875</v>
      </c>
      <c r="L57" s="291">
        <f>I57/J57</f>
        <v>5.427277872099604</v>
      </c>
      <c r="M57" s="292">
        <f>295344+204961.5+145464.5+116108.5+111972.5+49984+26327+32042+18579+20005+19180</f>
        <v>1039968</v>
      </c>
      <c r="N57" s="290">
        <f>36142+24747+19417+15404+14719+7567+3314+5289+3173+3275+3534</f>
        <v>136581</v>
      </c>
      <c r="O57" s="302">
        <f>M57/N57</f>
        <v>7.614294814066378</v>
      </c>
      <c r="P57" s="364"/>
    </row>
    <row r="58" spans="1:16" ht="15">
      <c r="A58" s="66">
        <v>56</v>
      </c>
      <c r="B58" s="293" t="s">
        <v>148</v>
      </c>
      <c r="C58" s="286">
        <v>39801</v>
      </c>
      <c r="D58" s="285" t="s">
        <v>135</v>
      </c>
      <c r="E58" s="285" t="s">
        <v>201</v>
      </c>
      <c r="F58" s="287">
        <v>42</v>
      </c>
      <c r="G58" s="287">
        <v>12</v>
      </c>
      <c r="H58" s="287">
        <v>9</v>
      </c>
      <c r="I58" s="288">
        <v>18579</v>
      </c>
      <c r="J58" s="289">
        <v>3173</v>
      </c>
      <c r="K58" s="290">
        <f>(J58/G58)</f>
        <v>264.4166666666667</v>
      </c>
      <c r="L58" s="291">
        <f>I58/J58</f>
        <v>5.855341947683581</v>
      </c>
      <c r="M58" s="292">
        <f>295344+204961.5+145464.5+116108.5+111972.5+49984+26327+32042+18579</f>
        <v>1000783</v>
      </c>
      <c r="N58" s="290">
        <f>36142+24747+19417+15404+14719+7567+3314+5289+3173</f>
        <v>129772</v>
      </c>
      <c r="O58" s="302">
        <f>+M58/N58</f>
        <v>7.711856178528496</v>
      </c>
      <c r="P58" s="364"/>
    </row>
    <row r="59" spans="1:16" ht="15">
      <c r="A59" s="66">
        <v>57</v>
      </c>
      <c r="B59" s="293" t="s">
        <v>140</v>
      </c>
      <c r="C59" s="286">
        <v>39787</v>
      </c>
      <c r="D59" s="285" t="s">
        <v>133</v>
      </c>
      <c r="E59" s="285" t="s">
        <v>141</v>
      </c>
      <c r="F59" s="287">
        <v>13</v>
      </c>
      <c r="G59" s="287">
        <v>13</v>
      </c>
      <c r="H59" s="287">
        <v>10</v>
      </c>
      <c r="I59" s="288">
        <v>18022</v>
      </c>
      <c r="J59" s="289">
        <v>3845</v>
      </c>
      <c r="K59" s="290">
        <f>J59/G59</f>
        <v>295.7692307692308</v>
      </c>
      <c r="L59" s="291">
        <f>I59/J59</f>
        <v>4.687126137841353</v>
      </c>
      <c r="M59" s="292">
        <f>9280968+4694050.5+1992628+1117778+528440.5+225948.5+100229.5+60712.5+23747.5+18022-1837</f>
        <v>18040688</v>
      </c>
      <c r="N59" s="290">
        <f>1147876+614752+261380+141495+73035+33259+17736+11735+4194+3845-458</f>
        <v>2308849</v>
      </c>
      <c r="O59" s="302">
        <f>+M59/N59</f>
        <v>7.813714972265402</v>
      </c>
      <c r="P59" s="364"/>
    </row>
    <row r="60" spans="1:16" ht="15">
      <c r="A60" s="66">
        <v>58</v>
      </c>
      <c r="B60" s="234" t="s">
        <v>70</v>
      </c>
      <c r="C60" s="229">
        <v>39766</v>
      </c>
      <c r="D60" s="227" t="s">
        <v>133</v>
      </c>
      <c r="E60" s="227" t="s">
        <v>71</v>
      </c>
      <c r="F60" s="228">
        <v>24</v>
      </c>
      <c r="G60" s="228">
        <v>8</v>
      </c>
      <c r="H60" s="228">
        <v>9</v>
      </c>
      <c r="I60" s="336">
        <v>16705.5</v>
      </c>
      <c r="J60" s="337">
        <v>2636</v>
      </c>
      <c r="K60" s="223">
        <f>J60/G60</f>
        <v>329.5</v>
      </c>
      <c r="L60" s="224">
        <f>I60/J60</f>
        <v>6.337443095599393</v>
      </c>
      <c r="M60" s="231">
        <f>191668+16358.5+8305+0.5+19699.5+16705.5</f>
        <v>252737</v>
      </c>
      <c r="N60" s="222">
        <f>10324+8249+7871+7121+4755+3362+1751+2958+2636</f>
        <v>49027</v>
      </c>
      <c r="O60" s="233">
        <f>+M60/N60</f>
        <v>5.155057417341465</v>
      </c>
      <c r="P60" s="364"/>
    </row>
    <row r="61" spans="1:16" ht="15">
      <c r="A61" s="66">
        <v>59</v>
      </c>
      <c r="B61" s="293" t="s">
        <v>140</v>
      </c>
      <c r="C61" s="286">
        <v>39787</v>
      </c>
      <c r="D61" s="285" t="s">
        <v>133</v>
      </c>
      <c r="E61" s="285" t="s">
        <v>141</v>
      </c>
      <c r="F61" s="287">
        <v>2</v>
      </c>
      <c r="G61" s="287">
        <v>2</v>
      </c>
      <c r="H61" s="287">
        <v>14</v>
      </c>
      <c r="I61" s="288">
        <v>16460.5</v>
      </c>
      <c r="J61" s="289">
        <v>3333</v>
      </c>
      <c r="K61" s="290">
        <f>J61/G61</f>
        <v>1666.5</v>
      </c>
      <c r="L61" s="291">
        <f>I61/J61</f>
        <v>4.938643864386439</v>
      </c>
      <c r="M61" s="292">
        <f>9280968+4694050.5+1992628+1117778+528440.5+225948.5+100229.5+60712.5+23747.5+18022-1837+3858+1591+1095+16460.5</f>
        <v>18063692.5</v>
      </c>
      <c r="N61" s="290">
        <f>1147876+614752+261380+141495+73035+33259+17736+11735+4194+3845-458+781+321+218+3333</f>
        <v>2313502</v>
      </c>
      <c r="O61" s="302">
        <f>+M61/N61</f>
        <v>7.80794332574599</v>
      </c>
      <c r="P61" s="362">
        <v>1</v>
      </c>
    </row>
    <row r="62" spans="1:16" ht="15">
      <c r="A62" s="66">
        <v>60</v>
      </c>
      <c r="B62" s="281" t="s">
        <v>44</v>
      </c>
      <c r="C62" s="40">
        <v>39780</v>
      </c>
      <c r="D62" s="261" t="s">
        <v>132</v>
      </c>
      <c r="E62" s="261" t="s">
        <v>128</v>
      </c>
      <c r="F62" s="262">
        <v>121</v>
      </c>
      <c r="G62" s="262">
        <v>16</v>
      </c>
      <c r="H62" s="262">
        <v>9</v>
      </c>
      <c r="I62" s="263">
        <v>16294</v>
      </c>
      <c r="J62" s="264">
        <v>3898</v>
      </c>
      <c r="K62" s="268">
        <f>J62/G62</f>
        <v>243.625</v>
      </c>
      <c r="L62" s="156">
        <f>+I62/J62</f>
        <v>4.1800923550538736</v>
      </c>
      <c r="M62" s="267">
        <v>3429888</v>
      </c>
      <c r="N62" s="268">
        <v>400341</v>
      </c>
      <c r="O62" s="103">
        <f>+M62/N62</f>
        <v>8.567416277623327</v>
      </c>
      <c r="P62" s="364">
        <v>1</v>
      </c>
    </row>
    <row r="63" spans="1:16" ht="15">
      <c r="A63" s="66">
        <v>61</v>
      </c>
      <c r="B63" s="293" t="s">
        <v>148</v>
      </c>
      <c r="C63" s="286">
        <v>39801</v>
      </c>
      <c r="D63" s="285" t="s">
        <v>135</v>
      </c>
      <c r="E63" s="285" t="s">
        <v>149</v>
      </c>
      <c r="F63" s="287">
        <v>42</v>
      </c>
      <c r="G63" s="287">
        <v>21</v>
      </c>
      <c r="H63" s="287">
        <v>12</v>
      </c>
      <c r="I63" s="288">
        <v>15980</v>
      </c>
      <c r="J63" s="289">
        <v>2826</v>
      </c>
      <c r="K63" s="290">
        <f>(J63/G63)</f>
        <v>134.57142857142858</v>
      </c>
      <c r="L63" s="291">
        <f>I63/J63</f>
        <v>5.654635527246993</v>
      </c>
      <c r="M63" s="292">
        <f>295344+204961.5+145464.5+116108.5+111972.5+49984+26327+32042+18579+20005+19180+15980</f>
        <v>1055948</v>
      </c>
      <c r="N63" s="290">
        <f>36142+24747+19417+15404+14719+7567+3314+5289+3173+3275+3534+2826</f>
        <v>139407</v>
      </c>
      <c r="O63" s="302">
        <f>M63/N63</f>
        <v>7.574569426212457</v>
      </c>
      <c r="P63" s="364">
        <v>1</v>
      </c>
    </row>
    <row r="64" spans="1:16" ht="15">
      <c r="A64" s="66">
        <v>62</v>
      </c>
      <c r="B64" s="293" t="s">
        <v>64</v>
      </c>
      <c r="C64" s="286">
        <v>39759</v>
      </c>
      <c r="D64" s="285" t="s">
        <v>65</v>
      </c>
      <c r="E64" s="285" t="s">
        <v>66</v>
      </c>
      <c r="F64" s="287">
        <v>23</v>
      </c>
      <c r="G64" s="287">
        <v>23</v>
      </c>
      <c r="H64" s="287">
        <v>18</v>
      </c>
      <c r="I64" s="288">
        <v>15900.5</v>
      </c>
      <c r="J64" s="289">
        <v>2635</v>
      </c>
      <c r="K64" s="290">
        <f>J64/G64</f>
        <v>114.56521739130434</v>
      </c>
      <c r="L64" s="291">
        <f>I64/J64</f>
        <v>6.034345351043643</v>
      </c>
      <c r="M64" s="292">
        <v>23356687.5</v>
      </c>
      <c r="N64" s="290">
        <v>2777253</v>
      </c>
      <c r="O64" s="302">
        <f>+M64/N64</f>
        <v>8.409996316504113</v>
      </c>
      <c r="P64" s="365"/>
    </row>
    <row r="65" spans="1:16" ht="15">
      <c r="A65" s="66">
        <v>63</v>
      </c>
      <c r="B65" s="293" t="s">
        <v>44</v>
      </c>
      <c r="C65" s="286">
        <v>39780</v>
      </c>
      <c r="D65" s="285" t="s">
        <v>132</v>
      </c>
      <c r="E65" s="285" t="s">
        <v>128</v>
      </c>
      <c r="F65" s="287">
        <v>121</v>
      </c>
      <c r="G65" s="287">
        <v>13</v>
      </c>
      <c r="H65" s="287">
        <v>10</v>
      </c>
      <c r="I65" s="288">
        <v>15819</v>
      </c>
      <c r="J65" s="289">
        <v>2946</v>
      </c>
      <c r="K65" s="290">
        <f>J65/G65</f>
        <v>226.6153846153846</v>
      </c>
      <c r="L65" s="291">
        <f>I65/J65</f>
        <v>5.369653767820774</v>
      </c>
      <c r="M65" s="292">
        <v>3445707</v>
      </c>
      <c r="N65" s="290">
        <v>403287</v>
      </c>
      <c r="O65" s="302">
        <f>+M65/N65</f>
        <v>8.54405671395309</v>
      </c>
      <c r="P65" s="365"/>
    </row>
    <row r="66" spans="1:16" ht="15">
      <c r="A66" s="66">
        <v>64</v>
      </c>
      <c r="B66" s="53" t="s">
        <v>23</v>
      </c>
      <c r="C66" s="39">
        <v>39808</v>
      </c>
      <c r="D66" s="127" t="s">
        <v>137</v>
      </c>
      <c r="E66" s="127" t="s">
        <v>24</v>
      </c>
      <c r="F66" s="50">
        <v>198</v>
      </c>
      <c r="G66" s="50">
        <v>30</v>
      </c>
      <c r="H66" s="50">
        <v>5</v>
      </c>
      <c r="I66" s="269">
        <v>15178.5</v>
      </c>
      <c r="J66" s="270">
        <v>3086</v>
      </c>
      <c r="K66" s="271">
        <f>IF(I66&lt;&gt;0,J66/G66,"")</f>
        <v>102.86666666666666</v>
      </c>
      <c r="L66" s="153">
        <f>IF(I66&lt;&gt;0,I66/J66,"")</f>
        <v>4.91850291639663</v>
      </c>
      <c r="M66" s="272">
        <f>909072+532572.5+214521.5+64908+15178.5</f>
        <v>1736252.5</v>
      </c>
      <c r="N66" s="268">
        <f>112486+67146+29772+10700+3086</f>
        <v>223190</v>
      </c>
      <c r="O66" s="104">
        <f>IF(M66&lt;&gt;0,M66/N66,"")</f>
        <v>7.779257583225055</v>
      </c>
      <c r="P66" s="365">
        <v>1</v>
      </c>
    </row>
    <row r="67" spans="1:16" ht="15">
      <c r="A67" s="66">
        <v>65</v>
      </c>
      <c r="B67" s="245" t="s">
        <v>44</v>
      </c>
      <c r="C67" s="241">
        <v>39780</v>
      </c>
      <c r="D67" s="65" t="s">
        <v>132</v>
      </c>
      <c r="E67" s="242" t="s">
        <v>128</v>
      </c>
      <c r="F67" s="41">
        <v>121</v>
      </c>
      <c r="G67" s="41">
        <v>23</v>
      </c>
      <c r="H67" s="41">
        <v>8</v>
      </c>
      <c r="I67" s="334">
        <v>13754</v>
      </c>
      <c r="J67" s="335">
        <v>2686</v>
      </c>
      <c r="K67" s="155">
        <f>J67/G67</f>
        <v>116.78260869565217</v>
      </c>
      <c r="L67" s="156">
        <f>+I67/J67</f>
        <v>5.1206254653760235</v>
      </c>
      <c r="M67" s="154">
        <v>3413274</v>
      </c>
      <c r="N67" s="155">
        <v>396401</v>
      </c>
      <c r="O67" s="103">
        <f>+M67/N67</f>
        <v>8.610659408023693</v>
      </c>
      <c r="P67" s="365"/>
    </row>
    <row r="68" spans="1:16" ht="15">
      <c r="A68" s="66">
        <v>66</v>
      </c>
      <c r="B68" s="293" t="s">
        <v>14</v>
      </c>
      <c r="C68" s="286">
        <v>39808</v>
      </c>
      <c r="D68" s="285" t="s">
        <v>132</v>
      </c>
      <c r="E68" s="285" t="s">
        <v>125</v>
      </c>
      <c r="F68" s="287">
        <v>34</v>
      </c>
      <c r="G68" s="287">
        <v>12</v>
      </c>
      <c r="H68" s="287">
        <v>6</v>
      </c>
      <c r="I68" s="288">
        <v>13097</v>
      </c>
      <c r="J68" s="289">
        <v>2497</v>
      </c>
      <c r="K68" s="290">
        <f>J68/G68</f>
        <v>208.08333333333334</v>
      </c>
      <c r="L68" s="291">
        <f>I68/J68</f>
        <v>5.245094112935522</v>
      </c>
      <c r="M68" s="292">
        <v>791666</v>
      </c>
      <c r="N68" s="290">
        <v>88294</v>
      </c>
      <c r="O68" s="302">
        <f>+M68/N68</f>
        <v>8.966249122250662</v>
      </c>
      <c r="P68" s="365"/>
    </row>
    <row r="69" spans="1:16" ht="15">
      <c r="A69" s="66">
        <v>67</v>
      </c>
      <c r="B69" s="281" t="s">
        <v>14</v>
      </c>
      <c r="C69" s="40">
        <v>39808</v>
      </c>
      <c r="D69" s="261" t="s">
        <v>132</v>
      </c>
      <c r="E69" s="261" t="s">
        <v>125</v>
      </c>
      <c r="F69" s="262">
        <v>34</v>
      </c>
      <c r="G69" s="262">
        <v>14</v>
      </c>
      <c r="H69" s="262">
        <v>5</v>
      </c>
      <c r="I69" s="263">
        <v>12836</v>
      </c>
      <c r="J69" s="264">
        <v>2314</v>
      </c>
      <c r="K69" s="268">
        <f>J69/G69</f>
        <v>165.28571428571428</v>
      </c>
      <c r="L69" s="156">
        <f>+I69/J69</f>
        <v>5.547104580812446</v>
      </c>
      <c r="M69" s="267">
        <v>778569</v>
      </c>
      <c r="N69" s="268">
        <v>85797</v>
      </c>
      <c r="O69" s="103">
        <f>+M69/N69</f>
        <v>9.074548061121018</v>
      </c>
      <c r="P69" s="365"/>
    </row>
    <row r="70" spans="1:16" ht="15">
      <c r="A70" s="66">
        <v>68</v>
      </c>
      <c r="B70" s="293" t="s">
        <v>23</v>
      </c>
      <c r="C70" s="286">
        <v>39808</v>
      </c>
      <c r="D70" s="285" t="s">
        <v>137</v>
      </c>
      <c r="E70" s="285" t="s">
        <v>24</v>
      </c>
      <c r="F70" s="287">
        <v>198</v>
      </c>
      <c r="G70" s="287">
        <v>3</v>
      </c>
      <c r="H70" s="287">
        <v>11</v>
      </c>
      <c r="I70" s="288">
        <v>11832</v>
      </c>
      <c r="J70" s="289">
        <v>2477</v>
      </c>
      <c r="K70" s="290">
        <f>J70/G70</f>
        <v>825.6666666666666</v>
      </c>
      <c r="L70" s="291">
        <f>I70/J70</f>
        <v>4.776746063786839</v>
      </c>
      <c r="M70" s="292">
        <v>1757395</v>
      </c>
      <c r="N70" s="290">
        <v>227473</v>
      </c>
      <c r="O70" s="302">
        <f>+M70/N70</f>
        <v>7.725730086647646</v>
      </c>
      <c r="P70" s="364">
        <v>1</v>
      </c>
    </row>
    <row r="71" spans="1:16" ht="15">
      <c r="A71" s="66">
        <v>69</v>
      </c>
      <c r="B71" s="48" t="s">
        <v>146</v>
      </c>
      <c r="C71" s="39">
        <v>39801</v>
      </c>
      <c r="D71" s="42" t="s">
        <v>137</v>
      </c>
      <c r="E71" s="240" t="s">
        <v>147</v>
      </c>
      <c r="F71" s="54">
        <v>84</v>
      </c>
      <c r="G71" s="54">
        <v>19</v>
      </c>
      <c r="H71" s="54">
        <v>5</v>
      </c>
      <c r="I71" s="332">
        <v>11772.5</v>
      </c>
      <c r="J71" s="333">
        <v>2357</v>
      </c>
      <c r="K71" s="152">
        <f>IF(I71&lt;&gt;0,J71/G71,"")</f>
        <v>124.05263157894737</v>
      </c>
      <c r="L71" s="153">
        <f>IF(I71&lt;&gt;0,I71/J71,"")</f>
        <v>4.994696648281714</v>
      </c>
      <c r="M71" s="157">
        <f>369313.5+145108.5+43813+31258+11772.5</f>
        <v>601265.5</v>
      </c>
      <c r="N71" s="155">
        <f>41017+16460+6346+5364+2357</f>
        <v>71544</v>
      </c>
      <c r="O71" s="104">
        <f>IF(M71&lt;&gt;0,M71/N71,"")</f>
        <v>8.404135916359163</v>
      </c>
      <c r="P71" s="365">
        <v>1</v>
      </c>
    </row>
    <row r="72" spans="1:16" ht="15">
      <c r="A72" s="66">
        <v>70</v>
      </c>
      <c r="B72" s="49" t="s">
        <v>28</v>
      </c>
      <c r="C72" s="40">
        <v>39808</v>
      </c>
      <c r="D72" s="44" t="s">
        <v>133</v>
      </c>
      <c r="E72" s="44" t="s">
        <v>29</v>
      </c>
      <c r="F72" s="41">
        <v>89</v>
      </c>
      <c r="G72" s="41">
        <v>12</v>
      </c>
      <c r="H72" s="41">
        <v>4</v>
      </c>
      <c r="I72" s="334">
        <v>11344</v>
      </c>
      <c r="J72" s="335">
        <v>1911</v>
      </c>
      <c r="K72" s="158">
        <f>(J72/G72)</f>
        <v>159.25</v>
      </c>
      <c r="L72" s="159">
        <f>I72/J72</f>
        <v>5.936159079016222</v>
      </c>
      <c r="M72" s="154">
        <f>173290.5+101994+52183.5+11344</f>
        <v>338812</v>
      </c>
      <c r="N72" s="155">
        <f>23989+15166+8100+1911</f>
        <v>49166</v>
      </c>
      <c r="O72" s="105">
        <f>M72/N72</f>
        <v>6.891184965219868</v>
      </c>
      <c r="P72" s="365"/>
    </row>
    <row r="73" spans="1:16" ht="15">
      <c r="A73" s="66">
        <v>71</v>
      </c>
      <c r="B73" s="245" t="s">
        <v>72</v>
      </c>
      <c r="C73" s="241">
        <v>39773</v>
      </c>
      <c r="D73" s="65" t="s">
        <v>132</v>
      </c>
      <c r="E73" s="242" t="s">
        <v>127</v>
      </c>
      <c r="F73" s="41">
        <v>204</v>
      </c>
      <c r="G73" s="41">
        <v>7</v>
      </c>
      <c r="H73" s="41">
        <v>9</v>
      </c>
      <c r="I73" s="334">
        <v>11114</v>
      </c>
      <c r="J73" s="335">
        <v>2009</v>
      </c>
      <c r="K73" s="155">
        <f>J73/G73</f>
        <v>287</v>
      </c>
      <c r="L73" s="156">
        <f>+I73/J73</f>
        <v>5.532105525136884</v>
      </c>
      <c r="M73" s="154">
        <v>11421502</v>
      </c>
      <c r="N73" s="155">
        <v>1411494</v>
      </c>
      <c r="O73" s="103">
        <f>+M73/N73</f>
        <v>8.09178218256684</v>
      </c>
      <c r="P73" s="365">
        <v>1</v>
      </c>
    </row>
    <row r="74" spans="1:16" ht="15">
      <c r="A74" s="66">
        <v>72</v>
      </c>
      <c r="B74" s="235" t="s">
        <v>72</v>
      </c>
      <c r="C74" s="229">
        <v>39773</v>
      </c>
      <c r="D74" s="227" t="s">
        <v>132</v>
      </c>
      <c r="E74" s="227" t="s">
        <v>127</v>
      </c>
      <c r="F74" s="228">
        <v>204</v>
      </c>
      <c r="G74" s="228">
        <v>14</v>
      </c>
      <c r="H74" s="228">
        <v>8</v>
      </c>
      <c r="I74" s="336">
        <v>11065</v>
      </c>
      <c r="J74" s="337">
        <v>2255</v>
      </c>
      <c r="K74" s="222">
        <f>J74/G74</f>
        <v>161.07142857142858</v>
      </c>
      <c r="L74" s="230">
        <f>+I74/J74</f>
        <v>4.906873614190688</v>
      </c>
      <c r="M74" s="231">
        <v>11410388</v>
      </c>
      <c r="N74" s="222">
        <v>1409485</v>
      </c>
      <c r="O74" s="236">
        <f>+M74/N74</f>
        <v>8.095430600538494</v>
      </c>
      <c r="P74" s="364"/>
    </row>
    <row r="75" spans="1:16" ht="15">
      <c r="A75" s="66">
        <v>73</v>
      </c>
      <c r="B75" s="293" t="s">
        <v>14</v>
      </c>
      <c r="C75" s="286">
        <v>39808</v>
      </c>
      <c r="D75" s="285" t="s">
        <v>132</v>
      </c>
      <c r="E75" s="285" t="s">
        <v>125</v>
      </c>
      <c r="F75" s="287">
        <v>34</v>
      </c>
      <c r="G75" s="287">
        <v>8</v>
      </c>
      <c r="H75" s="287">
        <v>7</v>
      </c>
      <c r="I75" s="288">
        <v>10308</v>
      </c>
      <c r="J75" s="289">
        <v>1735</v>
      </c>
      <c r="K75" s="290">
        <f>J75/G75</f>
        <v>216.875</v>
      </c>
      <c r="L75" s="291">
        <f>I75/J75</f>
        <v>5.94121037463977</v>
      </c>
      <c r="M75" s="292">
        <v>901974</v>
      </c>
      <c r="N75" s="290">
        <v>90029</v>
      </c>
      <c r="O75" s="302">
        <f>+M75/N75</f>
        <v>10.018705083917405</v>
      </c>
      <c r="P75" s="364">
        <v>1</v>
      </c>
    </row>
    <row r="76" spans="1:16" ht="15">
      <c r="A76" s="66">
        <v>74</v>
      </c>
      <c r="B76" s="281" t="s">
        <v>161</v>
      </c>
      <c r="C76" s="40">
        <v>39787</v>
      </c>
      <c r="D76" s="261" t="s">
        <v>132</v>
      </c>
      <c r="E76" s="261" t="s">
        <v>139</v>
      </c>
      <c r="F76" s="262">
        <v>406</v>
      </c>
      <c r="G76" s="262">
        <v>10</v>
      </c>
      <c r="H76" s="262">
        <v>8</v>
      </c>
      <c r="I76" s="263">
        <v>9717</v>
      </c>
      <c r="J76" s="264">
        <v>1459</v>
      </c>
      <c r="K76" s="268">
        <f>J76/G76</f>
        <v>145.9</v>
      </c>
      <c r="L76" s="156">
        <f>+I76/J76</f>
        <v>6.660041124057574</v>
      </c>
      <c r="M76" s="267">
        <v>30385549</v>
      </c>
      <c r="N76" s="268">
        <v>3699205</v>
      </c>
      <c r="O76" s="103">
        <f>+M76/N76</f>
        <v>8.214075456753546</v>
      </c>
      <c r="P76" s="365">
        <v>1</v>
      </c>
    </row>
    <row r="77" spans="1:16" ht="15">
      <c r="A77" s="66">
        <v>75</v>
      </c>
      <c r="B77" s="281" t="s">
        <v>53</v>
      </c>
      <c r="C77" s="40">
        <v>39738</v>
      </c>
      <c r="D77" s="127" t="s">
        <v>135</v>
      </c>
      <c r="E77" s="261" t="s">
        <v>54</v>
      </c>
      <c r="F77" s="262">
        <v>67</v>
      </c>
      <c r="G77" s="262">
        <v>11</v>
      </c>
      <c r="H77" s="262">
        <v>15</v>
      </c>
      <c r="I77" s="273">
        <v>9422</v>
      </c>
      <c r="J77" s="274">
        <v>2170</v>
      </c>
      <c r="K77" s="275">
        <f>(J77/G77)</f>
        <v>197.27272727272728</v>
      </c>
      <c r="L77" s="159">
        <f>I77/J77</f>
        <v>4.341935483870968</v>
      </c>
      <c r="M77" s="276">
        <f>167196+176809+54428+37340+38330.5+23467+11581+5867+4382+2577+3552+2137+545+4006+9422</f>
        <v>541639.5</v>
      </c>
      <c r="N77" s="277">
        <f>19168+21164+7719+6215+6404+4964+2339+1306+907+580+859+440+127+905+2170</f>
        <v>75267</v>
      </c>
      <c r="O77" s="105">
        <f>M77/N77</f>
        <v>7.1962413806847625</v>
      </c>
      <c r="P77" s="365">
        <v>1</v>
      </c>
    </row>
    <row r="78" spans="1:16" ht="15">
      <c r="A78" s="66">
        <v>76</v>
      </c>
      <c r="B78" s="49" t="s">
        <v>69</v>
      </c>
      <c r="C78" s="40">
        <v>39766</v>
      </c>
      <c r="D78" s="45" t="s">
        <v>135</v>
      </c>
      <c r="E78" s="44" t="s">
        <v>50</v>
      </c>
      <c r="F78" s="41">
        <v>20</v>
      </c>
      <c r="G78" s="41">
        <v>13</v>
      </c>
      <c r="H78" s="41">
        <v>8</v>
      </c>
      <c r="I78" s="330">
        <v>9410</v>
      </c>
      <c r="J78" s="331">
        <v>1542</v>
      </c>
      <c r="K78" s="158">
        <f>(J78/G78)</f>
        <v>118.61538461538461</v>
      </c>
      <c r="L78" s="159">
        <f>I78/J78</f>
        <v>6.102464332036316</v>
      </c>
      <c r="M78" s="150">
        <f>109364.5+38539+31287+12101+5368+8640.5+12331+9410</f>
        <v>227041</v>
      </c>
      <c r="N78" s="151">
        <f>11866+4674+4443+2133+1061+1670+2334+1542</f>
        <v>29723</v>
      </c>
      <c r="O78" s="105">
        <f>M78/N78</f>
        <v>7.638562729199609</v>
      </c>
      <c r="P78" s="365">
        <v>1</v>
      </c>
    </row>
    <row r="79" spans="1:16" ht="15">
      <c r="A79" s="66">
        <v>77</v>
      </c>
      <c r="B79" s="53" t="s">
        <v>145</v>
      </c>
      <c r="C79" s="39">
        <v>39801</v>
      </c>
      <c r="D79" s="127" t="s">
        <v>131</v>
      </c>
      <c r="E79" s="127" t="s">
        <v>123</v>
      </c>
      <c r="F79" s="50">
        <v>69</v>
      </c>
      <c r="G79" s="50">
        <v>12</v>
      </c>
      <c r="H79" s="50">
        <v>6</v>
      </c>
      <c r="I79" s="273">
        <v>9385</v>
      </c>
      <c r="J79" s="274">
        <v>2124</v>
      </c>
      <c r="K79" s="275">
        <f>J79/G79</f>
        <v>177</v>
      </c>
      <c r="L79" s="159">
        <f>I79/J79</f>
        <v>4.4185499058380415</v>
      </c>
      <c r="M79" s="276">
        <f>820286+588484+413907+112495+41441-111+9385</f>
        <v>1985887</v>
      </c>
      <c r="N79" s="277">
        <f>83839+57678+42374+12212+5722-11+2124</f>
        <v>203938</v>
      </c>
      <c r="O79" s="105">
        <f>+M79/N79</f>
        <v>9.737699693043965</v>
      </c>
      <c r="P79" s="365">
        <v>1</v>
      </c>
    </row>
    <row r="80" spans="1:16" ht="15">
      <c r="A80" s="66">
        <v>78</v>
      </c>
      <c r="B80" s="49" t="s">
        <v>73</v>
      </c>
      <c r="C80" s="40">
        <v>39772</v>
      </c>
      <c r="D80" s="45" t="s">
        <v>135</v>
      </c>
      <c r="E80" s="44" t="s">
        <v>106</v>
      </c>
      <c r="F80" s="41">
        <v>195</v>
      </c>
      <c r="G80" s="41">
        <v>8</v>
      </c>
      <c r="H80" s="41">
        <v>7</v>
      </c>
      <c r="I80" s="330">
        <v>9376.5</v>
      </c>
      <c r="J80" s="331">
        <v>2234</v>
      </c>
      <c r="K80" s="158">
        <f>(J80/G80)</f>
        <v>279.25</v>
      </c>
      <c r="L80" s="159">
        <f>I80/J80</f>
        <v>4.197179946284691</v>
      </c>
      <c r="M80" s="150">
        <f>1011017+512350.5+217314+64545+38656.5+8087+9376.5</f>
        <v>1861346.5</v>
      </c>
      <c r="N80" s="151">
        <f>136878+68007+31396+9807+8372+1564+2234</f>
        <v>258258</v>
      </c>
      <c r="O80" s="105">
        <f>M80/N80</f>
        <v>7.207314003825632</v>
      </c>
      <c r="P80" s="365"/>
    </row>
    <row r="81" spans="1:16" ht="15">
      <c r="A81" s="66">
        <v>79</v>
      </c>
      <c r="B81" s="293" t="s">
        <v>70</v>
      </c>
      <c r="C81" s="286">
        <v>39766</v>
      </c>
      <c r="D81" s="285" t="s">
        <v>133</v>
      </c>
      <c r="E81" s="285" t="s">
        <v>71</v>
      </c>
      <c r="F81" s="287">
        <v>3</v>
      </c>
      <c r="G81" s="287">
        <v>3</v>
      </c>
      <c r="H81" s="287">
        <v>16</v>
      </c>
      <c r="I81" s="288">
        <v>9273</v>
      </c>
      <c r="J81" s="289">
        <v>1648</v>
      </c>
      <c r="K81" s="290">
        <f>J81/G81</f>
        <v>549.3333333333334</v>
      </c>
      <c r="L81" s="291">
        <f>IF(I81&lt;&gt;0,I81/J81,"")</f>
        <v>5.626820388349515</v>
      </c>
      <c r="M81" s="292">
        <v>287689</v>
      </c>
      <c r="N81" s="290">
        <v>54922</v>
      </c>
      <c r="O81" s="302">
        <f>+M81/N81</f>
        <v>5.238137722588398</v>
      </c>
      <c r="P81" s="364">
        <v>1</v>
      </c>
    </row>
    <row r="82" spans="1:16" ht="15">
      <c r="A82" s="66">
        <v>80</v>
      </c>
      <c r="B82" s="234" t="s">
        <v>69</v>
      </c>
      <c r="C82" s="229">
        <v>39766</v>
      </c>
      <c r="D82" s="217" t="s">
        <v>135</v>
      </c>
      <c r="E82" s="227" t="s">
        <v>50</v>
      </c>
      <c r="F82" s="228">
        <v>20</v>
      </c>
      <c r="G82" s="228">
        <v>9</v>
      </c>
      <c r="H82" s="228">
        <v>9</v>
      </c>
      <c r="I82" s="324">
        <v>9143</v>
      </c>
      <c r="J82" s="325">
        <v>1728</v>
      </c>
      <c r="K82" s="223">
        <f>(J82/G82)</f>
        <v>192</v>
      </c>
      <c r="L82" s="224">
        <f aca="true" t="shared" si="2" ref="L82:L96">I82/J82</f>
        <v>5.291087962962963</v>
      </c>
      <c r="M82" s="225">
        <f>109364.5+38539+31287+12101+5368+8640.5+12331+9410+9143</f>
        <v>236184</v>
      </c>
      <c r="N82" s="226">
        <f>11866+4674+4443+2133+1061+1670+2334+1542+1728</f>
        <v>31451</v>
      </c>
      <c r="O82" s="233">
        <f>M82/N82</f>
        <v>7.509586340656895</v>
      </c>
      <c r="P82" s="365">
        <v>1</v>
      </c>
    </row>
    <row r="83" spans="1:16" ht="15">
      <c r="A83" s="66">
        <v>81</v>
      </c>
      <c r="B83" s="293" t="s">
        <v>145</v>
      </c>
      <c r="C83" s="286">
        <v>39801</v>
      </c>
      <c r="D83" s="285" t="s">
        <v>131</v>
      </c>
      <c r="E83" s="285" t="s">
        <v>123</v>
      </c>
      <c r="F83" s="287">
        <v>69</v>
      </c>
      <c r="G83" s="287">
        <v>5</v>
      </c>
      <c r="H83" s="287">
        <v>8</v>
      </c>
      <c r="I83" s="288">
        <v>8718</v>
      </c>
      <c r="J83" s="289">
        <v>1256</v>
      </c>
      <c r="K83" s="290">
        <f>J83/G83</f>
        <v>251.2</v>
      </c>
      <c r="L83" s="291">
        <f t="shared" si="2"/>
        <v>6.941082802547771</v>
      </c>
      <c r="M83" s="292">
        <f>820286+588484+413907+112495+41441-111+9385+4586+8718</f>
        <v>1999191</v>
      </c>
      <c r="N83" s="290">
        <f>83839+57678+42374+12212+5722-11+2124+1350+1256</f>
        <v>206544</v>
      </c>
      <c r="O83" s="302">
        <f>+M83/N83</f>
        <v>9.679249941900999</v>
      </c>
      <c r="P83" s="365">
        <v>1</v>
      </c>
    </row>
    <row r="84" spans="1:16" ht="15">
      <c r="A84" s="66">
        <v>82</v>
      </c>
      <c r="B84" s="293" t="s">
        <v>53</v>
      </c>
      <c r="C84" s="286">
        <v>39738</v>
      </c>
      <c r="D84" s="285" t="s">
        <v>135</v>
      </c>
      <c r="E84" s="285" t="s">
        <v>54</v>
      </c>
      <c r="F84" s="287">
        <v>67</v>
      </c>
      <c r="G84" s="287">
        <v>8</v>
      </c>
      <c r="H84" s="287">
        <v>16</v>
      </c>
      <c r="I84" s="288">
        <v>7992</v>
      </c>
      <c r="J84" s="289">
        <v>1822</v>
      </c>
      <c r="K84" s="290">
        <f>(J84/G84)</f>
        <v>227.75</v>
      </c>
      <c r="L84" s="291">
        <f t="shared" si="2"/>
        <v>4.386388583973655</v>
      </c>
      <c r="M84" s="292">
        <f>167196+176809+54428+37340+38330.5+23467+11581+5867+4382+2577+3552+2137+545+4006+9422+7992</f>
        <v>549631.5</v>
      </c>
      <c r="N84" s="290">
        <f>19168+21164+7719+6215+6404+4964+2339+1306+907+580+859+440+127+905+2170+1822</f>
        <v>77089</v>
      </c>
      <c r="O84" s="302">
        <f>+M84/N84</f>
        <v>7.12983045570704</v>
      </c>
      <c r="P84" s="364">
        <v>1</v>
      </c>
    </row>
    <row r="85" spans="1:16" ht="15">
      <c r="A85" s="66">
        <v>83</v>
      </c>
      <c r="B85" s="293" t="s">
        <v>26</v>
      </c>
      <c r="C85" s="286">
        <v>39808</v>
      </c>
      <c r="D85" s="285" t="s">
        <v>135</v>
      </c>
      <c r="E85" s="285" t="s">
        <v>134</v>
      </c>
      <c r="F85" s="287">
        <v>75</v>
      </c>
      <c r="G85" s="287">
        <v>6</v>
      </c>
      <c r="H85" s="287">
        <v>8</v>
      </c>
      <c r="I85" s="288">
        <v>7402.5</v>
      </c>
      <c r="J85" s="289">
        <v>1623</v>
      </c>
      <c r="K85" s="290">
        <f>(J85/G85)</f>
        <v>270.5</v>
      </c>
      <c r="L85" s="291">
        <f t="shared" si="2"/>
        <v>4.560998151571164</v>
      </c>
      <c r="M85" s="292">
        <f>681566+578530+317284.5+141025.5+34373.5+6375+4225+7402.5</f>
        <v>1770782</v>
      </c>
      <c r="N85" s="290">
        <f>64102+57106+32401+16644+4655+1030+644+1623</f>
        <v>178205</v>
      </c>
      <c r="O85" s="302">
        <f>+M85/N85</f>
        <v>9.936769450913275</v>
      </c>
      <c r="P85" s="364">
        <v>1</v>
      </c>
    </row>
    <row r="86" spans="1:16" ht="15">
      <c r="A86" s="66">
        <v>84</v>
      </c>
      <c r="B86" s="49" t="s">
        <v>70</v>
      </c>
      <c r="C86" s="40">
        <v>39766</v>
      </c>
      <c r="D86" s="44" t="s">
        <v>133</v>
      </c>
      <c r="E86" s="44" t="s">
        <v>71</v>
      </c>
      <c r="F86" s="41">
        <v>24</v>
      </c>
      <c r="G86" s="41">
        <v>6</v>
      </c>
      <c r="H86" s="41">
        <v>10</v>
      </c>
      <c r="I86" s="334">
        <v>7289</v>
      </c>
      <c r="J86" s="335">
        <v>1185</v>
      </c>
      <c r="K86" s="158">
        <f>(J86/G86)</f>
        <v>197.5</v>
      </c>
      <c r="L86" s="159">
        <f t="shared" si="2"/>
        <v>6.151054852320675</v>
      </c>
      <c r="M86" s="154">
        <f>191668+16358.5+8305+0.5+19699.5+16705.5+7289</f>
        <v>260026</v>
      </c>
      <c r="N86" s="155">
        <f>10324+8249+7871+7121+4755+3362+1751+2958+2636+1185</f>
        <v>50212</v>
      </c>
      <c r="O86" s="105">
        <f>M86/N86</f>
        <v>5.178562893332272</v>
      </c>
      <c r="P86" s="364">
        <v>1</v>
      </c>
    </row>
    <row r="87" spans="1:16" ht="15">
      <c r="A87" s="66">
        <v>85</v>
      </c>
      <c r="B87" s="293" t="s">
        <v>44</v>
      </c>
      <c r="C87" s="286">
        <v>39780</v>
      </c>
      <c r="D87" s="285" t="s">
        <v>132</v>
      </c>
      <c r="E87" s="285" t="s">
        <v>128</v>
      </c>
      <c r="F87" s="287">
        <v>121</v>
      </c>
      <c r="G87" s="287">
        <v>11</v>
      </c>
      <c r="H87" s="287">
        <v>11</v>
      </c>
      <c r="I87" s="288">
        <v>7142</v>
      </c>
      <c r="J87" s="289">
        <v>1658</v>
      </c>
      <c r="K87" s="290">
        <f>J87/G87</f>
        <v>150.72727272727272</v>
      </c>
      <c r="L87" s="291">
        <f t="shared" si="2"/>
        <v>4.307599517490953</v>
      </c>
      <c r="M87" s="292">
        <v>3452849</v>
      </c>
      <c r="N87" s="290">
        <v>404945</v>
      </c>
      <c r="O87" s="302">
        <f>+M87/N87</f>
        <v>8.52671103483189</v>
      </c>
      <c r="P87" s="365">
        <v>1</v>
      </c>
    </row>
    <row r="88" spans="1:16" ht="15">
      <c r="A88" s="66">
        <v>86</v>
      </c>
      <c r="B88" s="293" t="s">
        <v>190</v>
      </c>
      <c r="C88" s="286">
        <v>37995</v>
      </c>
      <c r="D88" s="285" t="s">
        <v>93</v>
      </c>
      <c r="E88" s="285" t="s">
        <v>94</v>
      </c>
      <c r="F88" s="287">
        <v>66</v>
      </c>
      <c r="G88" s="287">
        <v>3</v>
      </c>
      <c r="H88" s="287">
        <v>19</v>
      </c>
      <c r="I88" s="288">
        <v>7128</v>
      </c>
      <c r="J88" s="289">
        <v>1782</v>
      </c>
      <c r="K88" s="290">
        <f>J88/G88</f>
        <v>594</v>
      </c>
      <c r="L88" s="291">
        <f t="shared" si="2"/>
        <v>4</v>
      </c>
      <c r="M88" s="292">
        <v>514860</v>
      </c>
      <c r="N88" s="290">
        <v>80093</v>
      </c>
      <c r="O88" s="302">
        <f>+M88/N88</f>
        <v>6.4282771278388875</v>
      </c>
      <c r="P88" s="365">
        <v>1</v>
      </c>
    </row>
    <row r="89" spans="1:16" ht="15">
      <c r="A89" s="66">
        <v>87</v>
      </c>
      <c r="B89" s="293" t="s">
        <v>191</v>
      </c>
      <c r="C89" s="286">
        <v>38478</v>
      </c>
      <c r="D89" s="285" t="s">
        <v>93</v>
      </c>
      <c r="E89" s="285" t="s">
        <v>192</v>
      </c>
      <c r="F89" s="287">
        <v>11</v>
      </c>
      <c r="G89" s="287">
        <v>3</v>
      </c>
      <c r="H89" s="287">
        <v>18</v>
      </c>
      <c r="I89" s="288">
        <v>7128</v>
      </c>
      <c r="J89" s="289">
        <v>1782</v>
      </c>
      <c r="K89" s="290">
        <f>J89/G89</f>
        <v>594</v>
      </c>
      <c r="L89" s="291">
        <f t="shared" si="2"/>
        <v>4</v>
      </c>
      <c r="M89" s="292">
        <v>31473</v>
      </c>
      <c r="N89" s="290">
        <v>6183</v>
      </c>
      <c r="O89" s="302">
        <f>+M89/N89</f>
        <v>5.090247452692868</v>
      </c>
      <c r="P89" s="365"/>
    </row>
    <row r="90" spans="1:16" ht="15">
      <c r="A90" s="66">
        <v>88</v>
      </c>
      <c r="B90" s="293" t="s">
        <v>164</v>
      </c>
      <c r="C90" s="286">
        <v>39766</v>
      </c>
      <c r="D90" s="285" t="s">
        <v>202</v>
      </c>
      <c r="E90" s="285" t="s">
        <v>203</v>
      </c>
      <c r="F90" s="287">
        <v>50</v>
      </c>
      <c r="G90" s="287">
        <v>4</v>
      </c>
      <c r="H90" s="287">
        <v>17</v>
      </c>
      <c r="I90" s="288">
        <v>7116</v>
      </c>
      <c r="J90" s="289">
        <v>1424</v>
      </c>
      <c r="K90" s="290">
        <f>J90/G90</f>
        <v>356</v>
      </c>
      <c r="L90" s="291">
        <f t="shared" si="2"/>
        <v>4.997191011235955</v>
      </c>
      <c r="M90" s="292">
        <v>232653</v>
      </c>
      <c r="N90" s="290">
        <v>34366</v>
      </c>
      <c r="O90" s="302">
        <f>+M90/N90</f>
        <v>6.769859745096898</v>
      </c>
      <c r="P90" s="365"/>
    </row>
    <row r="91" spans="1:16" ht="15">
      <c r="A91" s="66">
        <v>89</v>
      </c>
      <c r="B91" s="293" t="s">
        <v>70</v>
      </c>
      <c r="C91" s="286">
        <v>39766</v>
      </c>
      <c r="D91" s="285" t="s">
        <v>133</v>
      </c>
      <c r="E91" s="285" t="s">
        <v>71</v>
      </c>
      <c r="F91" s="287">
        <v>4</v>
      </c>
      <c r="G91" s="287">
        <v>4</v>
      </c>
      <c r="H91" s="287">
        <v>15</v>
      </c>
      <c r="I91" s="288">
        <v>6536.5</v>
      </c>
      <c r="J91" s="289">
        <v>961</v>
      </c>
      <c r="K91" s="290">
        <f>(J91/G91)</f>
        <v>240.25</v>
      </c>
      <c r="L91" s="291">
        <f t="shared" si="2"/>
        <v>6.801768990634756</v>
      </c>
      <c r="M91" s="292">
        <f>191668+16358.5+8305+0.5+19699.5+16705.5+7289+4467+3138+2267+1882+6536</f>
        <v>278316</v>
      </c>
      <c r="N91" s="290">
        <f>10324+8249+7871+7121+4755+3362+1751+2958+2636+1185+800+596+440+265+961</f>
        <v>53274</v>
      </c>
      <c r="O91" s="302">
        <f>M91/N91</f>
        <v>5.22423696362203</v>
      </c>
      <c r="P91" s="365"/>
    </row>
    <row r="92" spans="1:16" ht="15">
      <c r="A92" s="66">
        <v>90</v>
      </c>
      <c r="B92" s="293" t="s">
        <v>26</v>
      </c>
      <c r="C92" s="286">
        <v>39808</v>
      </c>
      <c r="D92" s="285" t="s">
        <v>135</v>
      </c>
      <c r="E92" s="285" t="s">
        <v>134</v>
      </c>
      <c r="F92" s="287">
        <v>75</v>
      </c>
      <c r="G92" s="287">
        <v>8</v>
      </c>
      <c r="H92" s="287">
        <v>6</v>
      </c>
      <c r="I92" s="288">
        <v>6375</v>
      </c>
      <c r="J92" s="289">
        <v>1030</v>
      </c>
      <c r="K92" s="290">
        <f>(J92/G92)</f>
        <v>128.75</v>
      </c>
      <c r="L92" s="291">
        <f t="shared" si="2"/>
        <v>6.189320388349515</v>
      </c>
      <c r="M92" s="292">
        <f>681566+578530+317284.5+141025.5+34373.5+6375</f>
        <v>1759154.5</v>
      </c>
      <c r="N92" s="290">
        <f>64102+57106+32401+16644+4655+1030</f>
        <v>175938</v>
      </c>
      <c r="O92" s="302">
        <f>+M92/N92</f>
        <v>9.998718298491514</v>
      </c>
      <c r="P92" s="365"/>
    </row>
    <row r="93" spans="1:16" ht="15">
      <c r="A93" s="66">
        <v>91</v>
      </c>
      <c r="B93" s="293" t="s">
        <v>72</v>
      </c>
      <c r="C93" s="286">
        <v>39773</v>
      </c>
      <c r="D93" s="285" t="s">
        <v>132</v>
      </c>
      <c r="E93" s="285" t="s">
        <v>127</v>
      </c>
      <c r="F93" s="287">
        <v>204</v>
      </c>
      <c r="G93" s="287">
        <v>6</v>
      </c>
      <c r="H93" s="287">
        <v>12</v>
      </c>
      <c r="I93" s="288">
        <v>6238</v>
      </c>
      <c r="J93" s="289">
        <v>2271</v>
      </c>
      <c r="K93" s="290">
        <f>J93/G93</f>
        <v>378.5</v>
      </c>
      <c r="L93" s="291">
        <f t="shared" si="2"/>
        <v>2.7468075737560547</v>
      </c>
      <c r="M93" s="292">
        <v>11437045</v>
      </c>
      <c r="N93" s="290">
        <v>1416123</v>
      </c>
      <c r="O93" s="302">
        <f>+M93/N93</f>
        <v>8.076307637119092</v>
      </c>
      <c r="P93" s="365">
        <v>1</v>
      </c>
    </row>
    <row r="94" spans="1:16" ht="15">
      <c r="A94" s="66">
        <v>92</v>
      </c>
      <c r="B94" s="49" t="s">
        <v>47</v>
      </c>
      <c r="C94" s="40">
        <v>39780</v>
      </c>
      <c r="D94" s="45" t="s">
        <v>135</v>
      </c>
      <c r="E94" s="44" t="s">
        <v>33</v>
      </c>
      <c r="F94" s="41">
        <v>6</v>
      </c>
      <c r="G94" s="41">
        <v>2</v>
      </c>
      <c r="H94" s="41">
        <v>7</v>
      </c>
      <c r="I94" s="330">
        <v>6202</v>
      </c>
      <c r="J94" s="331">
        <v>1523</v>
      </c>
      <c r="K94" s="158">
        <f>(J94/G94)</f>
        <v>761.5</v>
      </c>
      <c r="L94" s="159">
        <f t="shared" si="2"/>
        <v>4.072225869993434</v>
      </c>
      <c r="M94" s="150">
        <f>25457+3030+1123+7370+430+997+6202</f>
        <v>44609</v>
      </c>
      <c r="N94" s="151">
        <f>2151+404+165+1079+59+230+1523</f>
        <v>5611</v>
      </c>
      <c r="O94" s="105">
        <f>M94/N94</f>
        <v>7.9502762430939224</v>
      </c>
      <c r="P94" s="365">
        <v>1</v>
      </c>
    </row>
    <row r="95" spans="1:16" ht="15">
      <c r="A95" s="66">
        <v>93</v>
      </c>
      <c r="B95" s="234" t="s">
        <v>73</v>
      </c>
      <c r="C95" s="229">
        <v>39772</v>
      </c>
      <c r="D95" s="217" t="s">
        <v>135</v>
      </c>
      <c r="E95" s="227" t="s">
        <v>106</v>
      </c>
      <c r="F95" s="228">
        <v>195</v>
      </c>
      <c r="G95" s="228">
        <v>7</v>
      </c>
      <c r="H95" s="228">
        <v>8</v>
      </c>
      <c r="I95" s="324">
        <v>5786</v>
      </c>
      <c r="J95" s="325">
        <v>1216</v>
      </c>
      <c r="K95" s="223">
        <f>(J95/G95)</f>
        <v>173.71428571428572</v>
      </c>
      <c r="L95" s="224">
        <f t="shared" si="2"/>
        <v>4.7582236842105265</v>
      </c>
      <c r="M95" s="225">
        <f>1011017+512350.5+217314+64545+38656.5+8087+9376.5+5786</f>
        <v>1867132.5</v>
      </c>
      <c r="N95" s="226">
        <f>136878+68007+31396+9807+8372+1564+2234+1216</f>
        <v>259474</v>
      </c>
      <c r="O95" s="233">
        <f>M95/N95</f>
        <v>7.19583657707516</v>
      </c>
      <c r="P95" s="365"/>
    </row>
    <row r="96" spans="1:16" ht="15">
      <c r="A96" s="66">
        <v>94</v>
      </c>
      <c r="B96" s="49" t="s">
        <v>69</v>
      </c>
      <c r="C96" s="40">
        <v>39766</v>
      </c>
      <c r="D96" s="45" t="s">
        <v>135</v>
      </c>
      <c r="E96" s="44" t="s">
        <v>50</v>
      </c>
      <c r="F96" s="41">
        <v>20</v>
      </c>
      <c r="G96" s="41">
        <v>5</v>
      </c>
      <c r="H96" s="41">
        <v>10</v>
      </c>
      <c r="I96" s="330">
        <v>5719</v>
      </c>
      <c r="J96" s="331">
        <v>1224</v>
      </c>
      <c r="K96" s="158">
        <f>(J96/G96)</f>
        <v>244.8</v>
      </c>
      <c r="L96" s="159">
        <f t="shared" si="2"/>
        <v>4.6723856209150325</v>
      </c>
      <c r="M96" s="150">
        <f>109364.5+38539+31287+12101+5368+8640.5+12331+9410+9143+5719</f>
        <v>241903</v>
      </c>
      <c r="N96" s="151">
        <f>11866+4674+4443+2133+1061+1670+2334+1542+1728+1224</f>
        <v>32675</v>
      </c>
      <c r="O96" s="105">
        <f>M96/N96</f>
        <v>7.403305279265494</v>
      </c>
      <c r="P96" s="365">
        <v>1</v>
      </c>
    </row>
    <row r="97" spans="1:16" ht="15">
      <c r="A97" s="66">
        <v>95</v>
      </c>
      <c r="B97" s="281" t="s">
        <v>72</v>
      </c>
      <c r="C97" s="40">
        <v>39773</v>
      </c>
      <c r="D97" s="261" t="s">
        <v>132</v>
      </c>
      <c r="E97" s="261" t="s">
        <v>162</v>
      </c>
      <c r="F97" s="262">
        <v>204</v>
      </c>
      <c r="G97" s="262">
        <v>7</v>
      </c>
      <c r="H97" s="262">
        <v>10</v>
      </c>
      <c r="I97" s="263">
        <v>5694</v>
      </c>
      <c r="J97" s="264">
        <v>1248</v>
      </c>
      <c r="K97" s="268">
        <f>J97/G97</f>
        <v>178.28571428571428</v>
      </c>
      <c r="L97" s="156">
        <f>+I97/J97</f>
        <v>4.5625</v>
      </c>
      <c r="M97" s="267">
        <v>11427196</v>
      </c>
      <c r="N97" s="268">
        <v>1412742</v>
      </c>
      <c r="O97" s="103">
        <f>+M97/N97</f>
        <v>8.088664455364107</v>
      </c>
      <c r="P97" s="365"/>
    </row>
    <row r="98" spans="1:16" ht="15">
      <c r="A98" s="66">
        <v>96</v>
      </c>
      <c r="B98" s="53" t="s">
        <v>146</v>
      </c>
      <c r="C98" s="39">
        <v>39801</v>
      </c>
      <c r="D98" s="127" t="s">
        <v>137</v>
      </c>
      <c r="E98" s="127" t="s">
        <v>147</v>
      </c>
      <c r="F98" s="50">
        <v>84</v>
      </c>
      <c r="G98" s="50">
        <v>10</v>
      </c>
      <c r="H98" s="50">
        <v>6</v>
      </c>
      <c r="I98" s="269">
        <v>5392.5</v>
      </c>
      <c r="J98" s="270">
        <v>1094</v>
      </c>
      <c r="K98" s="271">
        <f>IF(I98&lt;&gt;0,J98/G98,"")</f>
        <v>109.4</v>
      </c>
      <c r="L98" s="153">
        <f>IF(I98&lt;&gt;0,I98/J98,"")</f>
        <v>4.9291590493601465</v>
      </c>
      <c r="M98" s="272">
        <f>369313.5+145108.5+43813+31258+11772.5+5392.5</f>
        <v>606658</v>
      </c>
      <c r="N98" s="268">
        <f>41017+16460+6346+5364+2357+1094</f>
        <v>72638</v>
      </c>
      <c r="O98" s="104">
        <f>IF(M98&lt;&gt;0,M98/N98,"")</f>
        <v>8.351799333682095</v>
      </c>
      <c r="P98" s="364"/>
    </row>
    <row r="99" spans="1:16" ht="15">
      <c r="A99" s="66">
        <v>97</v>
      </c>
      <c r="B99" s="49" t="s">
        <v>67</v>
      </c>
      <c r="C99" s="40">
        <v>39759</v>
      </c>
      <c r="D99" s="45" t="s">
        <v>135</v>
      </c>
      <c r="E99" s="44" t="s">
        <v>144</v>
      </c>
      <c r="F99" s="41">
        <v>93</v>
      </c>
      <c r="G99" s="41">
        <v>4</v>
      </c>
      <c r="H99" s="41">
        <v>9</v>
      </c>
      <c r="I99" s="330">
        <v>5279</v>
      </c>
      <c r="J99" s="331">
        <v>685</v>
      </c>
      <c r="K99" s="158">
        <f>(J99/G99)</f>
        <v>171.25</v>
      </c>
      <c r="L99" s="159">
        <f>I99/J99</f>
        <v>7.706569343065693</v>
      </c>
      <c r="M99" s="150">
        <f>224223+136351+27895+24212+1274+3482+7147+2804+5279</f>
        <v>432667</v>
      </c>
      <c r="N99" s="151">
        <f>27969+18593+4268+4646+311+857+1472+745+685</f>
        <v>59546</v>
      </c>
      <c r="O99" s="105">
        <f>M99/N99</f>
        <v>7.26609679911329</v>
      </c>
      <c r="P99" s="365">
        <v>1</v>
      </c>
    </row>
    <row r="100" spans="1:16" ht="15">
      <c r="A100" s="66">
        <v>98</v>
      </c>
      <c r="B100" s="293" t="s">
        <v>53</v>
      </c>
      <c r="C100" s="286">
        <v>39738</v>
      </c>
      <c r="D100" s="285" t="s">
        <v>135</v>
      </c>
      <c r="E100" s="285" t="s">
        <v>54</v>
      </c>
      <c r="F100" s="287">
        <v>67</v>
      </c>
      <c r="G100" s="287">
        <v>7</v>
      </c>
      <c r="H100" s="287">
        <v>17</v>
      </c>
      <c r="I100" s="288">
        <v>4936</v>
      </c>
      <c r="J100" s="289">
        <v>1050</v>
      </c>
      <c r="K100" s="290">
        <f>(J100/G100)</f>
        <v>150</v>
      </c>
      <c r="L100" s="291">
        <f>I100/J100</f>
        <v>4.700952380952381</v>
      </c>
      <c r="M100" s="292">
        <f>167196+176809+54428+37340+38330.5+23467+11581+5867+4382+2577+3552+2137+545+4006+9422+7992+4936</f>
        <v>554567.5</v>
      </c>
      <c r="N100" s="290">
        <f>19168+21164+7719+6215+6404+4964+2339+1306+907+580+859+440+127+905+2170+1822+1050</f>
        <v>78139</v>
      </c>
      <c r="O100" s="302">
        <f>M100/N100</f>
        <v>7.097192183160778</v>
      </c>
      <c r="P100" s="365"/>
    </row>
    <row r="101" spans="1:16" ht="15">
      <c r="A101" s="66">
        <v>99</v>
      </c>
      <c r="B101" s="53" t="s">
        <v>150</v>
      </c>
      <c r="C101" s="39">
        <v>39801</v>
      </c>
      <c r="D101" s="45" t="s">
        <v>4</v>
      </c>
      <c r="E101" s="45" t="s">
        <v>77</v>
      </c>
      <c r="F101" s="50">
        <v>19</v>
      </c>
      <c r="G101" s="50">
        <v>9</v>
      </c>
      <c r="H101" s="50">
        <v>3</v>
      </c>
      <c r="I101" s="330">
        <v>4887</v>
      </c>
      <c r="J101" s="331">
        <v>751</v>
      </c>
      <c r="K101" s="152">
        <f>+J101/G101</f>
        <v>83.44444444444444</v>
      </c>
      <c r="L101" s="153">
        <f>+I101/J101</f>
        <v>6.507323568575233</v>
      </c>
      <c r="M101" s="150">
        <v>136638</v>
      </c>
      <c r="N101" s="151">
        <v>12656</v>
      </c>
      <c r="O101" s="104">
        <f>+M101/N101</f>
        <v>10.796302149178256</v>
      </c>
      <c r="P101" s="365"/>
    </row>
    <row r="102" spans="1:16" ht="15">
      <c r="A102" s="66">
        <v>100</v>
      </c>
      <c r="B102" s="49" t="s">
        <v>45</v>
      </c>
      <c r="C102" s="40">
        <v>39780</v>
      </c>
      <c r="D102" s="45" t="s">
        <v>135</v>
      </c>
      <c r="E102" s="44" t="s">
        <v>78</v>
      </c>
      <c r="F102" s="41">
        <v>61</v>
      </c>
      <c r="G102" s="41">
        <v>8</v>
      </c>
      <c r="H102" s="41">
        <v>6</v>
      </c>
      <c r="I102" s="330">
        <v>4772</v>
      </c>
      <c r="J102" s="331">
        <v>944</v>
      </c>
      <c r="K102" s="158">
        <f>(J102/G102)</f>
        <v>118</v>
      </c>
      <c r="L102" s="159">
        <f aca="true" t="shared" si="3" ref="L102:L108">I102/J102</f>
        <v>5.055084745762712</v>
      </c>
      <c r="M102" s="150">
        <f>499000.5+313125.5+89561.5+27980+2002.5+4772</f>
        <v>936442</v>
      </c>
      <c r="N102" s="151">
        <f>48458+27725+9315+4737+330+944</f>
        <v>91509</v>
      </c>
      <c r="O102" s="105">
        <f>M102/N102</f>
        <v>10.233332240544646</v>
      </c>
      <c r="P102" s="365"/>
    </row>
    <row r="103" spans="1:16" ht="15">
      <c r="A103" s="66">
        <v>101</v>
      </c>
      <c r="B103" s="293" t="s">
        <v>145</v>
      </c>
      <c r="C103" s="286">
        <v>39801</v>
      </c>
      <c r="D103" s="285" t="s">
        <v>131</v>
      </c>
      <c r="E103" s="285" t="s">
        <v>123</v>
      </c>
      <c r="F103" s="287">
        <v>69</v>
      </c>
      <c r="G103" s="287">
        <v>6</v>
      </c>
      <c r="H103" s="287">
        <v>7</v>
      </c>
      <c r="I103" s="288">
        <v>4586</v>
      </c>
      <c r="J103" s="289">
        <v>1350</v>
      </c>
      <c r="K103" s="290">
        <f>J103/G103</f>
        <v>225</v>
      </c>
      <c r="L103" s="291">
        <f t="shared" si="3"/>
        <v>3.397037037037037</v>
      </c>
      <c r="M103" s="292">
        <f>820286+588484+413907+112495+41441-111+9385+4586</f>
        <v>1990473</v>
      </c>
      <c r="N103" s="290">
        <f>83839+57678+42374+12212+5722-11+2124+1350</f>
        <v>205288</v>
      </c>
      <c r="O103" s="302">
        <f>+M103/N103</f>
        <v>9.696002688905343</v>
      </c>
      <c r="P103" s="365">
        <v>1</v>
      </c>
    </row>
    <row r="104" spans="1:16" ht="15">
      <c r="A104" s="66">
        <v>102</v>
      </c>
      <c r="B104" s="293" t="s">
        <v>26</v>
      </c>
      <c r="C104" s="286">
        <v>39808</v>
      </c>
      <c r="D104" s="285" t="s">
        <v>135</v>
      </c>
      <c r="E104" s="285" t="s">
        <v>134</v>
      </c>
      <c r="F104" s="287">
        <v>75</v>
      </c>
      <c r="G104" s="287">
        <v>5</v>
      </c>
      <c r="H104" s="287">
        <v>10</v>
      </c>
      <c r="I104" s="288">
        <v>4479</v>
      </c>
      <c r="J104" s="289">
        <v>828</v>
      </c>
      <c r="K104" s="290">
        <f>(J104/G104)</f>
        <v>165.6</v>
      </c>
      <c r="L104" s="291">
        <f t="shared" si="3"/>
        <v>5.409420289855072</v>
      </c>
      <c r="M104" s="292">
        <f>681566+578530+317284.5+141025.5+34373.5+6375+4225+7402.5+1014+4479</f>
        <v>1776275</v>
      </c>
      <c r="N104" s="290">
        <f>64102+57106+32401+16644+4655+1030+644+1623+143+828</f>
        <v>179176</v>
      </c>
      <c r="O104" s="302">
        <f>M104/N104</f>
        <v>9.913576595079698</v>
      </c>
      <c r="P104" s="364">
        <v>1</v>
      </c>
    </row>
    <row r="105" spans="1:16" ht="15">
      <c r="A105" s="66">
        <v>103</v>
      </c>
      <c r="B105" s="281" t="s">
        <v>70</v>
      </c>
      <c r="C105" s="40">
        <v>39766</v>
      </c>
      <c r="D105" s="261" t="s">
        <v>133</v>
      </c>
      <c r="E105" s="261" t="s">
        <v>71</v>
      </c>
      <c r="F105" s="262">
        <v>5</v>
      </c>
      <c r="G105" s="262">
        <v>5</v>
      </c>
      <c r="H105" s="262">
        <v>11</v>
      </c>
      <c r="I105" s="263">
        <v>4467</v>
      </c>
      <c r="J105" s="264">
        <v>800</v>
      </c>
      <c r="K105" s="265">
        <f>J105/G105</f>
        <v>160</v>
      </c>
      <c r="L105" s="266">
        <f t="shared" si="3"/>
        <v>5.58375</v>
      </c>
      <c r="M105" s="267">
        <f>191668+16358.5+8305+0.5+19699.5+16705.5+7289+4467</f>
        <v>264493</v>
      </c>
      <c r="N105" s="268">
        <f>10324+8249+7871+7121+4755+3362+1751+2958+2636+1185+800</f>
        <v>51012</v>
      </c>
      <c r="O105" s="282">
        <f>M105/N105</f>
        <v>5.184917274366816</v>
      </c>
      <c r="P105" s="365"/>
    </row>
    <row r="106" spans="1:16" ht="15">
      <c r="A106" s="66">
        <v>104</v>
      </c>
      <c r="B106" s="293" t="s">
        <v>242</v>
      </c>
      <c r="C106" s="286">
        <v>38800</v>
      </c>
      <c r="D106" s="285" t="s">
        <v>137</v>
      </c>
      <c r="E106" s="285" t="s">
        <v>241</v>
      </c>
      <c r="F106" s="287">
        <v>58</v>
      </c>
      <c r="G106" s="287">
        <v>1</v>
      </c>
      <c r="H106" s="287">
        <v>35</v>
      </c>
      <c r="I106" s="288">
        <v>4398</v>
      </c>
      <c r="J106" s="289">
        <v>880</v>
      </c>
      <c r="K106" s="290">
        <f>J106/G106</f>
        <v>880</v>
      </c>
      <c r="L106" s="291">
        <f t="shared" si="3"/>
        <v>4.997727272727273</v>
      </c>
      <c r="M106" s="292">
        <v>887325.4</v>
      </c>
      <c r="N106" s="290">
        <v>136390</v>
      </c>
      <c r="O106" s="302">
        <f>+M106/N106</f>
        <v>6.505795146271721</v>
      </c>
      <c r="P106" s="364"/>
    </row>
    <row r="107" spans="1:16" ht="15">
      <c r="A107" s="66">
        <v>105</v>
      </c>
      <c r="B107" s="293" t="s">
        <v>240</v>
      </c>
      <c r="C107" s="286">
        <v>39164</v>
      </c>
      <c r="D107" s="285" t="s">
        <v>137</v>
      </c>
      <c r="E107" s="285" t="s">
        <v>241</v>
      </c>
      <c r="F107" s="287">
        <v>118</v>
      </c>
      <c r="G107" s="287">
        <v>1</v>
      </c>
      <c r="H107" s="287">
        <v>31</v>
      </c>
      <c r="I107" s="288">
        <v>4398</v>
      </c>
      <c r="J107" s="289">
        <v>880</v>
      </c>
      <c r="K107" s="290">
        <f>J107/G107</f>
        <v>880</v>
      </c>
      <c r="L107" s="291">
        <f t="shared" si="3"/>
        <v>4.997727272727273</v>
      </c>
      <c r="M107" s="292">
        <v>1513399.5</v>
      </c>
      <c r="N107" s="290">
        <v>202459</v>
      </c>
      <c r="O107" s="302">
        <f>+M107/N107</f>
        <v>7.475091253043826</v>
      </c>
      <c r="P107" s="365">
        <v>1</v>
      </c>
    </row>
    <row r="108" spans="1:16" ht="15">
      <c r="A108" s="66">
        <v>106</v>
      </c>
      <c r="B108" s="293" t="s">
        <v>143</v>
      </c>
      <c r="C108" s="286">
        <v>39794</v>
      </c>
      <c r="D108" s="285" t="s">
        <v>135</v>
      </c>
      <c r="E108" s="285" t="s">
        <v>134</v>
      </c>
      <c r="F108" s="287">
        <v>100</v>
      </c>
      <c r="G108" s="287">
        <v>5</v>
      </c>
      <c r="H108" s="287">
        <v>9</v>
      </c>
      <c r="I108" s="288">
        <v>4348</v>
      </c>
      <c r="J108" s="289">
        <v>976</v>
      </c>
      <c r="K108" s="290">
        <f>(J108/G108)</f>
        <v>195.2</v>
      </c>
      <c r="L108" s="291">
        <f t="shared" si="3"/>
        <v>4.454918032786885</v>
      </c>
      <c r="M108" s="292">
        <f>1276778.5+626123+380324+112679.5+54533+36086+4129+3620.5+4348</f>
        <v>2498621.5</v>
      </c>
      <c r="N108" s="290">
        <f>133555+68793+41581+14968+8873+6454+539+324+976</f>
        <v>276063</v>
      </c>
      <c r="O108" s="302">
        <f>M108/N108</f>
        <v>9.05091048057871</v>
      </c>
      <c r="P108" s="364"/>
    </row>
    <row r="109" spans="1:16" ht="15">
      <c r="A109" s="66">
        <v>107</v>
      </c>
      <c r="B109" s="48" t="s">
        <v>56</v>
      </c>
      <c r="C109" s="39">
        <v>39745</v>
      </c>
      <c r="D109" s="42" t="s">
        <v>137</v>
      </c>
      <c r="E109" s="42" t="s">
        <v>46</v>
      </c>
      <c r="F109" s="54">
        <v>104</v>
      </c>
      <c r="G109" s="54">
        <v>6</v>
      </c>
      <c r="H109" s="54">
        <v>11</v>
      </c>
      <c r="I109" s="332">
        <v>4346</v>
      </c>
      <c r="J109" s="333">
        <v>1003</v>
      </c>
      <c r="K109" s="152">
        <f>IF(I109&lt;&gt;0,J109/G109,"")</f>
        <v>167.16666666666666</v>
      </c>
      <c r="L109" s="153">
        <f>IF(I109&lt;&gt;0,I109/J109,"")</f>
        <v>4.333000997008973</v>
      </c>
      <c r="M109" s="157">
        <f>821522+622841.5+494230+434015.5+185757.5+145248.5+16130+16159+2033+6489+4346</f>
        <v>2748772</v>
      </c>
      <c r="N109" s="155">
        <f>99216+78381+65128+58419+30420+24530+3077+3918+431+1704+1003</f>
        <v>366227</v>
      </c>
      <c r="O109" s="104">
        <f>IF(M109&lt;&gt;0,M109/N109,"")</f>
        <v>7.505650866812114</v>
      </c>
      <c r="P109" s="363">
        <v>1</v>
      </c>
    </row>
    <row r="110" spans="1:16" ht="15">
      <c r="A110" s="66">
        <v>108</v>
      </c>
      <c r="B110" s="293" t="s">
        <v>26</v>
      </c>
      <c r="C110" s="286">
        <v>39808</v>
      </c>
      <c r="D110" s="285" t="s">
        <v>135</v>
      </c>
      <c r="E110" s="285" t="s">
        <v>134</v>
      </c>
      <c r="F110" s="287">
        <v>75</v>
      </c>
      <c r="G110" s="287">
        <v>8</v>
      </c>
      <c r="H110" s="287">
        <v>7</v>
      </c>
      <c r="I110" s="288">
        <v>4225</v>
      </c>
      <c r="J110" s="289">
        <v>644</v>
      </c>
      <c r="K110" s="290">
        <f>(J110/G110)</f>
        <v>80.5</v>
      </c>
      <c r="L110" s="291">
        <f>I110/J110</f>
        <v>6.5605590062111805</v>
      </c>
      <c r="M110" s="292">
        <f>681566+578530+317284.5+141025.5+34373.5+6375+4225</f>
        <v>1763379.5</v>
      </c>
      <c r="N110" s="290">
        <f>64102+57106+32401+16644+4655+1030+644</f>
        <v>176582</v>
      </c>
      <c r="O110" s="302">
        <f>M110/N110</f>
        <v>9.986179225515624</v>
      </c>
      <c r="P110" s="364"/>
    </row>
    <row r="111" spans="1:16" ht="15">
      <c r="A111" s="66">
        <v>109</v>
      </c>
      <c r="B111" s="281" t="s">
        <v>143</v>
      </c>
      <c r="C111" s="40">
        <v>39794</v>
      </c>
      <c r="D111" s="127" t="s">
        <v>135</v>
      </c>
      <c r="E111" s="261" t="s">
        <v>134</v>
      </c>
      <c r="F111" s="262">
        <v>100</v>
      </c>
      <c r="G111" s="262">
        <v>9</v>
      </c>
      <c r="H111" s="262">
        <v>7</v>
      </c>
      <c r="I111" s="273">
        <v>4129</v>
      </c>
      <c r="J111" s="274">
        <v>539</v>
      </c>
      <c r="K111" s="275">
        <f>(J111/G111)</f>
        <v>59.888888888888886</v>
      </c>
      <c r="L111" s="159">
        <f>I111/J111</f>
        <v>7.6604823747680895</v>
      </c>
      <c r="M111" s="276">
        <f>1276778.5+626123+380324+112679.5+54533+36086+4129</f>
        <v>2490653</v>
      </c>
      <c r="N111" s="277">
        <f>133555+68793+41581+14968+8873+6454+539</f>
        <v>274763</v>
      </c>
      <c r="O111" s="105">
        <f>M111/N111</f>
        <v>9.064732150981028</v>
      </c>
      <c r="P111" s="364"/>
    </row>
    <row r="112" spans="1:16" ht="15">
      <c r="A112" s="66">
        <v>110</v>
      </c>
      <c r="B112" s="49" t="s">
        <v>53</v>
      </c>
      <c r="C112" s="40">
        <v>39738</v>
      </c>
      <c r="D112" s="45" t="s">
        <v>135</v>
      </c>
      <c r="E112" s="44" t="s">
        <v>54</v>
      </c>
      <c r="F112" s="41">
        <v>67</v>
      </c>
      <c r="G112" s="41">
        <v>10</v>
      </c>
      <c r="H112" s="41">
        <v>14</v>
      </c>
      <c r="I112" s="330">
        <v>4006</v>
      </c>
      <c r="J112" s="331">
        <v>905</v>
      </c>
      <c r="K112" s="158">
        <f>(J112/G112)</f>
        <v>90.5</v>
      </c>
      <c r="L112" s="159">
        <f>I112/J112</f>
        <v>4.4265193370165745</v>
      </c>
      <c r="M112" s="150">
        <f>167196+176809+54428+37340+38330.5+23467+11581+5867+4382+2577+3552+2137+545+4006</f>
        <v>532217.5</v>
      </c>
      <c r="N112" s="151">
        <f>19168+21164+7719+6215+6404+4964+2339+1306+907+580+859+440+127+905</f>
        <v>73097</v>
      </c>
      <c r="O112" s="105">
        <f>M112/N112</f>
        <v>7.280975963445832</v>
      </c>
      <c r="P112" s="364"/>
    </row>
    <row r="113" spans="1:16" ht="15">
      <c r="A113" s="66">
        <v>111</v>
      </c>
      <c r="B113" s="293" t="s">
        <v>140</v>
      </c>
      <c r="C113" s="286">
        <v>39787</v>
      </c>
      <c r="D113" s="285" t="s">
        <v>133</v>
      </c>
      <c r="E113" s="285" t="s">
        <v>141</v>
      </c>
      <c r="F113" s="287">
        <v>2</v>
      </c>
      <c r="G113" s="287">
        <v>2</v>
      </c>
      <c r="H113" s="287">
        <v>11</v>
      </c>
      <c r="I113" s="288">
        <v>3858</v>
      </c>
      <c r="J113" s="289">
        <v>781</v>
      </c>
      <c r="K113" s="290">
        <f>(J113/G113)</f>
        <v>390.5</v>
      </c>
      <c r="L113" s="291">
        <f>I113/J113</f>
        <v>4.939820742637644</v>
      </c>
      <c r="M113" s="292">
        <f>9280968+4694050.5+1992628+1117778+528440.5+225948.5+100229.5+60712.5+23747.5+18022-1837+3858</f>
        <v>18044546</v>
      </c>
      <c r="N113" s="290">
        <f>1147876+614752+261380+141495+73035+33259+17736+11735+4194+3845-458+781</f>
        <v>2309630</v>
      </c>
      <c r="O113" s="302">
        <f>+M113/N113</f>
        <v>7.812743166654399</v>
      </c>
      <c r="P113" s="364">
        <v>1</v>
      </c>
    </row>
    <row r="114" spans="1:16" ht="15">
      <c r="A114" s="66">
        <v>112</v>
      </c>
      <c r="B114" s="53" t="s">
        <v>58</v>
      </c>
      <c r="C114" s="39">
        <v>39745</v>
      </c>
      <c r="D114" s="45" t="s">
        <v>4</v>
      </c>
      <c r="E114" s="45" t="s">
        <v>59</v>
      </c>
      <c r="F114" s="50">
        <v>72</v>
      </c>
      <c r="G114" s="50">
        <v>1</v>
      </c>
      <c r="H114" s="50">
        <v>13</v>
      </c>
      <c r="I114" s="330">
        <v>3795</v>
      </c>
      <c r="J114" s="331">
        <v>578</v>
      </c>
      <c r="K114" s="152">
        <f>+J114/G114</f>
        <v>578</v>
      </c>
      <c r="L114" s="153">
        <f>+I114/J114</f>
        <v>6.5657439446366785</v>
      </c>
      <c r="M114" s="150">
        <v>1288149</v>
      </c>
      <c r="N114" s="151">
        <v>145860</v>
      </c>
      <c r="O114" s="104">
        <f>+M114/N114</f>
        <v>8.831406828465653</v>
      </c>
      <c r="P114" s="362"/>
    </row>
    <row r="115" spans="1:16" ht="15">
      <c r="A115" s="66">
        <v>113</v>
      </c>
      <c r="B115" s="48" t="s">
        <v>68</v>
      </c>
      <c r="C115" s="39">
        <v>39759</v>
      </c>
      <c r="D115" s="42" t="s">
        <v>137</v>
      </c>
      <c r="E115" s="240" t="s">
        <v>31</v>
      </c>
      <c r="F115" s="54">
        <v>40</v>
      </c>
      <c r="G115" s="54">
        <v>3</v>
      </c>
      <c r="H115" s="54">
        <v>11</v>
      </c>
      <c r="I115" s="332">
        <v>3725</v>
      </c>
      <c r="J115" s="333">
        <v>659</v>
      </c>
      <c r="K115" s="152">
        <f>IF(I115&lt;&gt;0,J115/G115,"")</f>
        <v>219.66666666666666</v>
      </c>
      <c r="L115" s="153">
        <f>IF(I115&lt;&gt;0,I115/J115,"")</f>
        <v>5.652503793626707</v>
      </c>
      <c r="M115" s="157">
        <f>84918+52341+11404+7823+3207+2014+937+2034+556+1450+3725</f>
        <v>170409</v>
      </c>
      <c r="N115" s="155">
        <f>10694+7043+2046+1560+538+345+174+389+77+318+659</f>
        <v>23843</v>
      </c>
      <c r="O115" s="104">
        <f>IF(M115&lt;&gt;0,M115/N115,"")</f>
        <v>7.147129136434174</v>
      </c>
      <c r="P115" s="364">
        <v>1</v>
      </c>
    </row>
    <row r="116" spans="1:16" ht="15">
      <c r="A116" s="66">
        <v>114</v>
      </c>
      <c r="B116" s="293" t="s">
        <v>49</v>
      </c>
      <c r="C116" s="286">
        <v>39710</v>
      </c>
      <c r="D116" s="285" t="s">
        <v>133</v>
      </c>
      <c r="E116" s="285" t="s">
        <v>180</v>
      </c>
      <c r="F116" s="287">
        <v>1</v>
      </c>
      <c r="G116" s="287">
        <v>1</v>
      </c>
      <c r="H116" s="287">
        <v>19</v>
      </c>
      <c r="I116" s="288">
        <v>3655</v>
      </c>
      <c r="J116" s="289">
        <v>1215</v>
      </c>
      <c r="K116" s="290">
        <f>J116/G116</f>
        <v>1215</v>
      </c>
      <c r="L116" s="291">
        <f>I116/J116</f>
        <v>3.0082304526748973</v>
      </c>
      <c r="M116" s="292">
        <f>152576+127511+68854.5+21974+10111.5+7103+7290+0.5+1014+3149+989+3524+0.5+3768+138+2528+257+351.5+573.5+184+3655</f>
        <v>415552</v>
      </c>
      <c r="N116" s="290">
        <f>50018+825+47+65+137+67+1215</f>
        <v>52374</v>
      </c>
      <c r="O116" s="302">
        <f>+M116/N116</f>
        <v>7.93431855500821</v>
      </c>
      <c r="P116" s="362"/>
    </row>
    <row r="117" spans="1:16" ht="15">
      <c r="A117" s="66">
        <v>115</v>
      </c>
      <c r="B117" s="293" t="s">
        <v>143</v>
      </c>
      <c r="C117" s="286">
        <v>39794</v>
      </c>
      <c r="D117" s="285" t="s">
        <v>135</v>
      </c>
      <c r="E117" s="285" t="s">
        <v>134</v>
      </c>
      <c r="F117" s="287">
        <v>100</v>
      </c>
      <c r="G117" s="287">
        <v>4</v>
      </c>
      <c r="H117" s="287">
        <v>8</v>
      </c>
      <c r="I117" s="288">
        <v>3620.5</v>
      </c>
      <c r="J117" s="289">
        <v>324</v>
      </c>
      <c r="K117" s="290">
        <f>(J117/G117)</f>
        <v>81</v>
      </c>
      <c r="L117" s="291">
        <f>I117/J117</f>
        <v>11.174382716049383</v>
      </c>
      <c r="M117" s="292">
        <f>1276778.5+626123+380324+112679.5+54533+36086+4129+3620.5</f>
        <v>2494273.5</v>
      </c>
      <c r="N117" s="290">
        <f>133555+68793+41581+14968+8873+6454+539+324</f>
        <v>275087</v>
      </c>
      <c r="O117" s="302">
        <f>+M117/N117</f>
        <v>9.067216916829949</v>
      </c>
      <c r="P117" s="363"/>
    </row>
    <row r="118" spans="1:16" ht="15">
      <c r="A118" s="66">
        <v>116</v>
      </c>
      <c r="B118" s="293" t="s">
        <v>72</v>
      </c>
      <c r="C118" s="286">
        <v>39773</v>
      </c>
      <c r="D118" s="285" t="s">
        <v>132</v>
      </c>
      <c r="E118" s="285" t="s">
        <v>127</v>
      </c>
      <c r="F118" s="287">
        <v>204</v>
      </c>
      <c r="G118" s="287">
        <v>4</v>
      </c>
      <c r="H118" s="287">
        <v>11</v>
      </c>
      <c r="I118" s="288">
        <v>3611</v>
      </c>
      <c r="J118" s="289">
        <v>1110</v>
      </c>
      <c r="K118" s="290">
        <f>J118/G118</f>
        <v>277.5</v>
      </c>
      <c r="L118" s="291">
        <f>I118/J118</f>
        <v>3.253153153153153</v>
      </c>
      <c r="M118" s="292">
        <v>11430807</v>
      </c>
      <c r="N118" s="290">
        <v>1413852</v>
      </c>
      <c r="O118" s="302">
        <f>+M118/N118</f>
        <v>8.084868147444004</v>
      </c>
      <c r="P118" s="363"/>
    </row>
    <row r="119" spans="1:16" ht="15">
      <c r="A119" s="66">
        <v>117</v>
      </c>
      <c r="B119" s="232" t="s">
        <v>56</v>
      </c>
      <c r="C119" s="216">
        <v>39745</v>
      </c>
      <c r="D119" s="217" t="s">
        <v>137</v>
      </c>
      <c r="E119" s="217" t="s">
        <v>46</v>
      </c>
      <c r="F119" s="218">
        <v>104</v>
      </c>
      <c r="G119" s="218">
        <v>6</v>
      </c>
      <c r="H119" s="218">
        <v>12</v>
      </c>
      <c r="I119" s="338">
        <v>3565</v>
      </c>
      <c r="J119" s="339">
        <v>785</v>
      </c>
      <c r="K119" s="219">
        <f>IF(I119&lt;&gt;0,J119/G119,"")</f>
        <v>130.83333333333334</v>
      </c>
      <c r="L119" s="220">
        <f>IF(I119&lt;&gt;0,I119/J119,"")</f>
        <v>4.54140127388535</v>
      </c>
      <c r="M119" s="221">
        <f>821522+622841.5+494230+434015.5+185757.5+145248.5+16130+16159+2033+6489+4346+3565</f>
        <v>2752337</v>
      </c>
      <c r="N119" s="222">
        <f>99216+78381+65128+58419+30420+24530+3077+3918+431+1704+1003+785</f>
        <v>367012</v>
      </c>
      <c r="O119" s="237">
        <f>IF(M119&lt;&gt;0,M119/N119,"")</f>
        <v>7.4993106492430766</v>
      </c>
      <c r="P119" s="362"/>
    </row>
    <row r="120" spans="1:16" ht="15">
      <c r="A120" s="66">
        <v>118</v>
      </c>
      <c r="B120" s="281" t="s">
        <v>22</v>
      </c>
      <c r="C120" s="286">
        <v>39787</v>
      </c>
      <c r="D120" s="285" t="s">
        <v>132</v>
      </c>
      <c r="E120" s="261" t="s">
        <v>139</v>
      </c>
      <c r="F120" s="287">
        <v>406</v>
      </c>
      <c r="G120" s="287">
        <v>7</v>
      </c>
      <c r="H120" s="287">
        <v>9</v>
      </c>
      <c r="I120" s="288">
        <v>3565</v>
      </c>
      <c r="J120" s="289">
        <v>541</v>
      </c>
      <c r="K120" s="290">
        <f>J120/G120</f>
        <v>77.28571428571429</v>
      </c>
      <c r="L120" s="291">
        <f>I120/J120</f>
        <v>6.589648798521257</v>
      </c>
      <c r="M120" s="292">
        <v>30389114</v>
      </c>
      <c r="N120" s="290">
        <v>3699746</v>
      </c>
      <c r="O120" s="302">
        <f aca="true" t="shared" si="4" ref="O120:O127">+M120/N120</f>
        <v>8.213837922927683</v>
      </c>
      <c r="P120" s="363">
        <v>1</v>
      </c>
    </row>
    <row r="121" spans="1:16" ht="15">
      <c r="A121" s="66">
        <v>119</v>
      </c>
      <c r="B121" s="53" t="s">
        <v>62</v>
      </c>
      <c r="C121" s="39">
        <v>39689</v>
      </c>
      <c r="D121" s="127" t="s">
        <v>131</v>
      </c>
      <c r="E121" s="127" t="s">
        <v>63</v>
      </c>
      <c r="F121" s="50">
        <v>100</v>
      </c>
      <c r="G121" s="50">
        <v>4</v>
      </c>
      <c r="H121" s="50">
        <v>12</v>
      </c>
      <c r="I121" s="273">
        <v>3423</v>
      </c>
      <c r="J121" s="274">
        <v>1037</v>
      </c>
      <c r="K121" s="275">
        <f>J121/G121</f>
        <v>259.25</v>
      </c>
      <c r="L121" s="159">
        <f>I121/J121</f>
        <v>3.3008678881388622</v>
      </c>
      <c r="M121" s="276">
        <f>17818+1364876+864151+384239+240974+16635+2871+5064-50+5187+276+2654+1278+3423</f>
        <v>2909396</v>
      </c>
      <c r="N121" s="277">
        <f>1487+139515+89937+39711+26370+2302+499+787-9+1471+55+1243+206+1037</f>
        <v>304611</v>
      </c>
      <c r="O121" s="105">
        <f t="shared" si="4"/>
        <v>9.551184953924842</v>
      </c>
      <c r="P121" s="363">
        <v>1</v>
      </c>
    </row>
    <row r="122" spans="1:16" ht="15">
      <c r="A122" s="66">
        <v>120</v>
      </c>
      <c r="B122" s="293" t="s">
        <v>205</v>
      </c>
      <c r="C122" s="286">
        <v>39808</v>
      </c>
      <c r="D122" s="285" t="s">
        <v>132</v>
      </c>
      <c r="E122" s="285" t="s">
        <v>112</v>
      </c>
      <c r="F122" s="287">
        <v>112</v>
      </c>
      <c r="G122" s="287">
        <v>2</v>
      </c>
      <c r="H122" s="287">
        <v>12</v>
      </c>
      <c r="I122" s="288">
        <v>3376</v>
      </c>
      <c r="J122" s="289">
        <v>555</v>
      </c>
      <c r="K122" s="290">
        <f>J122/G122</f>
        <v>277.5</v>
      </c>
      <c r="L122" s="291">
        <f>+I122/J122</f>
        <v>6.082882882882883</v>
      </c>
      <c r="M122" s="292">
        <v>2041864</v>
      </c>
      <c r="N122" s="290">
        <v>210512</v>
      </c>
      <c r="O122" s="302">
        <f t="shared" si="4"/>
        <v>9.699513566922551</v>
      </c>
      <c r="P122" s="387"/>
    </row>
    <row r="123" spans="1:16" ht="15">
      <c r="A123" s="66">
        <v>121</v>
      </c>
      <c r="B123" s="293" t="s">
        <v>25</v>
      </c>
      <c r="C123" s="286">
        <v>39808</v>
      </c>
      <c r="D123" s="285" t="s">
        <v>132</v>
      </c>
      <c r="E123" s="285" t="s">
        <v>112</v>
      </c>
      <c r="F123" s="287">
        <v>112</v>
      </c>
      <c r="G123" s="287">
        <v>5</v>
      </c>
      <c r="H123" s="287">
        <v>10</v>
      </c>
      <c r="I123" s="288">
        <v>3272</v>
      </c>
      <c r="J123" s="289">
        <v>611</v>
      </c>
      <c r="K123" s="290">
        <f>J123/G123</f>
        <v>122.2</v>
      </c>
      <c r="L123" s="291">
        <f>+I123/J123</f>
        <v>5.355155482815057</v>
      </c>
      <c r="M123" s="292">
        <v>2035193</v>
      </c>
      <c r="N123" s="290">
        <v>209290</v>
      </c>
      <c r="O123" s="302">
        <f t="shared" si="4"/>
        <v>9.72427254049405</v>
      </c>
      <c r="P123" s="364"/>
    </row>
    <row r="124" spans="1:16" ht="15">
      <c r="A124" s="66">
        <v>122</v>
      </c>
      <c r="B124" s="293" t="s">
        <v>146</v>
      </c>
      <c r="C124" s="286">
        <v>39801</v>
      </c>
      <c r="D124" s="285" t="s">
        <v>137</v>
      </c>
      <c r="E124" s="285" t="s">
        <v>147</v>
      </c>
      <c r="F124" s="287">
        <v>84</v>
      </c>
      <c r="G124" s="287">
        <v>2</v>
      </c>
      <c r="H124" s="287">
        <v>12</v>
      </c>
      <c r="I124" s="288">
        <v>3267</v>
      </c>
      <c r="J124" s="289">
        <v>653</v>
      </c>
      <c r="K124" s="290">
        <f>J124/G124</f>
        <v>326.5</v>
      </c>
      <c r="L124" s="291">
        <f>I124/J124</f>
        <v>5.003062787136294</v>
      </c>
      <c r="M124" s="292">
        <v>616632</v>
      </c>
      <c r="N124" s="290">
        <v>74493</v>
      </c>
      <c r="O124" s="302">
        <f t="shared" si="4"/>
        <v>8.27771736941726</v>
      </c>
      <c r="P124" s="362">
        <v>1</v>
      </c>
    </row>
    <row r="125" spans="1:16" ht="15">
      <c r="A125" s="66">
        <v>123</v>
      </c>
      <c r="B125" s="293" t="s">
        <v>146</v>
      </c>
      <c r="C125" s="286">
        <v>39801</v>
      </c>
      <c r="D125" s="285" t="s">
        <v>137</v>
      </c>
      <c r="E125" s="285" t="s">
        <v>147</v>
      </c>
      <c r="F125" s="287">
        <v>84</v>
      </c>
      <c r="G125" s="287">
        <v>8</v>
      </c>
      <c r="H125" s="287">
        <v>8</v>
      </c>
      <c r="I125" s="288">
        <v>3225</v>
      </c>
      <c r="J125" s="289">
        <v>545</v>
      </c>
      <c r="K125" s="290">
        <f>IF(I125&lt;&gt;0,J125/G125,"")</f>
        <v>68.125</v>
      </c>
      <c r="L125" s="291">
        <f>I125/J125</f>
        <v>5.91743119266055</v>
      </c>
      <c r="M125" s="292">
        <f>369313.5+145108.5+43813+31258+11772.5+5392.5+2080+3225</f>
        <v>611963</v>
      </c>
      <c r="N125" s="290">
        <f>41017+16460+6346+5364+2357+1094+419+545</f>
        <v>73602</v>
      </c>
      <c r="O125" s="302">
        <f t="shared" si="4"/>
        <v>8.314488736719111</v>
      </c>
      <c r="P125" s="364"/>
    </row>
    <row r="126" spans="1:16" ht="15">
      <c r="A126" s="66">
        <v>124</v>
      </c>
      <c r="B126" s="293" t="s">
        <v>70</v>
      </c>
      <c r="C126" s="286">
        <v>39766</v>
      </c>
      <c r="D126" s="285" t="s">
        <v>133</v>
      </c>
      <c r="E126" s="285" t="s">
        <v>71</v>
      </c>
      <c r="F126" s="287">
        <v>3</v>
      </c>
      <c r="G126" s="287">
        <v>3</v>
      </c>
      <c r="H126" s="287">
        <v>12</v>
      </c>
      <c r="I126" s="288">
        <v>3138</v>
      </c>
      <c r="J126" s="289">
        <v>596</v>
      </c>
      <c r="K126" s="290">
        <f>J126/G126</f>
        <v>198.66666666666666</v>
      </c>
      <c r="L126" s="291">
        <f>I126/J126</f>
        <v>5.26510067114094</v>
      </c>
      <c r="M126" s="292">
        <f>191668+16358.5+8305+0.5+19699.5+16705.5+7289+4467+3138</f>
        <v>267631</v>
      </c>
      <c r="N126" s="290">
        <f>10324+8249+7871+7121+4755+3362+1751+2958+2636+1185+800+596</f>
        <v>51608</v>
      </c>
      <c r="O126" s="302">
        <f t="shared" si="4"/>
        <v>5.1858432801116106</v>
      </c>
      <c r="P126" s="364"/>
    </row>
    <row r="127" spans="1:16" ht="15">
      <c r="A127" s="66">
        <v>125</v>
      </c>
      <c r="B127" s="293" t="s">
        <v>72</v>
      </c>
      <c r="C127" s="286">
        <v>39773</v>
      </c>
      <c r="D127" s="285" t="s">
        <v>132</v>
      </c>
      <c r="E127" s="285" t="s">
        <v>127</v>
      </c>
      <c r="F127" s="287">
        <v>204</v>
      </c>
      <c r="G127" s="287">
        <v>2</v>
      </c>
      <c r="H127" s="287">
        <v>13</v>
      </c>
      <c r="I127" s="288">
        <v>3039</v>
      </c>
      <c r="J127" s="289">
        <v>1034</v>
      </c>
      <c r="K127" s="290">
        <f>J127/G127</f>
        <v>517</v>
      </c>
      <c r="L127" s="291">
        <f>+I127/J127</f>
        <v>2.9390715667311413</v>
      </c>
      <c r="M127" s="292">
        <v>11440084</v>
      </c>
      <c r="N127" s="290">
        <v>1417157</v>
      </c>
      <c r="O127" s="302">
        <f t="shared" si="4"/>
        <v>8.072559356514486</v>
      </c>
      <c r="P127" s="364"/>
    </row>
    <row r="128" spans="1:16" ht="15">
      <c r="A128" s="66">
        <v>126</v>
      </c>
      <c r="B128" s="53" t="s">
        <v>142</v>
      </c>
      <c r="C128" s="39">
        <v>39780</v>
      </c>
      <c r="D128" s="127" t="s">
        <v>79</v>
      </c>
      <c r="E128" s="127" t="s">
        <v>48</v>
      </c>
      <c r="F128" s="54">
        <v>3</v>
      </c>
      <c r="G128" s="54">
        <v>3</v>
      </c>
      <c r="H128" s="54">
        <v>6</v>
      </c>
      <c r="I128" s="341">
        <v>2890</v>
      </c>
      <c r="J128" s="342">
        <v>437</v>
      </c>
      <c r="K128" s="158">
        <f>(J128/G128)</f>
        <v>145.66666666666666</v>
      </c>
      <c r="L128" s="159">
        <f aca="true" t="shared" si="5" ref="L128:L134">I128/J128</f>
        <v>6.613272311212815</v>
      </c>
      <c r="M128" s="160">
        <v>45175.5</v>
      </c>
      <c r="N128" s="161">
        <v>4356</v>
      </c>
      <c r="O128" s="105">
        <f>M128/N128</f>
        <v>10.37086776859504</v>
      </c>
      <c r="P128" s="363">
        <v>1</v>
      </c>
    </row>
    <row r="129" spans="1:16" ht="15">
      <c r="A129" s="66">
        <v>127</v>
      </c>
      <c r="B129" s="232" t="s">
        <v>55</v>
      </c>
      <c r="C129" s="216">
        <v>39750</v>
      </c>
      <c r="D129" s="217" t="s">
        <v>131</v>
      </c>
      <c r="E129" s="217" t="s">
        <v>30</v>
      </c>
      <c r="F129" s="218">
        <v>198</v>
      </c>
      <c r="G129" s="218">
        <v>2</v>
      </c>
      <c r="H129" s="218">
        <v>12</v>
      </c>
      <c r="I129" s="324">
        <v>2787</v>
      </c>
      <c r="J129" s="325">
        <v>717</v>
      </c>
      <c r="K129" s="223">
        <f>J129/G129</f>
        <v>358.5</v>
      </c>
      <c r="L129" s="224">
        <f t="shared" si="5"/>
        <v>3.8870292887029287</v>
      </c>
      <c r="M129" s="225">
        <f>4975832+1882135+1034271+412191+151618-1635+10999+12408+14293+6423+2375+2787</f>
        <v>8503697</v>
      </c>
      <c r="N129" s="226">
        <f>642956+245951+129523+51207+21082-161+1623+2391+2711+1404+495+717</f>
        <v>1099899</v>
      </c>
      <c r="O129" s="233">
        <f>+M129/N129</f>
        <v>7.731343514268128</v>
      </c>
      <c r="P129" s="364"/>
    </row>
    <row r="130" spans="1:16" ht="15">
      <c r="A130" s="66">
        <v>128</v>
      </c>
      <c r="B130" s="281" t="s">
        <v>69</v>
      </c>
      <c r="C130" s="40">
        <v>39766</v>
      </c>
      <c r="D130" s="127" t="s">
        <v>135</v>
      </c>
      <c r="E130" s="261" t="s">
        <v>50</v>
      </c>
      <c r="F130" s="262">
        <v>20</v>
      </c>
      <c r="G130" s="262">
        <v>4</v>
      </c>
      <c r="H130" s="262">
        <v>11</v>
      </c>
      <c r="I130" s="273">
        <v>2775</v>
      </c>
      <c r="J130" s="274">
        <v>544</v>
      </c>
      <c r="K130" s="275">
        <f>(J130/G130)</f>
        <v>136</v>
      </c>
      <c r="L130" s="159">
        <f t="shared" si="5"/>
        <v>5.101102941176471</v>
      </c>
      <c r="M130" s="276">
        <f>109364.5+38539+31287+12101+5368+8640.5+12331+9410+9143+5719+2775</f>
        <v>244678</v>
      </c>
      <c r="N130" s="277">
        <f>11866+4674+4443+2133+1061+1670+2334+1542+1728+1224+544</f>
        <v>33219</v>
      </c>
      <c r="O130" s="105">
        <f>M130/N130</f>
        <v>7.365604021794756</v>
      </c>
      <c r="P130" s="362"/>
    </row>
    <row r="131" spans="1:16" ht="15">
      <c r="A131" s="66">
        <v>129</v>
      </c>
      <c r="B131" s="49" t="s">
        <v>73</v>
      </c>
      <c r="C131" s="40">
        <v>39772</v>
      </c>
      <c r="D131" s="45" t="s">
        <v>135</v>
      </c>
      <c r="E131" s="44" t="s">
        <v>106</v>
      </c>
      <c r="F131" s="41">
        <v>195</v>
      </c>
      <c r="G131" s="41">
        <v>5</v>
      </c>
      <c r="H131" s="41">
        <v>9</v>
      </c>
      <c r="I131" s="330">
        <v>2692</v>
      </c>
      <c r="J131" s="331">
        <v>553</v>
      </c>
      <c r="K131" s="158">
        <f>(J131/G131)</f>
        <v>110.6</v>
      </c>
      <c r="L131" s="159">
        <f t="shared" si="5"/>
        <v>4.867992766726944</v>
      </c>
      <c r="M131" s="150">
        <f>1011017+512350.5+217314+64545+38656.5+8087+9376.5+5786+2692</f>
        <v>1869824.5</v>
      </c>
      <c r="N131" s="151">
        <f>136878+68007+31396+9807+8372+1564+2234+1216+553</f>
        <v>260027</v>
      </c>
      <c r="O131" s="105">
        <f>M131/N131</f>
        <v>7.190885946459406</v>
      </c>
      <c r="P131" s="364"/>
    </row>
    <row r="132" spans="1:16" ht="15">
      <c r="A132" s="66">
        <v>130</v>
      </c>
      <c r="B132" s="293" t="s">
        <v>26</v>
      </c>
      <c r="C132" s="286">
        <v>39808</v>
      </c>
      <c r="D132" s="285" t="s">
        <v>135</v>
      </c>
      <c r="E132" s="285" t="s">
        <v>134</v>
      </c>
      <c r="F132" s="287">
        <v>75</v>
      </c>
      <c r="G132" s="287">
        <v>3</v>
      </c>
      <c r="H132" s="287">
        <v>11</v>
      </c>
      <c r="I132" s="288">
        <v>2688</v>
      </c>
      <c r="J132" s="289">
        <v>480</v>
      </c>
      <c r="K132" s="290">
        <f>(J132/G132)</f>
        <v>160</v>
      </c>
      <c r="L132" s="291">
        <f t="shared" si="5"/>
        <v>5.6</v>
      </c>
      <c r="M132" s="292">
        <f>681566+578530+317284.5+141025.5+34373.5+6375+4225+7402.5+1014+4479+2688</f>
        <v>1778963</v>
      </c>
      <c r="N132" s="290">
        <f>64102+57106+32401+16644+4655+1030+644+1623+143+828+480</f>
        <v>179656</v>
      </c>
      <c r="O132" s="302">
        <f>M132/N132</f>
        <v>9.902051698802156</v>
      </c>
      <c r="P132" s="363"/>
    </row>
    <row r="133" spans="1:16" ht="15">
      <c r="A133" s="66">
        <v>131</v>
      </c>
      <c r="B133" s="232" t="s">
        <v>62</v>
      </c>
      <c r="C133" s="216">
        <v>39689</v>
      </c>
      <c r="D133" s="217" t="s">
        <v>131</v>
      </c>
      <c r="E133" s="217" t="s">
        <v>63</v>
      </c>
      <c r="F133" s="218">
        <v>100</v>
      </c>
      <c r="G133" s="218">
        <v>2</v>
      </c>
      <c r="H133" s="218">
        <v>10</v>
      </c>
      <c r="I133" s="324">
        <v>2654</v>
      </c>
      <c r="J133" s="325">
        <v>1243</v>
      </c>
      <c r="K133" s="223">
        <f>J133/G133</f>
        <v>621.5</v>
      </c>
      <c r="L133" s="224">
        <f t="shared" si="5"/>
        <v>2.1351568785197106</v>
      </c>
      <c r="M133" s="225">
        <f>17818+1364876+864151+384239+240974+16635+2871+5064-50+5187+276+2654</f>
        <v>2904695</v>
      </c>
      <c r="N133" s="226">
        <f>1487+139515+89937+39711+26370+2302+499+787-9+1471+55+1243</f>
        <v>303368</v>
      </c>
      <c r="O133" s="233">
        <f>+M133/N133</f>
        <v>9.574823316895651</v>
      </c>
      <c r="P133" s="364">
        <v>1</v>
      </c>
    </row>
    <row r="134" spans="1:16" ht="15">
      <c r="A134" s="66">
        <v>132</v>
      </c>
      <c r="B134" s="49" t="s">
        <v>67</v>
      </c>
      <c r="C134" s="40">
        <v>39759</v>
      </c>
      <c r="D134" s="45" t="s">
        <v>135</v>
      </c>
      <c r="E134" s="44" t="s">
        <v>144</v>
      </c>
      <c r="F134" s="41">
        <v>93</v>
      </c>
      <c r="G134" s="41">
        <v>3</v>
      </c>
      <c r="H134" s="41">
        <v>11</v>
      </c>
      <c r="I134" s="330">
        <v>2635</v>
      </c>
      <c r="J134" s="331">
        <v>636</v>
      </c>
      <c r="K134" s="158">
        <f>(J134/G134)</f>
        <v>212</v>
      </c>
      <c r="L134" s="159">
        <f t="shared" si="5"/>
        <v>4.1430817610062896</v>
      </c>
      <c r="M134" s="150">
        <f>224223+136351+27895+24212+1274+3482+7147+2804+5279+2025+2635</f>
        <v>437327</v>
      </c>
      <c r="N134" s="151">
        <f>27969+18593+4268+4646+311+857+1472+745+1285+386+636</f>
        <v>61168</v>
      </c>
      <c r="O134" s="105">
        <f>M134/N134</f>
        <v>7.149604368297148</v>
      </c>
      <c r="P134" s="364">
        <v>1</v>
      </c>
    </row>
    <row r="135" spans="1:16" ht="15">
      <c r="A135" s="66">
        <v>133</v>
      </c>
      <c r="B135" s="293" t="s">
        <v>25</v>
      </c>
      <c r="C135" s="286">
        <v>39808</v>
      </c>
      <c r="D135" s="285" t="s">
        <v>132</v>
      </c>
      <c r="E135" s="285" t="s">
        <v>112</v>
      </c>
      <c r="F135" s="287">
        <v>112</v>
      </c>
      <c r="G135" s="287">
        <v>6</v>
      </c>
      <c r="H135" s="287">
        <v>11</v>
      </c>
      <c r="I135" s="288">
        <v>2596</v>
      </c>
      <c r="J135" s="289">
        <v>528</v>
      </c>
      <c r="K135" s="290">
        <f>J135/G135</f>
        <v>88</v>
      </c>
      <c r="L135" s="291">
        <f>+I135/J135</f>
        <v>4.916666666666667</v>
      </c>
      <c r="M135" s="292">
        <v>2037789</v>
      </c>
      <c r="N135" s="290">
        <v>209818</v>
      </c>
      <c r="O135" s="302">
        <f>+M135/N135</f>
        <v>9.71217436063636</v>
      </c>
      <c r="P135" s="362">
        <v>1</v>
      </c>
    </row>
    <row r="136" spans="1:16" ht="15">
      <c r="A136" s="66">
        <v>134</v>
      </c>
      <c r="B136" s="48" t="s">
        <v>56</v>
      </c>
      <c r="C136" s="39">
        <v>39745</v>
      </c>
      <c r="D136" s="42" t="s">
        <v>137</v>
      </c>
      <c r="E136" s="240" t="s">
        <v>46</v>
      </c>
      <c r="F136" s="54">
        <v>104</v>
      </c>
      <c r="G136" s="54">
        <v>4</v>
      </c>
      <c r="H136" s="54">
        <v>13</v>
      </c>
      <c r="I136" s="332">
        <v>2540</v>
      </c>
      <c r="J136" s="333">
        <v>507</v>
      </c>
      <c r="K136" s="152">
        <f>IF(I136&lt;&gt;0,J136/G136,"")</f>
        <v>126.75</v>
      </c>
      <c r="L136" s="153">
        <f>IF(I136&lt;&gt;0,I136/J136,"")</f>
        <v>5.009861932938856</v>
      </c>
      <c r="M136" s="157">
        <f>821522+622841.5+494230+434015.5+185757.5+145248.5+16130+16159+2033+6489+4346+3565+2540</f>
        <v>2754877</v>
      </c>
      <c r="N136" s="155">
        <f>99216+78381+65128+58419+30420+24530+3077+3918+431+1704+1003+785+507</f>
        <v>367519</v>
      </c>
      <c r="O136" s="104">
        <f>IF(M136&lt;&gt;0,M136/N136,"")</f>
        <v>7.495876403668926</v>
      </c>
      <c r="P136" s="364">
        <v>1</v>
      </c>
    </row>
    <row r="137" spans="1:16" ht="15">
      <c r="A137" s="66">
        <v>135</v>
      </c>
      <c r="B137" s="281" t="s">
        <v>163</v>
      </c>
      <c r="C137" s="40">
        <v>39717</v>
      </c>
      <c r="D137" s="261" t="s">
        <v>133</v>
      </c>
      <c r="E137" s="261" t="s">
        <v>9</v>
      </c>
      <c r="F137" s="262">
        <v>1</v>
      </c>
      <c r="G137" s="262">
        <v>1</v>
      </c>
      <c r="H137" s="262">
        <v>12</v>
      </c>
      <c r="I137" s="263">
        <v>2408.5</v>
      </c>
      <c r="J137" s="264">
        <v>602</v>
      </c>
      <c r="K137" s="275">
        <f>J137/G137</f>
        <v>602</v>
      </c>
      <c r="L137" s="159">
        <f>I137/J137</f>
        <v>4.000830564784053</v>
      </c>
      <c r="M137" s="267">
        <f>2923050.5+2408+0.5</f>
        <v>2925459</v>
      </c>
      <c r="N137" s="268">
        <f>394197+602</f>
        <v>394799</v>
      </c>
      <c r="O137" s="105">
        <f aca="true" t="shared" si="6" ref="O137:O142">+M137/N137</f>
        <v>7.409995972634176</v>
      </c>
      <c r="P137" s="363"/>
    </row>
    <row r="138" spans="1:16" ht="15">
      <c r="A138" s="66">
        <v>136</v>
      </c>
      <c r="B138" s="48" t="s">
        <v>55</v>
      </c>
      <c r="C138" s="39">
        <v>39750</v>
      </c>
      <c r="D138" s="43" t="s">
        <v>131</v>
      </c>
      <c r="E138" s="42" t="s">
        <v>30</v>
      </c>
      <c r="F138" s="54">
        <v>198</v>
      </c>
      <c r="G138" s="54">
        <v>6</v>
      </c>
      <c r="H138" s="54">
        <v>11</v>
      </c>
      <c r="I138" s="330">
        <v>2375</v>
      </c>
      <c r="J138" s="331">
        <v>495</v>
      </c>
      <c r="K138" s="158">
        <f>J138/G138</f>
        <v>82.5</v>
      </c>
      <c r="L138" s="159">
        <f>I138/J138</f>
        <v>4.797979797979798</v>
      </c>
      <c r="M138" s="150">
        <f>4975832+1882135+1034271+412191+151618-1635+10999+12408+14293+6423+2375</f>
        <v>8500910</v>
      </c>
      <c r="N138" s="151">
        <f>642956+245951+129523+51207+21082-161+1623+2391+2711+1404+495</f>
        <v>1099182</v>
      </c>
      <c r="O138" s="105">
        <f t="shared" si="6"/>
        <v>7.733851172963167</v>
      </c>
      <c r="P138" s="364">
        <v>1</v>
      </c>
    </row>
    <row r="139" spans="1:16" ht="15">
      <c r="A139" s="66">
        <v>137</v>
      </c>
      <c r="B139" s="293" t="s">
        <v>56</v>
      </c>
      <c r="C139" s="286">
        <v>39745</v>
      </c>
      <c r="D139" s="285" t="s">
        <v>137</v>
      </c>
      <c r="E139" s="285" t="s">
        <v>46</v>
      </c>
      <c r="F139" s="287">
        <v>104</v>
      </c>
      <c r="G139" s="287">
        <v>2</v>
      </c>
      <c r="H139" s="287">
        <v>17</v>
      </c>
      <c r="I139" s="288">
        <v>2328</v>
      </c>
      <c r="J139" s="289">
        <v>426</v>
      </c>
      <c r="K139" s="290">
        <f>IF(I139&lt;&gt;0,J139/G139,"")</f>
        <v>213</v>
      </c>
      <c r="L139" s="291">
        <f>IF(I139&lt;&gt;0,I139/J139,"")</f>
        <v>5.464788732394366</v>
      </c>
      <c r="M139" s="292">
        <f>821522+622841.5+494230+434015.5+185757.5+145248.5+16130+16159+2033+6489+4346+3565+2540+1323+139+686+2328</f>
        <v>2759353</v>
      </c>
      <c r="N139" s="290">
        <f>99216+78381+65128+58419+30420+24530+3077+3918+431+1704+1003+785+507+195+19+106+426</f>
        <v>368265</v>
      </c>
      <c r="O139" s="302">
        <f t="shared" si="6"/>
        <v>7.492846184133708</v>
      </c>
      <c r="P139" s="363"/>
    </row>
    <row r="140" spans="1:16" ht="15">
      <c r="A140" s="66">
        <v>138</v>
      </c>
      <c r="B140" s="293" t="s">
        <v>168</v>
      </c>
      <c r="C140" s="286">
        <v>39703</v>
      </c>
      <c r="D140" s="285" t="s">
        <v>202</v>
      </c>
      <c r="E140" s="285" t="s">
        <v>169</v>
      </c>
      <c r="F140" s="287">
        <v>16</v>
      </c>
      <c r="G140" s="287">
        <v>2</v>
      </c>
      <c r="H140" s="287">
        <v>14</v>
      </c>
      <c r="I140" s="288">
        <v>2287</v>
      </c>
      <c r="J140" s="289">
        <v>374</v>
      </c>
      <c r="K140" s="290">
        <f>J140/G140</f>
        <v>187</v>
      </c>
      <c r="L140" s="291">
        <f>I140/J140</f>
        <v>6.114973262032086</v>
      </c>
      <c r="M140" s="292">
        <v>76575</v>
      </c>
      <c r="N140" s="290">
        <v>10553</v>
      </c>
      <c r="O140" s="302">
        <f t="shared" si="6"/>
        <v>7.256230455794561</v>
      </c>
      <c r="P140" s="363">
        <v>1</v>
      </c>
    </row>
    <row r="141" spans="1:16" ht="15">
      <c r="A141" s="66">
        <v>139</v>
      </c>
      <c r="B141" s="293" t="s">
        <v>70</v>
      </c>
      <c r="C141" s="286">
        <v>39766</v>
      </c>
      <c r="D141" s="285" t="s">
        <v>133</v>
      </c>
      <c r="E141" s="285" t="s">
        <v>71</v>
      </c>
      <c r="F141" s="287">
        <v>3</v>
      </c>
      <c r="G141" s="287">
        <v>3</v>
      </c>
      <c r="H141" s="287">
        <v>13</v>
      </c>
      <c r="I141" s="288">
        <v>2267</v>
      </c>
      <c r="J141" s="289">
        <v>440</v>
      </c>
      <c r="K141" s="290">
        <f>J141/G141</f>
        <v>146.66666666666666</v>
      </c>
      <c r="L141" s="291">
        <f>I141/J141</f>
        <v>5.152272727272727</v>
      </c>
      <c r="M141" s="292">
        <f>191668+16358.5+8305+0.5+19699.5+16705.5+7289+4467+3138+2267</f>
        <v>269898</v>
      </c>
      <c r="N141" s="290">
        <f>10324+8249+7871+7121+4755+3362+1751+2958+2636+1185+800+596+440</f>
        <v>52048</v>
      </c>
      <c r="O141" s="302">
        <f t="shared" si="6"/>
        <v>5.185559483553643</v>
      </c>
      <c r="P141" s="362">
        <v>1</v>
      </c>
    </row>
    <row r="142" spans="1:16" ht="15">
      <c r="A142" s="66">
        <v>140</v>
      </c>
      <c r="B142" s="293" t="s">
        <v>44</v>
      </c>
      <c r="C142" s="286">
        <v>39780</v>
      </c>
      <c r="D142" s="285" t="s">
        <v>132</v>
      </c>
      <c r="E142" s="285" t="s">
        <v>128</v>
      </c>
      <c r="F142" s="287">
        <v>121</v>
      </c>
      <c r="G142" s="287">
        <v>6</v>
      </c>
      <c r="H142" s="287">
        <v>12</v>
      </c>
      <c r="I142" s="288">
        <v>2217</v>
      </c>
      <c r="J142" s="289">
        <v>602</v>
      </c>
      <c r="K142" s="290">
        <f>J142/G142</f>
        <v>100.33333333333333</v>
      </c>
      <c r="L142" s="291">
        <f>+I142/J142</f>
        <v>3.6827242524916945</v>
      </c>
      <c r="M142" s="292">
        <v>3455066</v>
      </c>
      <c r="N142" s="290">
        <v>405547</v>
      </c>
      <c r="O142" s="302">
        <f t="shared" si="6"/>
        <v>8.519520548789659</v>
      </c>
      <c r="P142" s="364"/>
    </row>
    <row r="143" spans="1:16" ht="15">
      <c r="A143" s="66">
        <v>141</v>
      </c>
      <c r="B143" s="281" t="s">
        <v>67</v>
      </c>
      <c r="C143" s="40">
        <v>39759</v>
      </c>
      <c r="D143" s="127" t="s">
        <v>135</v>
      </c>
      <c r="E143" s="261" t="s">
        <v>144</v>
      </c>
      <c r="F143" s="262">
        <v>93</v>
      </c>
      <c r="G143" s="262">
        <v>2</v>
      </c>
      <c r="H143" s="262">
        <v>12</v>
      </c>
      <c r="I143" s="273">
        <v>2196</v>
      </c>
      <c r="J143" s="274">
        <v>549</v>
      </c>
      <c r="K143" s="275">
        <f>(J143/G143)</f>
        <v>274.5</v>
      </c>
      <c r="L143" s="159">
        <f>I143/J143</f>
        <v>4</v>
      </c>
      <c r="M143" s="276">
        <f>224223+136351+27895+24212+1274+3482+7147+2804+5279+2025+2635+2196</f>
        <v>439523</v>
      </c>
      <c r="N143" s="277">
        <f>27969+18593+4268+4646+311+857+1472+745+1285+386+636+549</f>
        <v>61717</v>
      </c>
      <c r="O143" s="105">
        <f>M143/N143</f>
        <v>7.121587245005428</v>
      </c>
      <c r="P143" s="364"/>
    </row>
    <row r="144" spans="1:16" ht="15">
      <c r="A144" s="66">
        <v>142</v>
      </c>
      <c r="B144" s="232" t="s">
        <v>41</v>
      </c>
      <c r="C144" s="216">
        <v>39745</v>
      </c>
      <c r="D144" s="217" t="s">
        <v>131</v>
      </c>
      <c r="E144" s="217" t="s">
        <v>35</v>
      </c>
      <c r="F144" s="218">
        <v>202</v>
      </c>
      <c r="G144" s="218">
        <v>2</v>
      </c>
      <c r="H144" s="218">
        <v>11</v>
      </c>
      <c r="I144" s="324">
        <v>2189</v>
      </c>
      <c r="J144" s="325">
        <v>433</v>
      </c>
      <c r="K144" s="223">
        <f>J144/G144</f>
        <v>216.5</v>
      </c>
      <c r="L144" s="224">
        <f>I144/J144</f>
        <v>5.055427251732102</v>
      </c>
      <c r="M144" s="225">
        <f>2979211+551475+289248+35506+23768+5044+549+3932+1192+2189</f>
        <v>3892114</v>
      </c>
      <c r="N144" s="226">
        <f>374252+72341+40702+5164+4326+1290+108+783+296+433</f>
        <v>499695</v>
      </c>
      <c r="O144" s="233">
        <f>+M144/N144</f>
        <v>7.788979277359189</v>
      </c>
      <c r="P144" s="364">
        <v>1</v>
      </c>
    </row>
    <row r="145" spans="1:16" ht="15">
      <c r="A145" s="66">
        <v>143</v>
      </c>
      <c r="B145" s="293" t="s">
        <v>64</v>
      </c>
      <c r="C145" s="286">
        <v>39759</v>
      </c>
      <c r="D145" s="285" t="s">
        <v>65</v>
      </c>
      <c r="E145" s="285" t="s">
        <v>66</v>
      </c>
      <c r="F145" s="287">
        <v>6</v>
      </c>
      <c r="G145" s="287">
        <v>6</v>
      </c>
      <c r="H145" s="287">
        <v>19</v>
      </c>
      <c r="I145" s="288">
        <v>2175</v>
      </c>
      <c r="J145" s="289">
        <v>333</v>
      </c>
      <c r="K145" s="290">
        <f>J145/G145</f>
        <v>55.5</v>
      </c>
      <c r="L145" s="291">
        <f>I145/J145</f>
        <v>6.531531531531532</v>
      </c>
      <c r="M145" s="292">
        <v>23358862.5</v>
      </c>
      <c r="N145" s="290">
        <v>2777586</v>
      </c>
      <c r="O145" s="302">
        <f>+M145/N145</f>
        <v>8.409771110597475</v>
      </c>
      <c r="P145" s="387">
        <v>1</v>
      </c>
    </row>
    <row r="146" spans="1:16" ht="15">
      <c r="A146" s="66">
        <v>144</v>
      </c>
      <c r="B146" s="49" t="s">
        <v>53</v>
      </c>
      <c r="C146" s="40">
        <v>39738</v>
      </c>
      <c r="D146" s="45" t="s">
        <v>135</v>
      </c>
      <c r="E146" s="44" t="s">
        <v>54</v>
      </c>
      <c r="F146" s="41">
        <v>67</v>
      </c>
      <c r="G146" s="41">
        <v>6</v>
      </c>
      <c r="H146" s="41">
        <v>12</v>
      </c>
      <c r="I146" s="330">
        <v>2137</v>
      </c>
      <c r="J146" s="331">
        <v>440</v>
      </c>
      <c r="K146" s="158">
        <f>(J146/G146)</f>
        <v>73.33333333333333</v>
      </c>
      <c r="L146" s="159">
        <f>I146/J146</f>
        <v>4.8568181818181815</v>
      </c>
      <c r="M146" s="150">
        <f>167196+176809+54428+37340+38330.5+23467+11581+5867+4382+2577+3552+2137</f>
        <v>527666.5</v>
      </c>
      <c r="N146" s="151">
        <f>19168+21164+7719+6215+6404+4964+2339+1306+907+580+859+440</f>
        <v>72065</v>
      </c>
      <c r="O146" s="105">
        <f>M146/N146</f>
        <v>7.32209116769583</v>
      </c>
      <c r="P146" s="364"/>
    </row>
    <row r="147" spans="1:16" ht="15">
      <c r="A147" s="66">
        <v>145</v>
      </c>
      <c r="B147" s="293" t="s">
        <v>146</v>
      </c>
      <c r="C147" s="286">
        <v>39801</v>
      </c>
      <c r="D147" s="285" t="s">
        <v>137</v>
      </c>
      <c r="E147" s="285" t="s">
        <v>147</v>
      </c>
      <c r="F147" s="287">
        <v>84</v>
      </c>
      <c r="G147" s="287">
        <v>2</v>
      </c>
      <c r="H147" s="287">
        <v>13</v>
      </c>
      <c r="I147" s="288">
        <v>2130</v>
      </c>
      <c r="J147" s="289">
        <v>426</v>
      </c>
      <c r="K147" s="290">
        <f>J147/G147</f>
        <v>213</v>
      </c>
      <c r="L147" s="291">
        <f>IF(I147&lt;&gt;0,I147/J147,"")</f>
        <v>5</v>
      </c>
      <c r="M147" s="292">
        <v>618762</v>
      </c>
      <c r="N147" s="290">
        <v>74919</v>
      </c>
      <c r="O147" s="302">
        <f>IF(M147&lt;&gt;0,M147/N147,"")</f>
        <v>8.259079806190686</v>
      </c>
      <c r="P147" s="387">
        <v>1</v>
      </c>
    </row>
    <row r="148" spans="1:16" ht="15">
      <c r="A148" s="66">
        <v>146</v>
      </c>
      <c r="B148" s="49" t="s">
        <v>15</v>
      </c>
      <c r="C148" s="40">
        <v>39696</v>
      </c>
      <c r="D148" s="44" t="s">
        <v>133</v>
      </c>
      <c r="E148" s="44" t="s">
        <v>16</v>
      </c>
      <c r="F148" s="41">
        <v>75</v>
      </c>
      <c r="G148" s="41">
        <v>1</v>
      </c>
      <c r="H148" s="41">
        <v>11</v>
      </c>
      <c r="I148" s="334">
        <v>2100</v>
      </c>
      <c r="J148" s="335">
        <v>350</v>
      </c>
      <c r="K148" s="158">
        <f>(J148/G148)</f>
        <v>350</v>
      </c>
      <c r="L148" s="159">
        <f>I148/J148</f>
        <v>6</v>
      </c>
      <c r="M148" s="154">
        <f>86230.5+60757+25197.5+7924+1147+850+226+56+3673+3630+2100</f>
        <v>191791</v>
      </c>
      <c r="N148" s="155">
        <f>10350+7537+3961+1406+201+213+26+9+924+1210+350</f>
        <v>26187</v>
      </c>
      <c r="O148" s="105">
        <f>M148/N148</f>
        <v>7.323901172337419</v>
      </c>
      <c r="P148" s="364">
        <v>1</v>
      </c>
    </row>
    <row r="149" spans="1:16" ht="15">
      <c r="A149" s="66">
        <v>147</v>
      </c>
      <c r="B149" s="293" t="s">
        <v>164</v>
      </c>
      <c r="C149" s="286">
        <v>39696</v>
      </c>
      <c r="D149" s="285" t="s">
        <v>202</v>
      </c>
      <c r="E149" s="285" t="s">
        <v>203</v>
      </c>
      <c r="F149" s="287">
        <v>50</v>
      </c>
      <c r="G149" s="287">
        <v>2</v>
      </c>
      <c r="H149" s="287">
        <v>14</v>
      </c>
      <c r="I149" s="288">
        <v>2096</v>
      </c>
      <c r="J149" s="289">
        <v>501</v>
      </c>
      <c r="K149" s="290">
        <f>J149/G149</f>
        <v>250.5</v>
      </c>
      <c r="L149" s="291">
        <f>I149/J149</f>
        <v>4.1836327345309385</v>
      </c>
      <c r="M149" s="292">
        <v>219236</v>
      </c>
      <c r="N149" s="290">
        <v>31568</v>
      </c>
      <c r="O149" s="302">
        <f>+M149/N149</f>
        <v>6.944880892042574</v>
      </c>
      <c r="P149" s="362">
        <v>1</v>
      </c>
    </row>
    <row r="150" spans="1:16" ht="15">
      <c r="A150" s="66">
        <v>148</v>
      </c>
      <c r="B150" s="293" t="s">
        <v>146</v>
      </c>
      <c r="C150" s="286">
        <v>39801</v>
      </c>
      <c r="D150" s="285" t="s">
        <v>137</v>
      </c>
      <c r="E150" s="285" t="s">
        <v>147</v>
      </c>
      <c r="F150" s="287">
        <v>84</v>
      </c>
      <c r="G150" s="287">
        <v>4</v>
      </c>
      <c r="H150" s="287">
        <v>7</v>
      </c>
      <c r="I150" s="288">
        <v>2080</v>
      </c>
      <c r="J150" s="289">
        <v>419</v>
      </c>
      <c r="K150" s="290">
        <f>IF(I150&lt;&gt;0,J150/G150,"")</f>
        <v>104.75</v>
      </c>
      <c r="L150" s="291">
        <f>IF(I150&lt;&gt;0,I150/J150,"")</f>
        <v>4.964200477326969</v>
      </c>
      <c r="M150" s="292">
        <f>369313.5+145108.5+43813+31258+11772.5+5392.5+2080</f>
        <v>608738</v>
      </c>
      <c r="N150" s="290">
        <f>41017+16460+6346+5364+2357+1094+419</f>
        <v>73057</v>
      </c>
      <c r="O150" s="302">
        <f>IF(M150&lt;&gt;0,M150/N150,"")</f>
        <v>8.332370614725487</v>
      </c>
      <c r="P150" s="363">
        <v>1</v>
      </c>
    </row>
    <row r="151" spans="1:16" ht="15">
      <c r="A151" s="66">
        <v>149</v>
      </c>
      <c r="B151" s="234" t="s">
        <v>67</v>
      </c>
      <c r="C151" s="229">
        <v>39759</v>
      </c>
      <c r="D151" s="217" t="s">
        <v>135</v>
      </c>
      <c r="E151" s="227" t="s">
        <v>144</v>
      </c>
      <c r="F151" s="228">
        <v>93</v>
      </c>
      <c r="G151" s="228">
        <v>2</v>
      </c>
      <c r="H151" s="228">
        <v>10</v>
      </c>
      <c r="I151" s="324">
        <v>2025</v>
      </c>
      <c r="J151" s="325">
        <v>386</v>
      </c>
      <c r="K151" s="223">
        <f>(J151/G151)</f>
        <v>193</v>
      </c>
      <c r="L151" s="224">
        <f>I151/J151</f>
        <v>5.246113989637306</v>
      </c>
      <c r="M151" s="225">
        <f>224223+136351+27895+24212+1274+3482+7147+2804+5279+2025</f>
        <v>434692</v>
      </c>
      <c r="N151" s="226">
        <f>27969+18593+4268+4646+311+857+1472+745+1285+386</f>
        <v>60532</v>
      </c>
      <c r="O151" s="233">
        <f>M151/N151</f>
        <v>7.181193418357233</v>
      </c>
      <c r="P151" s="362"/>
    </row>
    <row r="152" spans="1:16" ht="15">
      <c r="A152" s="66">
        <v>150</v>
      </c>
      <c r="B152" s="293" t="s">
        <v>23</v>
      </c>
      <c r="C152" s="286">
        <v>39808</v>
      </c>
      <c r="D152" s="285" t="s">
        <v>137</v>
      </c>
      <c r="E152" s="285" t="s">
        <v>24</v>
      </c>
      <c r="F152" s="287">
        <v>198</v>
      </c>
      <c r="G152" s="287">
        <v>5</v>
      </c>
      <c r="H152" s="287">
        <v>7</v>
      </c>
      <c r="I152" s="288">
        <v>2023</v>
      </c>
      <c r="J152" s="289">
        <v>452</v>
      </c>
      <c r="K152" s="290">
        <f>IF(I152&lt;&gt;0,J152/G152,"")</f>
        <v>90.4</v>
      </c>
      <c r="L152" s="291">
        <f>I152/J152</f>
        <v>4.475663716814159</v>
      </c>
      <c r="M152" s="292">
        <f>909072+532572.5+214521.5+64908+15178.5+4216.5+2023</f>
        <v>1742492</v>
      </c>
      <c r="N152" s="290">
        <f>112486+67146+29772+10700+3086+733+452</f>
        <v>224375</v>
      </c>
      <c r="O152" s="302">
        <f>+M152/N152</f>
        <v>7.7659810584958215</v>
      </c>
      <c r="P152" s="364"/>
    </row>
    <row r="153" spans="1:16" ht="15">
      <c r="A153" s="66">
        <v>151</v>
      </c>
      <c r="B153" s="293" t="s">
        <v>170</v>
      </c>
      <c r="C153" s="286">
        <v>39472</v>
      </c>
      <c r="D153" s="285" t="s">
        <v>133</v>
      </c>
      <c r="E153" s="285" t="s">
        <v>93</v>
      </c>
      <c r="F153" s="287">
        <v>1</v>
      </c>
      <c r="G153" s="287">
        <v>1</v>
      </c>
      <c r="H153" s="287">
        <v>31</v>
      </c>
      <c r="I153" s="288">
        <v>1976</v>
      </c>
      <c r="J153" s="289">
        <v>652</v>
      </c>
      <c r="K153" s="290">
        <f>J153/G153</f>
        <v>652</v>
      </c>
      <c r="L153" s="291">
        <f>I153/J153</f>
        <v>3.0306748466257667</v>
      </c>
      <c r="M153" s="292">
        <f>395290.5+262822+75939+23709.5+4083+1327+9321+1445+1267+2173+4575+201+1748+3343+728+28+948+1329+163+182+173+15521.5+171+40+110+75+183.5+127+124.5+1976</f>
        <v>809123.5</v>
      </c>
      <c r="N153" s="290">
        <f>47426+32442+9866+4010+887+225+2185+263+226+460+1077+33+367+887+230+4+139+355+32+35+32+3859+49+8+22+15+68+46+45+659</f>
        <v>105952</v>
      </c>
      <c r="O153" s="302">
        <f>+M153/N153</f>
        <v>7.636698693748112</v>
      </c>
      <c r="P153" s="362">
        <v>1</v>
      </c>
    </row>
    <row r="154" spans="1:16" ht="15">
      <c r="A154" s="66">
        <v>152</v>
      </c>
      <c r="B154" s="293" t="s">
        <v>143</v>
      </c>
      <c r="C154" s="286">
        <v>39794</v>
      </c>
      <c r="D154" s="285" t="s">
        <v>135</v>
      </c>
      <c r="E154" s="285" t="s">
        <v>134</v>
      </c>
      <c r="F154" s="287">
        <v>100</v>
      </c>
      <c r="G154" s="287">
        <v>2</v>
      </c>
      <c r="H154" s="287">
        <v>11</v>
      </c>
      <c r="I154" s="288">
        <v>1904</v>
      </c>
      <c r="J154" s="289">
        <v>524</v>
      </c>
      <c r="K154" s="290">
        <f>(J154/G154)</f>
        <v>262</v>
      </c>
      <c r="L154" s="291">
        <f>I154/J154</f>
        <v>3.633587786259542</v>
      </c>
      <c r="M154" s="292">
        <f>1276778.5+626123+380324+112679.5+54533+36086+4129+3620.5+4348+1030+1904</f>
        <v>2501555.5</v>
      </c>
      <c r="N154" s="290">
        <f>133555+68793+41581+14968+8873+6454+539+324+976+204+524</f>
        <v>276791</v>
      </c>
      <c r="O154" s="302">
        <f>M154/N154</f>
        <v>9.03770534446568</v>
      </c>
      <c r="P154" s="363"/>
    </row>
    <row r="155" spans="1:16" ht="15">
      <c r="A155" s="66">
        <v>153</v>
      </c>
      <c r="B155" s="293" t="s">
        <v>70</v>
      </c>
      <c r="C155" s="286">
        <v>39766</v>
      </c>
      <c r="D155" s="285" t="s">
        <v>133</v>
      </c>
      <c r="E155" s="285" t="s">
        <v>204</v>
      </c>
      <c r="F155" s="287">
        <v>2</v>
      </c>
      <c r="G155" s="287">
        <v>2</v>
      </c>
      <c r="H155" s="287">
        <v>14</v>
      </c>
      <c r="I155" s="288">
        <v>1882</v>
      </c>
      <c r="J155" s="289">
        <v>265</v>
      </c>
      <c r="K155" s="290">
        <f>(J155/G155)</f>
        <v>132.5</v>
      </c>
      <c r="L155" s="291">
        <f>I155/J155</f>
        <v>7.10188679245283</v>
      </c>
      <c r="M155" s="292">
        <f>191668+16358.5+8305+0.5+19699.5+16705.5+7289+4467+3138+2267+1882</f>
        <v>271780</v>
      </c>
      <c r="N155" s="290">
        <f>10324+8249+7871+7121+4755+3362+1751+2958+2636+1185+800+596+440+265</f>
        <v>52313</v>
      </c>
      <c r="O155" s="302">
        <f>+M155/N155</f>
        <v>5.195266950853516</v>
      </c>
      <c r="P155" s="363">
        <v>1</v>
      </c>
    </row>
    <row r="156" spans="1:16" ht="15">
      <c r="A156" s="66">
        <v>154</v>
      </c>
      <c r="B156" s="293" t="s">
        <v>205</v>
      </c>
      <c r="C156" s="286">
        <v>39808</v>
      </c>
      <c r="D156" s="285" t="s">
        <v>132</v>
      </c>
      <c r="E156" s="285" t="s">
        <v>112</v>
      </c>
      <c r="F156" s="287">
        <v>112</v>
      </c>
      <c r="G156" s="287">
        <v>7</v>
      </c>
      <c r="H156" s="287">
        <v>8</v>
      </c>
      <c r="I156" s="288">
        <v>1869</v>
      </c>
      <c r="J156" s="289">
        <v>598</v>
      </c>
      <c r="K156" s="290">
        <f>J156/G156</f>
        <v>85.42857142857143</v>
      </c>
      <c r="L156" s="291">
        <f>+I156/J156</f>
        <v>3.1254180602006687</v>
      </c>
      <c r="M156" s="292">
        <v>2030509</v>
      </c>
      <c r="N156" s="290">
        <v>208405</v>
      </c>
      <c r="O156" s="302">
        <f>+M156/N156</f>
        <v>9.743091576497685</v>
      </c>
      <c r="P156" s="364"/>
    </row>
    <row r="157" spans="1:16" ht="15">
      <c r="A157" s="66">
        <v>155</v>
      </c>
      <c r="B157" s="293" t="s">
        <v>145</v>
      </c>
      <c r="C157" s="286">
        <v>39801</v>
      </c>
      <c r="D157" s="285" t="s">
        <v>131</v>
      </c>
      <c r="E157" s="285" t="s">
        <v>123</v>
      </c>
      <c r="F157" s="287">
        <v>69</v>
      </c>
      <c r="G157" s="287">
        <v>2</v>
      </c>
      <c r="H157" s="287">
        <v>12</v>
      </c>
      <c r="I157" s="288">
        <v>1821</v>
      </c>
      <c r="J157" s="289">
        <v>386</v>
      </c>
      <c r="K157" s="290">
        <f>J157/G157</f>
        <v>193</v>
      </c>
      <c r="L157" s="291">
        <f>I157/J157</f>
        <v>4.717616580310881</v>
      </c>
      <c r="M157" s="292">
        <f>820286+588484+413907+112495+41441-111+9385+4586+8718+1191+251+1065+1821</f>
        <v>2003519</v>
      </c>
      <c r="N157" s="290">
        <f>83839+57678+42374+12212+5722-11+2124+1350+1256+191+41+182+386</f>
        <v>207344</v>
      </c>
      <c r="O157" s="302">
        <f>+M157/N157</f>
        <v>9.662777799212902</v>
      </c>
      <c r="P157" s="364">
        <v>1</v>
      </c>
    </row>
    <row r="158" spans="1:16" ht="15">
      <c r="A158" s="66">
        <v>156</v>
      </c>
      <c r="B158" s="245" t="s">
        <v>57</v>
      </c>
      <c r="C158" s="241">
        <v>39745</v>
      </c>
      <c r="D158" s="65" t="s">
        <v>132</v>
      </c>
      <c r="E158" s="243" t="s">
        <v>32</v>
      </c>
      <c r="F158" s="41">
        <v>57</v>
      </c>
      <c r="G158" s="41">
        <v>1</v>
      </c>
      <c r="H158" s="41">
        <v>13</v>
      </c>
      <c r="I158" s="334">
        <v>1816</v>
      </c>
      <c r="J158" s="335">
        <v>347</v>
      </c>
      <c r="K158" s="155">
        <f>J158/G158</f>
        <v>347</v>
      </c>
      <c r="L158" s="156">
        <f>+I158/J158</f>
        <v>5.23342939481268</v>
      </c>
      <c r="M158" s="154">
        <v>11692550</v>
      </c>
      <c r="N158" s="155">
        <v>126132</v>
      </c>
      <c r="O158" s="103">
        <f>+M158/N158</f>
        <v>92.70090064377001</v>
      </c>
      <c r="P158" s="364">
        <v>1</v>
      </c>
    </row>
    <row r="159" spans="1:16" ht="15">
      <c r="A159" s="66">
        <v>157</v>
      </c>
      <c r="B159" s="293" t="s">
        <v>195</v>
      </c>
      <c r="C159" s="286">
        <v>39787</v>
      </c>
      <c r="D159" s="285" t="s">
        <v>132</v>
      </c>
      <c r="E159" s="285" t="s">
        <v>139</v>
      </c>
      <c r="F159" s="287">
        <v>406</v>
      </c>
      <c r="G159" s="287">
        <v>7</v>
      </c>
      <c r="H159" s="287">
        <v>10</v>
      </c>
      <c r="I159" s="288">
        <v>1802</v>
      </c>
      <c r="J159" s="289">
        <v>296</v>
      </c>
      <c r="K159" s="290">
        <f>J159/G159</f>
        <v>42.285714285714285</v>
      </c>
      <c r="L159" s="291">
        <f>I159/J159</f>
        <v>6.087837837837838</v>
      </c>
      <c r="M159" s="292">
        <v>30390916</v>
      </c>
      <c r="N159" s="290">
        <v>3700042</v>
      </c>
      <c r="O159" s="302">
        <f>+M159/N159</f>
        <v>8.213667844851491</v>
      </c>
      <c r="P159" s="364">
        <v>1</v>
      </c>
    </row>
    <row r="160" spans="1:16" ht="15">
      <c r="A160" s="66">
        <v>158</v>
      </c>
      <c r="B160" s="293" t="s">
        <v>17</v>
      </c>
      <c r="C160" s="286">
        <v>39717</v>
      </c>
      <c r="D160" s="285" t="s">
        <v>135</v>
      </c>
      <c r="E160" s="285" t="s">
        <v>18</v>
      </c>
      <c r="F160" s="287">
        <v>113</v>
      </c>
      <c r="G160" s="287">
        <v>1</v>
      </c>
      <c r="H160" s="287">
        <v>11</v>
      </c>
      <c r="I160" s="288">
        <v>1780</v>
      </c>
      <c r="J160" s="289">
        <v>445</v>
      </c>
      <c r="K160" s="290">
        <f>(J160/G160)</f>
        <v>445</v>
      </c>
      <c r="L160" s="291">
        <f>I160/J160</f>
        <v>4</v>
      </c>
      <c r="M160" s="292">
        <f>632132.5+337048.5+126471+47854+18242+7477+2804+4752+7760+1424+1780</f>
        <v>1187745</v>
      </c>
      <c r="N160" s="290">
        <f>68536+38225+16179+8425+3627+1827+662+1188+1940+356+445</f>
        <v>141410</v>
      </c>
      <c r="O160" s="302">
        <f>M160/N160</f>
        <v>8.399299908068736</v>
      </c>
      <c r="P160" s="364"/>
    </row>
    <row r="161" spans="1:16" ht="15">
      <c r="A161" s="66">
        <v>159</v>
      </c>
      <c r="B161" s="49">
        <v>120</v>
      </c>
      <c r="C161" s="40">
        <v>39493</v>
      </c>
      <c r="D161" s="44" t="s">
        <v>133</v>
      </c>
      <c r="E161" s="44" t="s">
        <v>95</v>
      </c>
      <c r="F161" s="41">
        <v>179</v>
      </c>
      <c r="G161" s="41">
        <v>1</v>
      </c>
      <c r="H161" s="41">
        <v>39</v>
      </c>
      <c r="I161" s="334">
        <v>1758</v>
      </c>
      <c r="J161" s="335">
        <v>586</v>
      </c>
      <c r="K161" s="158">
        <f>(J161/G161)</f>
        <v>586</v>
      </c>
      <c r="L161" s="159">
        <f>I161/J161</f>
        <v>3</v>
      </c>
      <c r="M161" s="154">
        <f>940515+844172.5+750489+533469+396399.5+362067.5+228159+211115.5+153941.5+48+73076.5+60280+47290.5+46690+13789+13717.5+9809+2709.5+1288.5+22597.5+10821.5+12218+7313+44774.5+111294+3629+0.5+41599.5+20470.5+5217-3719.5+10067+1376+10253+13391+15635+48+500+2820+500+666+1758</f>
        <v>5022256.5</v>
      </c>
      <c r="N161" s="155">
        <f>135921+127724+124508+97493+101422+99063+62455+57586+44490+6+19837+19877+15923+15427+4822+4847+3310+822+280+7405+3528+4050+2428+14923+37098+1709+6180+3303+3114+328+3418+4411+5191+12+100+806+100+222+586</f>
        <v>1034725</v>
      </c>
      <c r="O161" s="105">
        <f>M161/N161</f>
        <v>4.853711372586919</v>
      </c>
      <c r="P161" s="364">
        <v>1</v>
      </c>
    </row>
    <row r="162" spans="1:16" ht="15">
      <c r="A162" s="66">
        <v>160</v>
      </c>
      <c r="B162" s="244" t="s">
        <v>98</v>
      </c>
      <c r="C162" s="241">
        <v>39752</v>
      </c>
      <c r="D162" s="243" t="s">
        <v>132</v>
      </c>
      <c r="E162" s="65" t="s">
        <v>125</v>
      </c>
      <c r="F162" s="354">
        <v>45</v>
      </c>
      <c r="G162" s="354">
        <v>2</v>
      </c>
      <c r="H162" s="354">
        <v>11</v>
      </c>
      <c r="I162" s="355">
        <v>1753</v>
      </c>
      <c r="J162" s="356">
        <v>344</v>
      </c>
      <c r="K162" s="357">
        <f>J162/G162</f>
        <v>172</v>
      </c>
      <c r="L162" s="358">
        <f>+I162/J162</f>
        <v>5.09593023255814</v>
      </c>
      <c r="M162" s="359">
        <v>456099</v>
      </c>
      <c r="N162" s="357">
        <v>49688</v>
      </c>
      <c r="O162" s="360">
        <f>+M162/N162</f>
        <v>9.17925857349863</v>
      </c>
      <c r="P162" s="364">
        <v>1</v>
      </c>
    </row>
    <row r="163" spans="1:16" ht="15">
      <c r="A163" s="66">
        <v>161</v>
      </c>
      <c r="B163" s="293" t="s">
        <v>150</v>
      </c>
      <c r="C163" s="286">
        <v>39801</v>
      </c>
      <c r="D163" s="285" t="s">
        <v>4</v>
      </c>
      <c r="E163" s="285" t="s">
        <v>77</v>
      </c>
      <c r="F163" s="287">
        <v>19</v>
      </c>
      <c r="G163" s="287">
        <v>2</v>
      </c>
      <c r="H163" s="287">
        <v>10</v>
      </c>
      <c r="I163" s="288">
        <v>1747</v>
      </c>
      <c r="J163" s="289">
        <v>341</v>
      </c>
      <c r="K163" s="290">
        <f>+J163/G163</f>
        <v>170.5</v>
      </c>
      <c r="L163" s="291">
        <f>I163/J163</f>
        <v>5.12316715542522</v>
      </c>
      <c r="M163" s="292">
        <v>141757</v>
      </c>
      <c r="N163" s="290">
        <v>13583</v>
      </c>
      <c r="O163" s="302">
        <f>+M163/N163</f>
        <v>10.436354266362365</v>
      </c>
      <c r="P163" s="363">
        <v>1</v>
      </c>
    </row>
    <row r="164" spans="1:16" ht="15">
      <c r="A164" s="66">
        <v>162</v>
      </c>
      <c r="B164" s="281" t="s">
        <v>164</v>
      </c>
      <c r="C164" s="40">
        <v>39766</v>
      </c>
      <c r="D164" s="261" t="s">
        <v>165</v>
      </c>
      <c r="E164" s="261" t="s">
        <v>166</v>
      </c>
      <c r="F164" s="262">
        <v>50</v>
      </c>
      <c r="G164" s="262">
        <v>3</v>
      </c>
      <c r="H164" s="262">
        <v>11</v>
      </c>
      <c r="I164" s="278">
        <v>1724</v>
      </c>
      <c r="J164" s="279">
        <v>419</v>
      </c>
      <c r="K164" s="265">
        <f>J164/G164</f>
        <v>139.66666666666666</v>
      </c>
      <c r="L164" s="266">
        <f>I164/J164</f>
        <v>4.114558472553699</v>
      </c>
      <c r="M164" s="280">
        <v>217051</v>
      </c>
      <c r="N164" s="265">
        <v>31055</v>
      </c>
      <c r="O164" s="282">
        <f>M164/N164</f>
        <v>6.989244888101755</v>
      </c>
      <c r="P164" s="362"/>
    </row>
    <row r="165" spans="1:16" ht="15">
      <c r="A165" s="66">
        <v>163</v>
      </c>
      <c r="B165" s="281" t="s">
        <v>28</v>
      </c>
      <c r="C165" s="40">
        <v>39808</v>
      </c>
      <c r="D165" s="261" t="s">
        <v>133</v>
      </c>
      <c r="E165" s="261" t="s">
        <v>29</v>
      </c>
      <c r="F165" s="262">
        <v>3</v>
      </c>
      <c r="G165" s="262">
        <v>3</v>
      </c>
      <c r="H165" s="262">
        <v>5</v>
      </c>
      <c r="I165" s="263">
        <v>1707</v>
      </c>
      <c r="J165" s="264">
        <v>346</v>
      </c>
      <c r="K165" s="271">
        <f>+J165/G165</f>
        <v>115.33333333333333</v>
      </c>
      <c r="L165" s="153">
        <f>+I165/J165</f>
        <v>4.933526011560693</v>
      </c>
      <c r="M165" s="267">
        <f>173290.5+101994+52183.5+11344+1707</f>
        <v>340519</v>
      </c>
      <c r="N165" s="268">
        <f>23989+15166+8100+1911+346</f>
        <v>49512</v>
      </c>
      <c r="O165" s="104">
        <f>+M165/N165</f>
        <v>6.877504443367265</v>
      </c>
      <c r="P165" s="364">
        <v>1</v>
      </c>
    </row>
    <row r="166" spans="1:16" ht="15">
      <c r="A166" s="66">
        <v>164</v>
      </c>
      <c r="B166" s="293" t="s">
        <v>150</v>
      </c>
      <c r="C166" s="286">
        <v>39801</v>
      </c>
      <c r="D166" s="285" t="s">
        <v>4</v>
      </c>
      <c r="E166" s="285" t="s">
        <v>77</v>
      </c>
      <c r="F166" s="287">
        <v>19</v>
      </c>
      <c r="G166" s="287">
        <v>3</v>
      </c>
      <c r="H166" s="287">
        <v>11</v>
      </c>
      <c r="I166" s="288">
        <v>1681</v>
      </c>
      <c r="J166" s="289">
        <v>280</v>
      </c>
      <c r="K166" s="290">
        <f>+J166/G166</f>
        <v>93.33333333333333</v>
      </c>
      <c r="L166" s="291">
        <f>+I166/J166</f>
        <v>6.003571428571429</v>
      </c>
      <c r="M166" s="292">
        <v>143438</v>
      </c>
      <c r="N166" s="290">
        <v>13863</v>
      </c>
      <c r="O166" s="302">
        <f>+M166/N166</f>
        <v>10.346822477097309</v>
      </c>
      <c r="P166" s="362"/>
    </row>
    <row r="167" spans="1:16" ht="15">
      <c r="A167" s="66">
        <v>165</v>
      </c>
      <c r="B167" s="293" t="s">
        <v>207</v>
      </c>
      <c r="C167" s="286">
        <v>39808</v>
      </c>
      <c r="D167" s="285" t="s">
        <v>132</v>
      </c>
      <c r="E167" s="285" t="s">
        <v>125</v>
      </c>
      <c r="F167" s="287">
        <v>34</v>
      </c>
      <c r="G167" s="287">
        <v>2</v>
      </c>
      <c r="H167" s="287">
        <v>11</v>
      </c>
      <c r="I167" s="288">
        <v>1614</v>
      </c>
      <c r="J167" s="289">
        <v>245</v>
      </c>
      <c r="K167" s="290">
        <f>J167/G167</f>
        <v>122.5</v>
      </c>
      <c r="L167" s="291">
        <f>+I167/J167</f>
        <v>6.587755102040816</v>
      </c>
      <c r="M167" s="292">
        <v>805454</v>
      </c>
      <c r="N167" s="290">
        <v>90576</v>
      </c>
      <c r="O167" s="302">
        <f>+M167/N167</f>
        <v>8.892576399929341</v>
      </c>
      <c r="P167" s="363"/>
    </row>
    <row r="168" spans="1:16" ht="15">
      <c r="A168" s="66">
        <v>166</v>
      </c>
      <c r="B168" s="293" t="s">
        <v>140</v>
      </c>
      <c r="C168" s="286">
        <v>39787</v>
      </c>
      <c r="D168" s="285" t="s">
        <v>133</v>
      </c>
      <c r="E168" s="285" t="s">
        <v>141</v>
      </c>
      <c r="F168" s="287">
        <v>1</v>
      </c>
      <c r="G168" s="287">
        <v>1</v>
      </c>
      <c r="H168" s="287">
        <v>12</v>
      </c>
      <c r="I168" s="288">
        <v>1591</v>
      </c>
      <c r="J168" s="289">
        <v>321</v>
      </c>
      <c r="K168" s="290">
        <f>(J168/G168)</f>
        <v>321</v>
      </c>
      <c r="L168" s="291">
        <f>I168/J168</f>
        <v>4.956386292834891</v>
      </c>
      <c r="M168" s="292">
        <f>9280968+4694050.5+1992628+1117778+528440.5+225948.5+100229.5+60712.5+23747.5+18022-1837+3858+1591</f>
        <v>18046137</v>
      </c>
      <c r="N168" s="290">
        <f>1147876+614752+261380+141495+73035+33259+17736+11735+4194+3845-458+781+321</f>
        <v>2309951</v>
      </c>
      <c r="O168" s="302">
        <f>M168/N168</f>
        <v>7.812346235915827</v>
      </c>
      <c r="P168" s="364">
        <v>1</v>
      </c>
    </row>
    <row r="169" spans="1:16" ht="15">
      <c r="A169" s="66">
        <v>167</v>
      </c>
      <c r="B169" s="49" t="s">
        <v>40</v>
      </c>
      <c r="C169" s="40">
        <v>39752</v>
      </c>
      <c r="D169" s="45" t="s">
        <v>135</v>
      </c>
      <c r="E169" s="44" t="s">
        <v>1</v>
      </c>
      <c r="F169" s="41">
        <v>1</v>
      </c>
      <c r="G169" s="41">
        <v>1</v>
      </c>
      <c r="H169" s="41">
        <v>6</v>
      </c>
      <c r="I169" s="330">
        <v>1590</v>
      </c>
      <c r="J169" s="331">
        <v>189</v>
      </c>
      <c r="K169" s="158">
        <f>(J169/G169)</f>
        <v>189</v>
      </c>
      <c r="L169" s="159">
        <f>I169/J169</f>
        <v>8.412698412698413</v>
      </c>
      <c r="M169" s="150">
        <f>5026+4844+3356+2376+712+1590</f>
        <v>17904</v>
      </c>
      <c r="N169" s="151">
        <f>591+575+394+594+178+189</f>
        <v>2521</v>
      </c>
      <c r="O169" s="105">
        <f>M169/N169</f>
        <v>7.101943673145577</v>
      </c>
      <c r="P169" s="364"/>
    </row>
    <row r="170" spans="1:16" ht="15">
      <c r="A170" s="66">
        <v>168</v>
      </c>
      <c r="B170" s="53" t="s">
        <v>142</v>
      </c>
      <c r="C170" s="39">
        <v>39780</v>
      </c>
      <c r="D170" s="127" t="s">
        <v>79</v>
      </c>
      <c r="E170" s="127" t="s">
        <v>48</v>
      </c>
      <c r="F170" s="50">
        <v>3</v>
      </c>
      <c r="G170" s="50">
        <v>3</v>
      </c>
      <c r="H170" s="50">
        <v>7</v>
      </c>
      <c r="I170" s="388">
        <v>1556</v>
      </c>
      <c r="J170" s="389">
        <v>247</v>
      </c>
      <c r="K170" s="271">
        <f>IF(I170&lt;&gt;0,J170/G170,"")</f>
        <v>82.33333333333333</v>
      </c>
      <c r="L170" s="215">
        <f>IF(I170&lt;&gt;0,I170/J170,"")</f>
        <v>6.299595141700405</v>
      </c>
      <c r="M170" s="390">
        <v>46731.5</v>
      </c>
      <c r="N170" s="391">
        <v>4603</v>
      </c>
      <c r="O170" s="104">
        <f>IF(M170&lt;&gt;0,M170/N170,"")</f>
        <v>10.152400608298935</v>
      </c>
      <c r="P170" s="364">
        <v>1</v>
      </c>
    </row>
    <row r="171" spans="1:16" ht="15">
      <c r="A171" s="66">
        <v>169</v>
      </c>
      <c r="B171" s="293" t="s">
        <v>53</v>
      </c>
      <c r="C171" s="286">
        <v>39738</v>
      </c>
      <c r="D171" s="285" t="s">
        <v>135</v>
      </c>
      <c r="E171" s="285" t="s">
        <v>54</v>
      </c>
      <c r="F171" s="287">
        <v>67</v>
      </c>
      <c r="G171" s="287">
        <v>2</v>
      </c>
      <c r="H171" s="287">
        <v>18</v>
      </c>
      <c r="I171" s="288">
        <v>1547</v>
      </c>
      <c r="J171" s="289">
        <v>392</v>
      </c>
      <c r="K171" s="290">
        <f>(J171/G171)</f>
        <v>196</v>
      </c>
      <c r="L171" s="291">
        <f>I171/J171</f>
        <v>3.9464285714285716</v>
      </c>
      <c r="M171" s="292">
        <f>167196+176809+54428+37340+38330.5+23467+11581+5867+4382+2577+3552+2137+545+4006+9422+7992+4936+1547</f>
        <v>556114.5</v>
      </c>
      <c r="N171" s="290">
        <f>19168+21164+7719+6215+6404+4964+2339+1306+907+580+859+440+127+905+2170+1822+1050+392</f>
        <v>78531</v>
      </c>
      <c r="O171" s="302">
        <f>+M171/N171</f>
        <v>7.081464644535279</v>
      </c>
      <c r="P171" s="364"/>
    </row>
    <row r="172" spans="1:16" ht="15">
      <c r="A172" s="66">
        <v>170</v>
      </c>
      <c r="B172" s="293" t="s">
        <v>217</v>
      </c>
      <c r="C172" s="286">
        <v>39668</v>
      </c>
      <c r="D172" s="285" t="s">
        <v>135</v>
      </c>
      <c r="E172" s="285" t="s">
        <v>218</v>
      </c>
      <c r="F172" s="287">
        <v>1</v>
      </c>
      <c r="G172" s="287">
        <v>1</v>
      </c>
      <c r="H172" s="287">
        <v>6</v>
      </c>
      <c r="I172" s="288">
        <v>1544</v>
      </c>
      <c r="J172" s="289">
        <v>386</v>
      </c>
      <c r="K172" s="290">
        <f>(J172/G172)</f>
        <v>386</v>
      </c>
      <c r="L172" s="291">
        <f>I172/J172</f>
        <v>4</v>
      </c>
      <c r="M172" s="292">
        <f>3110+2328+234+98+1424+1544</f>
        <v>8738</v>
      </c>
      <c r="N172" s="290">
        <f>365+272+41+14+356+386</f>
        <v>1434</v>
      </c>
      <c r="O172" s="302">
        <f>M172/N172</f>
        <v>6.093444909344491</v>
      </c>
      <c r="P172" s="364">
        <v>1</v>
      </c>
    </row>
    <row r="173" spans="1:16" ht="15">
      <c r="A173" s="66">
        <v>171</v>
      </c>
      <c r="B173" s="293" t="s">
        <v>181</v>
      </c>
      <c r="C173" s="286">
        <v>39675</v>
      </c>
      <c r="D173" s="285" t="s">
        <v>135</v>
      </c>
      <c r="E173" s="285" t="s">
        <v>182</v>
      </c>
      <c r="F173" s="287">
        <v>1</v>
      </c>
      <c r="G173" s="287">
        <v>1</v>
      </c>
      <c r="H173" s="287">
        <v>7</v>
      </c>
      <c r="I173" s="288">
        <v>1544</v>
      </c>
      <c r="J173" s="289">
        <v>386</v>
      </c>
      <c r="K173" s="290">
        <f>(J173/G173)</f>
        <v>386</v>
      </c>
      <c r="L173" s="291">
        <f>I173/J173</f>
        <v>4</v>
      </c>
      <c r="M173" s="292">
        <f>2342+965+725+344+92+189+1544</f>
        <v>6201</v>
      </c>
      <c r="N173" s="290">
        <f>283+144+96+45+14+27+386</f>
        <v>995</v>
      </c>
      <c r="O173" s="302">
        <f>+M173/N173</f>
        <v>6.232160804020101</v>
      </c>
      <c r="P173" s="364">
        <v>1</v>
      </c>
    </row>
    <row r="174" spans="1:16" ht="15">
      <c r="A174" s="66">
        <v>172</v>
      </c>
      <c r="B174" s="293" t="s">
        <v>44</v>
      </c>
      <c r="C174" s="286">
        <v>39780</v>
      </c>
      <c r="D174" s="285" t="s">
        <v>132</v>
      </c>
      <c r="E174" s="285" t="s">
        <v>128</v>
      </c>
      <c r="F174" s="287">
        <v>121</v>
      </c>
      <c r="G174" s="287">
        <v>6</v>
      </c>
      <c r="H174" s="287">
        <v>13</v>
      </c>
      <c r="I174" s="288">
        <v>1513</v>
      </c>
      <c r="J174" s="289">
        <v>509</v>
      </c>
      <c r="K174" s="290">
        <f>J174/G174</f>
        <v>84.83333333333333</v>
      </c>
      <c r="L174" s="291">
        <f>+I174/J174</f>
        <v>2.9724950884086443</v>
      </c>
      <c r="M174" s="292">
        <v>3456579</v>
      </c>
      <c r="N174" s="290">
        <v>406056</v>
      </c>
      <c r="O174" s="302">
        <f>+M174/N174</f>
        <v>8.512567232105916</v>
      </c>
      <c r="P174" s="364"/>
    </row>
    <row r="175" spans="1:16" ht="15">
      <c r="A175" s="66">
        <v>173</v>
      </c>
      <c r="B175" s="293" t="s">
        <v>150</v>
      </c>
      <c r="C175" s="286">
        <v>39801</v>
      </c>
      <c r="D175" s="285" t="s">
        <v>4</v>
      </c>
      <c r="E175" s="285" t="s">
        <v>77</v>
      </c>
      <c r="F175" s="287">
        <v>19</v>
      </c>
      <c r="G175" s="287">
        <v>5</v>
      </c>
      <c r="H175" s="287">
        <v>12</v>
      </c>
      <c r="I175" s="288">
        <v>1502</v>
      </c>
      <c r="J175" s="289">
        <v>260</v>
      </c>
      <c r="K175" s="290">
        <f>J175/G175</f>
        <v>52</v>
      </c>
      <c r="L175" s="291">
        <f>I175/J175</f>
        <v>5.776923076923077</v>
      </c>
      <c r="M175" s="292">
        <v>144940</v>
      </c>
      <c r="N175" s="290">
        <v>14123</v>
      </c>
      <c r="O175" s="302">
        <f>+M175/N175</f>
        <v>10.262692062592933</v>
      </c>
      <c r="P175" s="363">
        <v>1</v>
      </c>
    </row>
    <row r="176" spans="1:16" ht="15">
      <c r="A176" s="66">
        <v>174</v>
      </c>
      <c r="B176" s="293" t="s">
        <v>219</v>
      </c>
      <c r="C176" s="286">
        <v>39710</v>
      </c>
      <c r="D176" s="285" t="s">
        <v>135</v>
      </c>
      <c r="E176" s="285" t="s">
        <v>1</v>
      </c>
      <c r="F176" s="287">
        <v>1</v>
      </c>
      <c r="G176" s="287">
        <v>1</v>
      </c>
      <c r="H176" s="287">
        <v>11</v>
      </c>
      <c r="I176" s="288">
        <v>1484</v>
      </c>
      <c r="J176" s="289">
        <v>371</v>
      </c>
      <c r="K176" s="290">
        <f>(J176/G176)</f>
        <v>371</v>
      </c>
      <c r="L176" s="291">
        <f>I176/J176</f>
        <v>4</v>
      </c>
      <c r="M176" s="292">
        <f>11305+5960+2538+2056+455+891+1621+1302+712+1484+1484</f>
        <v>29808</v>
      </c>
      <c r="N176" s="290">
        <f>835+676+295+239+136+275+187+148+178+371+371</f>
        <v>3711</v>
      </c>
      <c r="O176" s="302">
        <f>M176/N176</f>
        <v>8.032336297493936</v>
      </c>
      <c r="P176" s="364"/>
    </row>
    <row r="177" spans="1:16" ht="15">
      <c r="A177" s="66">
        <v>175</v>
      </c>
      <c r="B177" s="293" t="s">
        <v>219</v>
      </c>
      <c r="C177" s="286">
        <v>39710</v>
      </c>
      <c r="D177" s="285" t="s">
        <v>135</v>
      </c>
      <c r="E177" s="285" t="s">
        <v>1</v>
      </c>
      <c r="F177" s="287">
        <v>1</v>
      </c>
      <c r="G177" s="287">
        <v>1</v>
      </c>
      <c r="H177" s="287">
        <v>10</v>
      </c>
      <c r="I177" s="288">
        <v>1484</v>
      </c>
      <c r="J177" s="289">
        <v>371</v>
      </c>
      <c r="K177" s="290">
        <f>(J177/G177)</f>
        <v>371</v>
      </c>
      <c r="L177" s="291">
        <f>I177/J177</f>
        <v>4</v>
      </c>
      <c r="M177" s="292">
        <f>11305+5960+2538+2056+455+891+1621+1302+712+1484</f>
        <v>28324</v>
      </c>
      <c r="N177" s="290">
        <f>835+676+295+239+136+275+187+148+178+371</f>
        <v>3340</v>
      </c>
      <c r="O177" s="302">
        <f>M177/N177</f>
        <v>8.480239520958083</v>
      </c>
      <c r="P177" s="364"/>
    </row>
    <row r="178" spans="1:16" ht="15">
      <c r="A178" s="66">
        <v>176</v>
      </c>
      <c r="B178" s="49" t="s">
        <v>45</v>
      </c>
      <c r="C178" s="40">
        <v>39780</v>
      </c>
      <c r="D178" s="45" t="s">
        <v>135</v>
      </c>
      <c r="E178" s="44" t="s">
        <v>78</v>
      </c>
      <c r="F178" s="41">
        <v>61</v>
      </c>
      <c r="G178" s="41">
        <v>2</v>
      </c>
      <c r="H178" s="41">
        <v>8</v>
      </c>
      <c r="I178" s="330">
        <v>1470</v>
      </c>
      <c r="J178" s="340">
        <v>224</v>
      </c>
      <c r="K178" s="158">
        <f>(J178/G178)</f>
        <v>112</v>
      </c>
      <c r="L178" s="159">
        <f>I178/J178</f>
        <v>6.5625</v>
      </c>
      <c r="M178" s="150">
        <f>499000.5+313125.5+89561.5+27980+2002.5+4772+1387+1470</f>
        <v>939299</v>
      </c>
      <c r="N178" s="151">
        <f>48458+27725+9315+4737+330+944+309+224</f>
        <v>92042</v>
      </c>
      <c r="O178" s="105">
        <f>M178/N178</f>
        <v>10.205112883248951</v>
      </c>
      <c r="P178" s="362">
        <v>1</v>
      </c>
    </row>
    <row r="179" spans="1:16" ht="15">
      <c r="A179" s="66">
        <v>177</v>
      </c>
      <c r="B179" s="232" t="s">
        <v>68</v>
      </c>
      <c r="C179" s="216">
        <v>39759</v>
      </c>
      <c r="D179" s="217" t="s">
        <v>137</v>
      </c>
      <c r="E179" s="217" t="s">
        <v>31</v>
      </c>
      <c r="F179" s="218">
        <v>40</v>
      </c>
      <c r="G179" s="218">
        <v>3</v>
      </c>
      <c r="H179" s="218">
        <v>10</v>
      </c>
      <c r="I179" s="338">
        <v>1450</v>
      </c>
      <c r="J179" s="339">
        <v>318</v>
      </c>
      <c r="K179" s="219">
        <f>IF(I179&lt;&gt;0,J179/G179,"")</f>
        <v>106</v>
      </c>
      <c r="L179" s="220">
        <f>IF(I179&lt;&gt;0,I179/J179,"")</f>
        <v>4.559748427672956</v>
      </c>
      <c r="M179" s="221">
        <f>84918+52341+11404+7823+3207+2014+937+2034+556+1450</f>
        <v>166684</v>
      </c>
      <c r="N179" s="222">
        <f>10694+7043+2046+1560+538+345+174+389+77+318</f>
        <v>23184</v>
      </c>
      <c r="O179" s="237">
        <f>IF(M179&lt;&gt;0,M179/N179,"")</f>
        <v>7.1896135265700485</v>
      </c>
      <c r="P179" s="364"/>
    </row>
    <row r="180" spans="1:16" ht="15">
      <c r="A180" s="66">
        <v>178</v>
      </c>
      <c r="B180" s="293" t="s">
        <v>69</v>
      </c>
      <c r="C180" s="286">
        <v>39766</v>
      </c>
      <c r="D180" s="285" t="s">
        <v>135</v>
      </c>
      <c r="E180" s="285" t="s">
        <v>50</v>
      </c>
      <c r="F180" s="287">
        <v>20</v>
      </c>
      <c r="G180" s="287">
        <v>1</v>
      </c>
      <c r="H180" s="287">
        <v>12</v>
      </c>
      <c r="I180" s="288">
        <v>1424</v>
      </c>
      <c r="J180" s="289">
        <v>356</v>
      </c>
      <c r="K180" s="290">
        <f>(J180/G180)</f>
        <v>356</v>
      </c>
      <c r="L180" s="291">
        <f>I180/J180</f>
        <v>4</v>
      </c>
      <c r="M180" s="292">
        <f>109364.5+38539+31287+12101+5368+8640.5+12331+9410+9143+5719+2775+1424</f>
        <v>246102</v>
      </c>
      <c r="N180" s="290">
        <f>11866+4674+4443+2133+1061+1670+2334+1542+1728+1224+544+356</f>
        <v>33575</v>
      </c>
      <c r="O180" s="302">
        <f>+M180/N180</f>
        <v>7.329918093819806</v>
      </c>
      <c r="P180" s="364">
        <v>1</v>
      </c>
    </row>
    <row r="181" spans="1:16" ht="15">
      <c r="A181" s="66">
        <v>179</v>
      </c>
      <c r="B181" s="49" t="s">
        <v>17</v>
      </c>
      <c r="C181" s="40">
        <v>39717</v>
      </c>
      <c r="D181" s="45" t="s">
        <v>135</v>
      </c>
      <c r="E181" s="44" t="s">
        <v>18</v>
      </c>
      <c r="F181" s="41">
        <v>113</v>
      </c>
      <c r="G181" s="41">
        <v>1</v>
      </c>
      <c r="H181" s="41">
        <v>10</v>
      </c>
      <c r="I181" s="330">
        <v>1424</v>
      </c>
      <c r="J181" s="340">
        <v>356</v>
      </c>
      <c r="K181" s="158">
        <f>(J181/G181)</f>
        <v>356</v>
      </c>
      <c r="L181" s="159">
        <f>I181/J181</f>
        <v>4</v>
      </c>
      <c r="M181" s="150">
        <f>632132.5+337048.5+126471+47854+18242+7477+2804+4752+7760+1424</f>
        <v>1185965</v>
      </c>
      <c r="N181" s="151">
        <f>68536+38225+16179+8425+3627+1827+662+1188+1940+356</f>
        <v>140965</v>
      </c>
      <c r="O181" s="105">
        <f>M181/N181</f>
        <v>8.4131876706984</v>
      </c>
      <c r="P181" s="362"/>
    </row>
    <row r="182" spans="1:16" ht="15">
      <c r="A182" s="66">
        <v>180</v>
      </c>
      <c r="B182" s="293" t="s">
        <v>220</v>
      </c>
      <c r="C182" s="286">
        <v>39808</v>
      </c>
      <c r="D182" s="285" t="s">
        <v>132</v>
      </c>
      <c r="E182" s="285" t="s">
        <v>112</v>
      </c>
      <c r="F182" s="287">
        <v>112</v>
      </c>
      <c r="G182" s="287">
        <v>5</v>
      </c>
      <c r="H182" s="287">
        <v>9</v>
      </c>
      <c r="I182" s="288">
        <v>1412</v>
      </c>
      <c r="J182" s="289">
        <v>274</v>
      </c>
      <c r="K182" s="290">
        <f>J182/G182</f>
        <v>54.8</v>
      </c>
      <c r="L182" s="291">
        <f>+I182/J182</f>
        <v>5.153284671532846</v>
      </c>
      <c r="M182" s="292">
        <v>208679</v>
      </c>
      <c r="N182" s="290">
        <v>208405</v>
      </c>
      <c r="O182" s="302">
        <f>+M182/N182</f>
        <v>1.001314747726782</v>
      </c>
      <c r="P182" s="362"/>
    </row>
    <row r="183" spans="1:16" ht="15">
      <c r="A183" s="66">
        <v>181</v>
      </c>
      <c r="B183" s="234" t="s">
        <v>45</v>
      </c>
      <c r="C183" s="229">
        <v>39780</v>
      </c>
      <c r="D183" s="217" t="s">
        <v>135</v>
      </c>
      <c r="E183" s="227" t="s">
        <v>78</v>
      </c>
      <c r="F183" s="228">
        <v>61</v>
      </c>
      <c r="G183" s="228">
        <v>3</v>
      </c>
      <c r="H183" s="228">
        <v>7</v>
      </c>
      <c r="I183" s="324">
        <v>1387</v>
      </c>
      <c r="J183" s="325">
        <v>309</v>
      </c>
      <c r="K183" s="223">
        <f>(J183/G183)</f>
        <v>103</v>
      </c>
      <c r="L183" s="224">
        <f>I183/J183</f>
        <v>4.488673139158576</v>
      </c>
      <c r="M183" s="225">
        <f>499000.5+313125.5+89561.5+27980+2002.5+4772+1387</f>
        <v>937829</v>
      </c>
      <c r="N183" s="226">
        <f>48458+27725+9315+4737+330+944+309</f>
        <v>91818</v>
      </c>
      <c r="O183" s="233">
        <f>M183/N183</f>
        <v>10.213999433662245</v>
      </c>
      <c r="P183" s="364"/>
    </row>
    <row r="184" spans="1:16" ht="15">
      <c r="A184" s="66">
        <v>182</v>
      </c>
      <c r="B184" s="293" t="s">
        <v>45</v>
      </c>
      <c r="C184" s="286">
        <v>39780</v>
      </c>
      <c r="D184" s="285" t="s">
        <v>135</v>
      </c>
      <c r="E184" s="285" t="s">
        <v>78</v>
      </c>
      <c r="F184" s="287">
        <v>61</v>
      </c>
      <c r="G184" s="287">
        <v>1</v>
      </c>
      <c r="H184" s="287">
        <v>10</v>
      </c>
      <c r="I184" s="288">
        <v>1387</v>
      </c>
      <c r="J184" s="289">
        <v>250</v>
      </c>
      <c r="K184" s="290">
        <f>(J184/G184)</f>
        <v>250</v>
      </c>
      <c r="L184" s="291">
        <f>I184/J184</f>
        <v>5.548</v>
      </c>
      <c r="M184" s="292">
        <f>499000.5+313125.5+89561.5+27980+2002.5+4772+1387+1470+1387+1387</f>
        <v>942073</v>
      </c>
      <c r="N184" s="290">
        <f>48458+27725+9315+4737+330+944+309+224+175+250</f>
        <v>92467</v>
      </c>
      <c r="O184" s="302">
        <f>M184/N184</f>
        <v>10.188207684903803</v>
      </c>
      <c r="P184" s="364"/>
    </row>
    <row r="185" spans="1:16" ht="15">
      <c r="A185" s="66">
        <v>183</v>
      </c>
      <c r="B185" s="281" t="s">
        <v>45</v>
      </c>
      <c r="C185" s="40">
        <v>39780</v>
      </c>
      <c r="D185" s="127" t="s">
        <v>135</v>
      </c>
      <c r="E185" s="261" t="s">
        <v>78</v>
      </c>
      <c r="F185" s="262">
        <v>61</v>
      </c>
      <c r="G185" s="262">
        <v>2</v>
      </c>
      <c r="H185" s="262">
        <v>9</v>
      </c>
      <c r="I185" s="273">
        <v>1387</v>
      </c>
      <c r="J185" s="274">
        <v>175</v>
      </c>
      <c r="K185" s="275">
        <f>(J185/G185)</f>
        <v>87.5</v>
      </c>
      <c r="L185" s="159">
        <f>I185/J185</f>
        <v>7.925714285714286</v>
      </c>
      <c r="M185" s="276">
        <f>499000.5+313125.5+89561.5+27980+2002.5+4772+1387+1470+1387</f>
        <v>940686</v>
      </c>
      <c r="N185" s="277">
        <f>48458+27725+9315+4737+330+944+309+224+175</f>
        <v>92217</v>
      </c>
      <c r="O185" s="105">
        <f>M185/N185</f>
        <v>10.20078727349621</v>
      </c>
      <c r="P185" s="362">
        <v>1</v>
      </c>
    </row>
    <row r="186" spans="1:16" ht="15">
      <c r="A186" s="66">
        <v>184</v>
      </c>
      <c r="B186" s="48" t="s">
        <v>41</v>
      </c>
      <c r="C186" s="39">
        <v>39745</v>
      </c>
      <c r="D186" s="43" t="s">
        <v>131</v>
      </c>
      <c r="E186" s="42" t="s">
        <v>35</v>
      </c>
      <c r="F186" s="54">
        <v>202</v>
      </c>
      <c r="G186" s="54">
        <v>1</v>
      </c>
      <c r="H186" s="54">
        <v>12</v>
      </c>
      <c r="I186" s="330">
        <v>1334</v>
      </c>
      <c r="J186" s="331">
        <v>265</v>
      </c>
      <c r="K186" s="158">
        <f>J186/G186</f>
        <v>265</v>
      </c>
      <c r="L186" s="159">
        <f>I186/J186</f>
        <v>5.033962264150944</v>
      </c>
      <c r="M186" s="150">
        <f>2979211+551475+289248+35506+23768+5044+549+3932+1192+2189+1334</f>
        <v>3893448</v>
      </c>
      <c r="N186" s="151">
        <f>374252+72341+40702+5164+4326+1290+108+783+296+433+265</f>
        <v>499960</v>
      </c>
      <c r="O186" s="105">
        <f>+M186/N186</f>
        <v>7.787519001520121</v>
      </c>
      <c r="P186" s="364"/>
    </row>
    <row r="187" spans="1:16" ht="15">
      <c r="A187" s="66">
        <v>185</v>
      </c>
      <c r="B187" s="53" t="s">
        <v>56</v>
      </c>
      <c r="C187" s="39">
        <v>39745</v>
      </c>
      <c r="D187" s="127" t="s">
        <v>137</v>
      </c>
      <c r="E187" s="127" t="s">
        <v>46</v>
      </c>
      <c r="F187" s="50">
        <v>104</v>
      </c>
      <c r="G187" s="50">
        <v>3</v>
      </c>
      <c r="H187" s="50">
        <v>14</v>
      </c>
      <c r="I187" s="269">
        <v>1323</v>
      </c>
      <c r="J187" s="270">
        <v>195</v>
      </c>
      <c r="K187" s="271">
        <f>IF(I187&lt;&gt;0,J187/G187,"")</f>
        <v>65</v>
      </c>
      <c r="L187" s="153">
        <f>IF(I187&lt;&gt;0,I187/J187,"")</f>
        <v>6.7846153846153845</v>
      </c>
      <c r="M187" s="272">
        <f>821522+622841.5+494230+434015.5+185757.5+145248.5+16130+16159+2033+6489+4346+3565+2540+1323</f>
        <v>2756200</v>
      </c>
      <c r="N187" s="268">
        <f>99216+78381+65128+58419+30420+24530+3077+3918+431+1704+1003+785+507+195</f>
        <v>367714</v>
      </c>
      <c r="O187" s="104">
        <f>IF(M187&lt;&gt;0,M187/N187,"")</f>
        <v>7.495499219502113</v>
      </c>
      <c r="P187" s="364"/>
    </row>
    <row r="188" spans="1:16" ht="15">
      <c r="A188" s="66">
        <v>186</v>
      </c>
      <c r="B188" s="281" t="s">
        <v>57</v>
      </c>
      <c r="C188" s="40">
        <v>39745</v>
      </c>
      <c r="D188" s="261" t="s">
        <v>132</v>
      </c>
      <c r="E188" s="261" t="s">
        <v>167</v>
      </c>
      <c r="F188" s="262">
        <v>57</v>
      </c>
      <c r="G188" s="262">
        <v>3</v>
      </c>
      <c r="H188" s="262">
        <v>14</v>
      </c>
      <c r="I188" s="263">
        <v>1302</v>
      </c>
      <c r="J188" s="264">
        <v>805</v>
      </c>
      <c r="K188" s="268">
        <f>J188/G188</f>
        <v>268.3333333333333</v>
      </c>
      <c r="L188" s="156">
        <f>+I188/J188</f>
        <v>1.617391304347826</v>
      </c>
      <c r="M188" s="267">
        <v>1170552</v>
      </c>
      <c r="N188" s="268">
        <v>126937</v>
      </c>
      <c r="O188" s="103">
        <f>+M188/N188</f>
        <v>9.221519336363707</v>
      </c>
      <c r="P188" s="364"/>
    </row>
    <row r="189" spans="1:16" ht="15">
      <c r="A189" s="66">
        <v>187</v>
      </c>
      <c r="B189" s="293" t="s">
        <v>70</v>
      </c>
      <c r="C189" s="286">
        <v>39766</v>
      </c>
      <c r="D189" s="285" t="s">
        <v>133</v>
      </c>
      <c r="E189" s="285" t="s">
        <v>204</v>
      </c>
      <c r="F189" s="287">
        <v>2</v>
      </c>
      <c r="G189" s="287">
        <v>2</v>
      </c>
      <c r="H189" s="287">
        <v>17</v>
      </c>
      <c r="I189" s="288">
        <v>1289</v>
      </c>
      <c r="J189" s="289">
        <v>202</v>
      </c>
      <c r="K189" s="290">
        <f>J189/G189</f>
        <v>101</v>
      </c>
      <c r="L189" s="291">
        <f aca="true" t="shared" si="7" ref="L189:L197">I189/J189</f>
        <v>6.381188118811881</v>
      </c>
      <c r="M189" s="292">
        <f>191668+16358.5+8305+0.5+19699.5+16705.5+7289+4467+3138+2267+1882+6536+9273+1289</f>
        <v>288878</v>
      </c>
      <c r="N189" s="290">
        <f>10324+8249+7871+7121+4755+3362+1751+2958+2636+1185+800+596+440+265+961+1648+202</f>
        <v>55124</v>
      </c>
      <c r="O189" s="302">
        <f>+M189/N189</f>
        <v>5.240512299542849</v>
      </c>
      <c r="P189" s="364"/>
    </row>
    <row r="190" spans="1:16" ht="15">
      <c r="A190" s="66">
        <v>188</v>
      </c>
      <c r="B190" s="293" t="s">
        <v>47</v>
      </c>
      <c r="C190" s="286">
        <v>39780</v>
      </c>
      <c r="D190" s="285" t="s">
        <v>135</v>
      </c>
      <c r="E190" s="285" t="s">
        <v>243</v>
      </c>
      <c r="F190" s="287">
        <v>6</v>
      </c>
      <c r="G190" s="287">
        <v>1</v>
      </c>
      <c r="H190" s="287">
        <v>10</v>
      </c>
      <c r="I190" s="288">
        <v>1289</v>
      </c>
      <c r="J190" s="289">
        <v>142</v>
      </c>
      <c r="K190" s="290">
        <f>(J190/G190)</f>
        <v>142</v>
      </c>
      <c r="L190" s="291">
        <f t="shared" si="7"/>
        <v>9.077464788732394</v>
      </c>
      <c r="M190" s="292">
        <f>25457+3030+1123+7370+430+997+6202+886+691.5+1289</f>
        <v>47475.5</v>
      </c>
      <c r="N190" s="290">
        <f>2151+404+165+1079+59+230+1523+213+105+142</f>
        <v>6071</v>
      </c>
      <c r="O190" s="302">
        <f>M190/N190</f>
        <v>7.820046120902652</v>
      </c>
      <c r="P190" s="364">
        <v>1</v>
      </c>
    </row>
    <row r="191" spans="1:16" ht="15">
      <c r="A191" s="66">
        <v>189</v>
      </c>
      <c r="B191" s="48" t="s">
        <v>62</v>
      </c>
      <c r="C191" s="39">
        <v>39689</v>
      </c>
      <c r="D191" s="43" t="s">
        <v>131</v>
      </c>
      <c r="E191" s="42" t="s">
        <v>63</v>
      </c>
      <c r="F191" s="54">
        <v>100</v>
      </c>
      <c r="G191" s="54">
        <v>2</v>
      </c>
      <c r="H191" s="54">
        <v>11</v>
      </c>
      <c r="I191" s="330">
        <v>1278</v>
      </c>
      <c r="J191" s="331">
        <v>206</v>
      </c>
      <c r="K191" s="158">
        <f>J191/G191</f>
        <v>103</v>
      </c>
      <c r="L191" s="159">
        <f t="shared" si="7"/>
        <v>6.203883495145631</v>
      </c>
      <c r="M191" s="150">
        <f>17818+1364876+864151+384239+240974+16635+2871+5064-50+5187+276+2654+1278</f>
        <v>2905973</v>
      </c>
      <c r="N191" s="151">
        <f>1487+139515+89937+39711+26370+2302+499+787-9+1471+55+1243+206</f>
        <v>303574</v>
      </c>
      <c r="O191" s="105">
        <f aca="true" t="shared" si="8" ref="O191:O196">+M191/N191</f>
        <v>9.572535856166866</v>
      </c>
      <c r="P191" s="364">
        <v>1</v>
      </c>
    </row>
    <row r="192" spans="1:16" ht="15">
      <c r="A192" s="66">
        <v>190</v>
      </c>
      <c r="B192" s="53" t="s">
        <v>41</v>
      </c>
      <c r="C192" s="39">
        <v>39745</v>
      </c>
      <c r="D192" s="127" t="s">
        <v>131</v>
      </c>
      <c r="E192" s="127" t="s">
        <v>35</v>
      </c>
      <c r="F192" s="50">
        <v>202</v>
      </c>
      <c r="G192" s="50">
        <v>1</v>
      </c>
      <c r="H192" s="50">
        <v>13</v>
      </c>
      <c r="I192" s="273">
        <v>1224</v>
      </c>
      <c r="J192" s="274">
        <v>296</v>
      </c>
      <c r="K192" s="275">
        <f>J192/G192</f>
        <v>296</v>
      </c>
      <c r="L192" s="159">
        <f t="shared" si="7"/>
        <v>4.135135135135135</v>
      </c>
      <c r="M192" s="276">
        <f>2979211+551475+289248+35506+23768+5044+549+3932+1192+2189+1334+1224</f>
        <v>3894672</v>
      </c>
      <c r="N192" s="277">
        <f>374252+72341+40702+5164+4326+1290+108+783+296+433+265+296</f>
        <v>500256</v>
      </c>
      <c r="O192" s="105">
        <f t="shared" si="8"/>
        <v>7.78535789675686</v>
      </c>
      <c r="P192" s="363">
        <v>1</v>
      </c>
    </row>
    <row r="193" spans="1:16" ht="15">
      <c r="A193" s="66">
        <v>191</v>
      </c>
      <c r="B193" s="293" t="s">
        <v>23</v>
      </c>
      <c r="C193" s="286">
        <v>39808</v>
      </c>
      <c r="D193" s="285" t="s">
        <v>137</v>
      </c>
      <c r="E193" s="285" t="s">
        <v>24</v>
      </c>
      <c r="F193" s="287">
        <v>198</v>
      </c>
      <c r="G193" s="287">
        <v>1</v>
      </c>
      <c r="H193" s="287">
        <v>9</v>
      </c>
      <c r="I193" s="288">
        <v>1208</v>
      </c>
      <c r="J193" s="289">
        <v>242</v>
      </c>
      <c r="K193" s="290">
        <f>IF(I193&lt;&gt;0,J193/G193,"")</f>
        <v>242</v>
      </c>
      <c r="L193" s="291">
        <f t="shared" si="7"/>
        <v>4.991735537190083</v>
      </c>
      <c r="M193" s="292">
        <f>909072+532572.5+214521.5+64908+15178.5+4216.5+2023+1098+1208</f>
        <v>1744798</v>
      </c>
      <c r="N193" s="290">
        <f>112486+67146+29772+10700+3086+733+452+228+242</f>
        <v>224845</v>
      </c>
      <c r="O193" s="302">
        <f t="shared" si="8"/>
        <v>7.760003558006627</v>
      </c>
      <c r="P193" s="364"/>
    </row>
    <row r="194" spans="1:16" ht="15">
      <c r="A194" s="66">
        <v>192</v>
      </c>
      <c r="B194" s="48" t="s">
        <v>41</v>
      </c>
      <c r="C194" s="39">
        <v>39745</v>
      </c>
      <c r="D194" s="43" t="s">
        <v>131</v>
      </c>
      <c r="E194" s="42" t="s">
        <v>35</v>
      </c>
      <c r="F194" s="54">
        <v>202</v>
      </c>
      <c r="G194" s="54">
        <v>1</v>
      </c>
      <c r="H194" s="54">
        <v>10</v>
      </c>
      <c r="I194" s="330">
        <v>1192</v>
      </c>
      <c r="J194" s="331">
        <v>296</v>
      </c>
      <c r="K194" s="158">
        <f>J194/G194</f>
        <v>296</v>
      </c>
      <c r="L194" s="159">
        <f t="shared" si="7"/>
        <v>4.027027027027027</v>
      </c>
      <c r="M194" s="150">
        <f>2979211+551475+289248+35506+23768+5044+549+3932+1192</f>
        <v>3889925</v>
      </c>
      <c r="N194" s="151">
        <f>374252+72341+40702+5164+4326+1290+108+783+296</f>
        <v>499262</v>
      </c>
      <c r="O194" s="105">
        <f t="shared" si="8"/>
        <v>7.791350032648189</v>
      </c>
      <c r="P194" s="364"/>
    </row>
    <row r="195" spans="1:16" ht="15">
      <c r="A195" s="66">
        <v>193</v>
      </c>
      <c r="B195" s="293" t="s">
        <v>145</v>
      </c>
      <c r="C195" s="286">
        <v>39801</v>
      </c>
      <c r="D195" s="285" t="s">
        <v>131</v>
      </c>
      <c r="E195" s="285" t="s">
        <v>123</v>
      </c>
      <c r="F195" s="287">
        <v>69</v>
      </c>
      <c r="G195" s="287">
        <v>1</v>
      </c>
      <c r="H195" s="287">
        <v>9</v>
      </c>
      <c r="I195" s="288">
        <v>1191</v>
      </c>
      <c r="J195" s="289">
        <v>191</v>
      </c>
      <c r="K195" s="290">
        <f>J195/G195</f>
        <v>191</v>
      </c>
      <c r="L195" s="291">
        <f t="shared" si="7"/>
        <v>6.2356020942408374</v>
      </c>
      <c r="M195" s="292">
        <f>820286+588484+413907+112495+41441-111+9385+4586+8718+1191</f>
        <v>2000382</v>
      </c>
      <c r="N195" s="290">
        <f>83839+57678+42374+12212+5722-11+2124+1350+1256+191</f>
        <v>206735</v>
      </c>
      <c r="O195" s="302">
        <f t="shared" si="8"/>
        <v>9.676068396739788</v>
      </c>
      <c r="P195" s="364"/>
    </row>
    <row r="196" spans="1:16" ht="15">
      <c r="A196" s="66">
        <v>194</v>
      </c>
      <c r="B196" s="293" t="s">
        <v>67</v>
      </c>
      <c r="C196" s="286">
        <v>39759</v>
      </c>
      <c r="D196" s="285" t="s">
        <v>135</v>
      </c>
      <c r="E196" s="285" t="s">
        <v>144</v>
      </c>
      <c r="F196" s="287">
        <v>93</v>
      </c>
      <c r="G196" s="287">
        <v>1</v>
      </c>
      <c r="H196" s="287">
        <v>13</v>
      </c>
      <c r="I196" s="288">
        <v>1188</v>
      </c>
      <c r="J196" s="289">
        <v>297</v>
      </c>
      <c r="K196" s="290">
        <f>(J196/G196)</f>
        <v>297</v>
      </c>
      <c r="L196" s="291">
        <f t="shared" si="7"/>
        <v>4</v>
      </c>
      <c r="M196" s="292">
        <f>224223+136351+27895+24212+1274+3482+7147+2804+5279+2025+2635+2196+1188</f>
        <v>440711</v>
      </c>
      <c r="N196" s="290">
        <f>27969+18593+4268+4646+311+857+1472+745+1285+386+636+549+297</f>
        <v>62014</v>
      </c>
      <c r="O196" s="302">
        <f t="shared" si="8"/>
        <v>7.106637210952366</v>
      </c>
      <c r="P196" s="363">
        <v>1</v>
      </c>
    </row>
    <row r="197" spans="1:16" ht="15">
      <c r="A197" s="66">
        <v>195</v>
      </c>
      <c r="B197" s="293" t="s">
        <v>53</v>
      </c>
      <c r="C197" s="286">
        <v>39738</v>
      </c>
      <c r="D197" s="285" t="s">
        <v>135</v>
      </c>
      <c r="E197" s="285" t="s">
        <v>54</v>
      </c>
      <c r="F197" s="287">
        <v>67</v>
      </c>
      <c r="G197" s="287">
        <v>2</v>
      </c>
      <c r="H197" s="287">
        <v>19</v>
      </c>
      <c r="I197" s="288">
        <v>1147</v>
      </c>
      <c r="J197" s="289">
        <v>333</v>
      </c>
      <c r="K197" s="290">
        <f>(J197/G197)</f>
        <v>166.5</v>
      </c>
      <c r="L197" s="291">
        <f t="shared" si="7"/>
        <v>3.4444444444444446</v>
      </c>
      <c r="M197" s="292">
        <f>167196+176809+54428+37340+38330.5+23467+11581+5867+4382+2577+3552+2137+545+4006+9422+7992+4936+1547+1147</f>
        <v>557261.5</v>
      </c>
      <c r="N197" s="290">
        <f>19168+21164+7719+6215+6404+4964+2339+1306+907+580+859+440+127+905+2170+1822+1050+392+333</f>
        <v>78864</v>
      </c>
      <c r="O197" s="302">
        <f>M197/N197</f>
        <v>7.066107476161493</v>
      </c>
      <c r="P197" s="364">
        <v>1</v>
      </c>
    </row>
    <row r="198" spans="1:16" ht="15">
      <c r="A198" s="66">
        <v>196</v>
      </c>
      <c r="B198" s="53" t="s">
        <v>58</v>
      </c>
      <c r="C198" s="39">
        <v>39745</v>
      </c>
      <c r="D198" s="45" t="s">
        <v>4</v>
      </c>
      <c r="E198" s="45" t="s">
        <v>59</v>
      </c>
      <c r="F198" s="50">
        <v>72</v>
      </c>
      <c r="G198" s="50">
        <v>3</v>
      </c>
      <c r="H198" s="50">
        <v>11</v>
      </c>
      <c r="I198" s="330">
        <v>1146</v>
      </c>
      <c r="J198" s="340">
        <v>178</v>
      </c>
      <c r="K198" s="152">
        <f>+J198/G198</f>
        <v>59.333333333333336</v>
      </c>
      <c r="L198" s="153">
        <f>+I198/J198</f>
        <v>6.438202247191011</v>
      </c>
      <c r="M198" s="150">
        <v>1284354</v>
      </c>
      <c r="N198" s="151">
        <v>145282</v>
      </c>
      <c r="O198" s="104">
        <f>+M198/N198</f>
        <v>8.840420699054253</v>
      </c>
      <c r="P198" s="363"/>
    </row>
    <row r="199" spans="1:16" ht="15">
      <c r="A199" s="66">
        <v>197</v>
      </c>
      <c r="B199" s="293" t="s">
        <v>45</v>
      </c>
      <c r="C199" s="286">
        <v>39780</v>
      </c>
      <c r="D199" s="285" t="s">
        <v>135</v>
      </c>
      <c r="E199" s="285" t="s">
        <v>78</v>
      </c>
      <c r="F199" s="287">
        <v>61</v>
      </c>
      <c r="G199" s="287">
        <v>1</v>
      </c>
      <c r="H199" s="287">
        <v>11</v>
      </c>
      <c r="I199" s="288">
        <v>1119</v>
      </c>
      <c r="J199" s="289">
        <v>246</v>
      </c>
      <c r="K199" s="290">
        <f>(J199/G199)</f>
        <v>246</v>
      </c>
      <c r="L199" s="291">
        <f>I199/J199</f>
        <v>4.548780487804878</v>
      </c>
      <c r="M199" s="292">
        <f>499000.5+313125.5+89561.5+27980+2002.5+4772+1387+1470+1387+1387+1119</f>
        <v>943192</v>
      </c>
      <c r="N199" s="290">
        <f>48458+27725+9315+4737+330+944+309+224+175+250+246</f>
        <v>92713</v>
      </c>
      <c r="O199" s="302">
        <f>M199/N199</f>
        <v>10.173244313095251</v>
      </c>
      <c r="P199" s="364">
        <v>1</v>
      </c>
    </row>
    <row r="200" spans="1:16" ht="15">
      <c r="A200" s="66">
        <v>198</v>
      </c>
      <c r="B200" s="293" t="s">
        <v>23</v>
      </c>
      <c r="C200" s="286">
        <v>39808</v>
      </c>
      <c r="D200" s="285" t="s">
        <v>137</v>
      </c>
      <c r="E200" s="285" t="s">
        <v>24</v>
      </c>
      <c r="F200" s="287">
        <v>198</v>
      </c>
      <c r="G200" s="287">
        <v>2</v>
      </c>
      <c r="H200" s="287">
        <v>8</v>
      </c>
      <c r="I200" s="288">
        <v>1098</v>
      </c>
      <c r="J200" s="289">
        <v>228</v>
      </c>
      <c r="K200" s="290">
        <f>IF(I200&lt;&gt;0,J200/G200,"")</f>
        <v>114</v>
      </c>
      <c r="L200" s="291">
        <f>IF(I200&lt;&gt;0,I200/J200,"")</f>
        <v>4.815789473684211</v>
      </c>
      <c r="M200" s="292">
        <f>909072+532572.5+214521.5+64908+15178.5+4216.5+2023+1098</f>
        <v>1743590</v>
      </c>
      <c r="N200" s="290">
        <f>112486+67146+29772+10700+3086+733+452+228</f>
        <v>224603</v>
      </c>
      <c r="O200" s="302">
        <f>+M200/N200</f>
        <v>7.762986246844433</v>
      </c>
      <c r="P200" s="364">
        <v>1</v>
      </c>
    </row>
    <row r="201" spans="1:16" ht="15">
      <c r="A201" s="66">
        <v>199</v>
      </c>
      <c r="B201" s="293" t="s">
        <v>140</v>
      </c>
      <c r="C201" s="286">
        <v>39787</v>
      </c>
      <c r="D201" s="285" t="s">
        <v>133</v>
      </c>
      <c r="E201" s="285" t="s">
        <v>141</v>
      </c>
      <c r="F201" s="287">
        <v>1</v>
      </c>
      <c r="G201" s="287">
        <v>1</v>
      </c>
      <c r="H201" s="287">
        <v>13</v>
      </c>
      <c r="I201" s="288">
        <v>1095</v>
      </c>
      <c r="J201" s="289">
        <v>218</v>
      </c>
      <c r="K201" s="290">
        <f>J201/G201</f>
        <v>218</v>
      </c>
      <c r="L201" s="291">
        <f>IF(I201&lt;&gt;0,I201/J201,"")</f>
        <v>5.022935779816514</v>
      </c>
      <c r="M201" s="292">
        <v>18047232</v>
      </c>
      <c r="N201" s="290">
        <v>2310169</v>
      </c>
      <c r="O201" s="302">
        <f>+M201/N201</f>
        <v>7.812083012108638</v>
      </c>
      <c r="P201" s="362">
        <v>1</v>
      </c>
    </row>
    <row r="202" spans="1:16" ht="15">
      <c r="A202" s="66">
        <v>200</v>
      </c>
      <c r="B202" s="293" t="s">
        <v>150</v>
      </c>
      <c r="C202" s="286">
        <v>39801</v>
      </c>
      <c r="D202" s="285" t="s">
        <v>4</v>
      </c>
      <c r="E202" s="285" t="s">
        <v>77</v>
      </c>
      <c r="F202" s="287">
        <v>19</v>
      </c>
      <c r="G202" s="287">
        <v>4</v>
      </c>
      <c r="H202" s="287">
        <v>8</v>
      </c>
      <c r="I202" s="288">
        <v>1078</v>
      </c>
      <c r="J202" s="289">
        <v>156</v>
      </c>
      <c r="K202" s="290">
        <f>J202/G202</f>
        <v>39</v>
      </c>
      <c r="L202" s="291">
        <f>I202/J202</f>
        <v>6.910256410256411</v>
      </c>
      <c r="M202" s="292">
        <v>139967</v>
      </c>
      <c r="N202" s="290">
        <v>13235</v>
      </c>
      <c r="O202" s="302">
        <f>+M202/N202</f>
        <v>10.57551945598791</v>
      </c>
      <c r="P202" s="364">
        <v>1</v>
      </c>
    </row>
    <row r="203" spans="1:16" ht="15">
      <c r="A203" s="66">
        <v>201</v>
      </c>
      <c r="B203" s="293" t="s">
        <v>60</v>
      </c>
      <c r="C203" s="286">
        <v>39745</v>
      </c>
      <c r="D203" s="285" t="s">
        <v>135</v>
      </c>
      <c r="E203" s="285" t="s">
        <v>107</v>
      </c>
      <c r="F203" s="287">
        <v>7</v>
      </c>
      <c r="G203" s="287">
        <v>1</v>
      </c>
      <c r="H203" s="287">
        <v>12</v>
      </c>
      <c r="I203" s="288">
        <v>1066</v>
      </c>
      <c r="J203" s="289">
        <v>258</v>
      </c>
      <c r="K203" s="290">
        <f>(J203/G203)</f>
        <v>258</v>
      </c>
      <c r="L203" s="291">
        <f>I203/J203</f>
        <v>4.131782945736434</v>
      </c>
      <c r="M203" s="292">
        <f>31758.5+8225.5+1958+2180+395+7254.5+494+2046+429+128+135+1066</f>
        <v>56069.5</v>
      </c>
      <c r="N203" s="290">
        <f>2732+851+288+247+46+761+52+333+72+22+23+258</f>
        <v>5685</v>
      </c>
      <c r="O203" s="302">
        <f>M203/N203</f>
        <v>9.862708883025507</v>
      </c>
      <c r="P203" s="363"/>
    </row>
    <row r="204" spans="1:16" ht="15">
      <c r="A204" s="66">
        <v>202</v>
      </c>
      <c r="B204" s="293" t="s">
        <v>145</v>
      </c>
      <c r="C204" s="286">
        <v>39801</v>
      </c>
      <c r="D204" s="285" t="s">
        <v>131</v>
      </c>
      <c r="E204" s="285" t="s">
        <v>123</v>
      </c>
      <c r="F204" s="287">
        <v>69</v>
      </c>
      <c r="G204" s="287">
        <v>1</v>
      </c>
      <c r="H204" s="287">
        <v>11</v>
      </c>
      <c r="I204" s="288">
        <v>1065</v>
      </c>
      <c r="J204" s="289">
        <v>182</v>
      </c>
      <c r="K204" s="290">
        <f>J204/G204</f>
        <v>182</v>
      </c>
      <c r="L204" s="291">
        <f>I204/J204</f>
        <v>5.851648351648351</v>
      </c>
      <c r="M204" s="292">
        <f>820286+588484+413907+112495+41441-111+9385+4586+8718+1191+251+1065</f>
        <v>2001698</v>
      </c>
      <c r="N204" s="290">
        <f>83839+57678+42374+12212+5722-11+2124+1350+1256+191+41+182</f>
        <v>206958</v>
      </c>
      <c r="O204" s="302">
        <f>+M204/N204</f>
        <v>9.67200108234521</v>
      </c>
      <c r="P204" s="364"/>
    </row>
    <row r="205" spans="1:16" ht="15">
      <c r="A205" s="66">
        <v>203</v>
      </c>
      <c r="B205" s="293" t="s">
        <v>143</v>
      </c>
      <c r="C205" s="286">
        <v>39794</v>
      </c>
      <c r="D205" s="285" t="s">
        <v>135</v>
      </c>
      <c r="E205" s="285" t="s">
        <v>134</v>
      </c>
      <c r="F205" s="287">
        <v>100</v>
      </c>
      <c r="G205" s="287">
        <v>2</v>
      </c>
      <c r="H205" s="287">
        <v>13</v>
      </c>
      <c r="I205" s="288">
        <v>1049</v>
      </c>
      <c r="J205" s="289">
        <v>169</v>
      </c>
      <c r="K205" s="290">
        <f>(J205/G205)</f>
        <v>84.5</v>
      </c>
      <c r="L205" s="291">
        <f>I205/J205</f>
        <v>6.207100591715976</v>
      </c>
      <c r="M205" s="292">
        <f>1276778.5+626123+380324+112679.5+54533+36086+4129+3620.5+4348+1030+1904+420+1049</f>
        <v>2503024.5</v>
      </c>
      <c r="N205" s="290">
        <f>133555+68793+41581+14968+8873+6454+539+324+976+204+524+65+169</f>
        <v>277025</v>
      </c>
      <c r="O205" s="302">
        <f>M205/N205</f>
        <v>9.035374063712661</v>
      </c>
      <c r="P205" s="362"/>
    </row>
    <row r="206" spans="1:16" ht="15">
      <c r="A206" s="66">
        <v>204</v>
      </c>
      <c r="B206" s="293" t="s">
        <v>72</v>
      </c>
      <c r="C206" s="286">
        <v>39773</v>
      </c>
      <c r="D206" s="285" t="s">
        <v>132</v>
      </c>
      <c r="E206" s="285" t="s">
        <v>127</v>
      </c>
      <c r="F206" s="287">
        <v>204</v>
      </c>
      <c r="G206" s="287">
        <v>1</v>
      </c>
      <c r="H206" s="287">
        <v>16</v>
      </c>
      <c r="I206" s="288">
        <v>1043</v>
      </c>
      <c r="J206" s="289">
        <v>190</v>
      </c>
      <c r="K206" s="290">
        <f>J206/G206</f>
        <v>190</v>
      </c>
      <c r="L206" s="291">
        <f>+I206/J206</f>
        <v>5.489473684210527</v>
      </c>
      <c r="M206" s="292">
        <v>11441127</v>
      </c>
      <c r="N206" s="290">
        <v>1417347</v>
      </c>
      <c r="O206" s="302">
        <f>+M206/N206</f>
        <v>8.07221308543356</v>
      </c>
      <c r="P206" s="364"/>
    </row>
    <row r="207" spans="1:16" ht="15">
      <c r="A207" s="66">
        <v>205</v>
      </c>
      <c r="B207" s="293" t="s">
        <v>143</v>
      </c>
      <c r="C207" s="286">
        <v>39794</v>
      </c>
      <c r="D207" s="285" t="s">
        <v>135</v>
      </c>
      <c r="E207" s="285" t="s">
        <v>134</v>
      </c>
      <c r="F207" s="287">
        <v>100</v>
      </c>
      <c r="G207" s="287">
        <v>1</v>
      </c>
      <c r="H207" s="287">
        <v>10</v>
      </c>
      <c r="I207" s="288">
        <v>1030</v>
      </c>
      <c r="J207" s="289">
        <v>204</v>
      </c>
      <c r="K207" s="290">
        <f>(J207/G207)</f>
        <v>204</v>
      </c>
      <c r="L207" s="291">
        <f>I207/J207</f>
        <v>5.049019607843137</v>
      </c>
      <c r="M207" s="292">
        <f>1276778.5+626123+380324+112679.5+54533+36086+4129+3620.5+4348+1030</f>
        <v>2499651.5</v>
      </c>
      <c r="N207" s="290">
        <f>133555+68793+41581+14968+8873+6454+539+324+976+204</f>
        <v>276267</v>
      </c>
      <c r="O207" s="302">
        <f>+M207/N207</f>
        <v>9.047955419937958</v>
      </c>
      <c r="P207" s="364">
        <v>1</v>
      </c>
    </row>
    <row r="208" spans="1:16" ht="15">
      <c r="A208" s="66">
        <v>206</v>
      </c>
      <c r="B208" s="293" t="s">
        <v>69</v>
      </c>
      <c r="C208" s="286">
        <v>39766</v>
      </c>
      <c r="D208" s="285" t="s">
        <v>135</v>
      </c>
      <c r="E208" s="285" t="s">
        <v>50</v>
      </c>
      <c r="F208" s="287">
        <v>20</v>
      </c>
      <c r="G208" s="287">
        <v>1</v>
      </c>
      <c r="H208" s="287">
        <v>12</v>
      </c>
      <c r="I208" s="288">
        <v>1017</v>
      </c>
      <c r="J208" s="289">
        <v>207</v>
      </c>
      <c r="K208" s="290">
        <f>(J208/G208)</f>
        <v>207</v>
      </c>
      <c r="L208" s="291">
        <f>I208/J208</f>
        <v>4.913043478260869</v>
      </c>
      <c r="M208" s="292">
        <f>109364.5+38539+31287+12101+5368+8640.5+12331+9410+9143+5719+2775+1424+1017</f>
        <v>247119</v>
      </c>
      <c r="N208" s="290">
        <f>11866+4674+4443+2133+1061+1670+2334+1542+1728+1224+544+356+207</f>
        <v>33782</v>
      </c>
      <c r="O208" s="302">
        <f>M208/N208</f>
        <v>7.315108637736072</v>
      </c>
      <c r="P208" s="364"/>
    </row>
    <row r="209" spans="1:16" ht="14.25" customHeight="1">
      <c r="A209" s="66">
        <v>207</v>
      </c>
      <c r="B209" s="293" t="s">
        <v>26</v>
      </c>
      <c r="C209" s="286">
        <v>39808</v>
      </c>
      <c r="D209" s="285" t="s">
        <v>135</v>
      </c>
      <c r="E209" s="285" t="s">
        <v>134</v>
      </c>
      <c r="F209" s="287">
        <v>75</v>
      </c>
      <c r="G209" s="287">
        <v>2</v>
      </c>
      <c r="H209" s="287">
        <v>9</v>
      </c>
      <c r="I209" s="288">
        <v>1014</v>
      </c>
      <c r="J209" s="289">
        <v>143</v>
      </c>
      <c r="K209" s="290">
        <f>(J209/G209)</f>
        <v>71.5</v>
      </c>
      <c r="L209" s="291">
        <f>I209/J209</f>
        <v>7.090909090909091</v>
      </c>
      <c r="M209" s="292">
        <f>681566+578530+317284.5+141025.5+34373.5+6375+4225+7402.5+1014</f>
        <v>1771796</v>
      </c>
      <c r="N209" s="290">
        <f>64102+57106+32401+16644+4655+1030+644+1623+143</f>
        <v>178348</v>
      </c>
      <c r="O209" s="302">
        <f>M209/N209</f>
        <v>9.934487630923812</v>
      </c>
      <c r="P209" s="364">
        <v>1</v>
      </c>
    </row>
    <row r="210" spans="1:16" ht="15">
      <c r="A210" s="66">
        <v>208</v>
      </c>
      <c r="B210" s="293" t="s">
        <v>98</v>
      </c>
      <c r="C210" s="286">
        <v>39752</v>
      </c>
      <c r="D210" s="285" t="s">
        <v>132</v>
      </c>
      <c r="E210" s="285" t="s">
        <v>125</v>
      </c>
      <c r="F210" s="287">
        <v>45</v>
      </c>
      <c r="G210" s="287">
        <v>1</v>
      </c>
      <c r="H210" s="287">
        <v>13</v>
      </c>
      <c r="I210" s="288">
        <v>1012</v>
      </c>
      <c r="J210" s="289">
        <v>165</v>
      </c>
      <c r="K210" s="290">
        <f>J210/G210</f>
        <v>165</v>
      </c>
      <c r="L210" s="291">
        <f>I210/J210</f>
        <v>6.133333333333334</v>
      </c>
      <c r="M210" s="292">
        <v>457111</v>
      </c>
      <c r="N210" s="290">
        <v>49853</v>
      </c>
      <c r="O210" s="302">
        <f>+M210/N210</f>
        <v>9.169177381501616</v>
      </c>
      <c r="P210" s="364">
        <v>1</v>
      </c>
    </row>
    <row r="211" spans="1:16" ht="15">
      <c r="A211" s="66">
        <v>209</v>
      </c>
      <c r="B211" s="293" t="s">
        <v>146</v>
      </c>
      <c r="C211" s="286">
        <v>39801</v>
      </c>
      <c r="D211" s="285" t="s">
        <v>137</v>
      </c>
      <c r="E211" s="285" t="s">
        <v>147</v>
      </c>
      <c r="F211" s="287">
        <v>84</v>
      </c>
      <c r="G211" s="287">
        <v>1</v>
      </c>
      <c r="H211" s="287">
        <v>11</v>
      </c>
      <c r="I211" s="288">
        <v>998</v>
      </c>
      <c r="J211" s="289">
        <v>159</v>
      </c>
      <c r="K211" s="290">
        <f>J211/G211</f>
        <v>159</v>
      </c>
      <c r="L211" s="291">
        <f>IF(I211&lt;&gt;0,I211/J211,"")</f>
        <v>6.276729559748428</v>
      </c>
      <c r="M211" s="292">
        <f>369313.5+145108.5+43813+31258+11772.5+5392.5+2080+3225+50+354+998</f>
        <v>613365</v>
      </c>
      <c r="N211" s="290">
        <f>41017+16460+6346+5364+2357+1094+419+545+10+69+159</f>
        <v>73840</v>
      </c>
      <c r="O211" s="302">
        <f>+M211/N211</f>
        <v>8.306676598049837</v>
      </c>
      <c r="P211" s="364"/>
    </row>
    <row r="212" spans="1:16" ht="15">
      <c r="A212" s="66">
        <v>210</v>
      </c>
      <c r="B212" s="49" t="s">
        <v>47</v>
      </c>
      <c r="C212" s="40">
        <v>39780</v>
      </c>
      <c r="D212" s="45" t="s">
        <v>135</v>
      </c>
      <c r="E212" s="44" t="s">
        <v>33</v>
      </c>
      <c r="F212" s="41">
        <v>6</v>
      </c>
      <c r="G212" s="41">
        <v>2</v>
      </c>
      <c r="H212" s="41">
        <v>6</v>
      </c>
      <c r="I212" s="330">
        <v>997</v>
      </c>
      <c r="J212" s="331">
        <v>230</v>
      </c>
      <c r="K212" s="158">
        <f>(J212/G212)</f>
        <v>115</v>
      </c>
      <c r="L212" s="159">
        <f aca="true" t="shared" si="9" ref="L212:L218">I212/J212</f>
        <v>4.334782608695652</v>
      </c>
      <c r="M212" s="150">
        <f>25457+3030+1123+7370+430+997</f>
        <v>38407</v>
      </c>
      <c r="N212" s="151">
        <f>2151+404+165+1079+59+230</f>
        <v>4088</v>
      </c>
      <c r="O212" s="105">
        <f>M212/N212</f>
        <v>9.395058708414872</v>
      </c>
      <c r="P212" s="364"/>
    </row>
    <row r="213" spans="1:16" ht="15">
      <c r="A213" s="66">
        <v>211</v>
      </c>
      <c r="B213" s="293" t="s">
        <v>150</v>
      </c>
      <c r="C213" s="286">
        <v>39801</v>
      </c>
      <c r="D213" s="285" t="s">
        <v>4</v>
      </c>
      <c r="E213" s="285" t="s">
        <v>77</v>
      </c>
      <c r="F213" s="287">
        <v>19</v>
      </c>
      <c r="G213" s="287">
        <v>3</v>
      </c>
      <c r="H213" s="287">
        <v>7</v>
      </c>
      <c r="I213" s="288">
        <v>996</v>
      </c>
      <c r="J213" s="289">
        <v>189</v>
      </c>
      <c r="K213" s="290">
        <f>J213/G213</f>
        <v>63</v>
      </c>
      <c r="L213" s="291">
        <f t="shared" si="9"/>
        <v>5.26984126984127</v>
      </c>
      <c r="M213" s="292">
        <v>138889</v>
      </c>
      <c r="N213" s="290">
        <v>13079</v>
      </c>
      <c r="O213" s="302">
        <f>+M213/N213</f>
        <v>10.619236944720544</v>
      </c>
      <c r="P213" s="364"/>
    </row>
    <row r="214" spans="1:16" ht="15">
      <c r="A214" s="66">
        <v>212</v>
      </c>
      <c r="B214" s="293" t="s">
        <v>20</v>
      </c>
      <c r="C214" s="286">
        <v>39773</v>
      </c>
      <c r="D214" s="285" t="s">
        <v>133</v>
      </c>
      <c r="E214" s="285" t="s">
        <v>21</v>
      </c>
      <c r="F214" s="287">
        <v>2</v>
      </c>
      <c r="G214" s="287">
        <v>2</v>
      </c>
      <c r="H214" s="287">
        <v>6</v>
      </c>
      <c r="I214" s="288">
        <v>969</v>
      </c>
      <c r="J214" s="289">
        <v>210</v>
      </c>
      <c r="K214" s="290">
        <f>J214/G214</f>
        <v>105</v>
      </c>
      <c r="L214" s="291">
        <f t="shared" si="9"/>
        <v>4.614285714285714</v>
      </c>
      <c r="M214" s="292">
        <f>43532.5+13875+1400+341+344+969</f>
        <v>60461.5</v>
      </c>
      <c r="N214" s="290">
        <f>3969+1359+251+52+61+210</f>
        <v>5902</v>
      </c>
      <c r="O214" s="302">
        <f>+M214/N214</f>
        <v>10.244239240935276</v>
      </c>
      <c r="P214" s="364"/>
    </row>
    <row r="215" spans="1:16" ht="15">
      <c r="A215" s="66">
        <v>213</v>
      </c>
      <c r="B215" s="49" t="s">
        <v>52</v>
      </c>
      <c r="C215" s="40">
        <v>39738</v>
      </c>
      <c r="D215" s="45" t="s">
        <v>135</v>
      </c>
      <c r="E215" s="44" t="s">
        <v>134</v>
      </c>
      <c r="F215" s="41">
        <v>65</v>
      </c>
      <c r="G215" s="41">
        <v>4</v>
      </c>
      <c r="H215" s="41">
        <v>11</v>
      </c>
      <c r="I215" s="330">
        <v>891</v>
      </c>
      <c r="J215" s="331">
        <v>149</v>
      </c>
      <c r="K215" s="158">
        <f>(J215/G215)</f>
        <v>37.25</v>
      </c>
      <c r="L215" s="159">
        <f t="shared" si="9"/>
        <v>5.97986577181208</v>
      </c>
      <c r="M215" s="150">
        <f>502954.7+385847+127398.5+41644+35371+15703.5+9494+704+1120.5+952+891</f>
        <v>1122080.2</v>
      </c>
      <c r="N215" s="151">
        <f>51438+39611+14487+7156+6343+2488+1591+176+567+238+149</f>
        <v>124244</v>
      </c>
      <c r="O215" s="105">
        <f>M215/N215</f>
        <v>9.03126267666849</v>
      </c>
      <c r="P215" s="364"/>
    </row>
    <row r="216" spans="1:16" ht="15">
      <c r="A216" s="66">
        <v>214</v>
      </c>
      <c r="B216" s="281" t="s">
        <v>47</v>
      </c>
      <c r="C216" s="40">
        <v>39780</v>
      </c>
      <c r="D216" s="127" t="s">
        <v>135</v>
      </c>
      <c r="E216" s="261" t="s">
        <v>33</v>
      </c>
      <c r="F216" s="262">
        <v>6</v>
      </c>
      <c r="G216" s="262">
        <v>2</v>
      </c>
      <c r="H216" s="262">
        <v>8</v>
      </c>
      <c r="I216" s="273">
        <v>886</v>
      </c>
      <c r="J216" s="274">
        <v>213</v>
      </c>
      <c r="K216" s="275">
        <f>(J216/G216)</f>
        <v>106.5</v>
      </c>
      <c r="L216" s="159">
        <f t="shared" si="9"/>
        <v>4.15962441314554</v>
      </c>
      <c r="M216" s="276">
        <f>25457+3030+1123+7370+430+997+6202+886</f>
        <v>45495</v>
      </c>
      <c r="N216" s="277">
        <f>2151+404+165+1079+59+230+1523+213</f>
        <v>5824</v>
      </c>
      <c r="O216" s="105">
        <f>M216/N216</f>
        <v>7.811641483516484</v>
      </c>
      <c r="P216" s="364"/>
    </row>
    <row r="217" spans="1:16" ht="15">
      <c r="A217" s="66">
        <v>215</v>
      </c>
      <c r="B217" s="281" t="s">
        <v>73</v>
      </c>
      <c r="C217" s="40">
        <v>39772</v>
      </c>
      <c r="D217" s="127" t="s">
        <v>135</v>
      </c>
      <c r="E217" s="261" t="s">
        <v>106</v>
      </c>
      <c r="F217" s="262">
        <v>195</v>
      </c>
      <c r="G217" s="262">
        <v>2</v>
      </c>
      <c r="H217" s="262">
        <v>10</v>
      </c>
      <c r="I217" s="273">
        <v>882</v>
      </c>
      <c r="J217" s="274">
        <v>202</v>
      </c>
      <c r="K217" s="275">
        <f>(J217/G217)</f>
        <v>101</v>
      </c>
      <c r="L217" s="159">
        <f t="shared" si="9"/>
        <v>4.366336633663367</v>
      </c>
      <c r="M217" s="276">
        <f>1011017+512350.5+217314+64545+38656.5+8087+9376.5+5786+2876+882</f>
        <v>1870890.5</v>
      </c>
      <c r="N217" s="277">
        <f>136878+68007+31396+9807+8372+1564+2234+1216+601+202</f>
        <v>260277</v>
      </c>
      <c r="O217" s="105">
        <f>M217/N217</f>
        <v>7.188074628184588</v>
      </c>
      <c r="P217" s="363">
        <v>1</v>
      </c>
    </row>
    <row r="218" spans="1:16" ht="15">
      <c r="A218" s="66">
        <v>216</v>
      </c>
      <c r="B218" s="48" t="s">
        <v>55</v>
      </c>
      <c r="C218" s="39">
        <v>39750</v>
      </c>
      <c r="D218" s="43" t="s">
        <v>131</v>
      </c>
      <c r="E218" s="42" t="s">
        <v>30</v>
      </c>
      <c r="F218" s="54">
        <v>198</v>
      </c>
      <c r="G218" s="54">
        <v>2</v>
      </c>
      <c r="H218" s="54">
        <v>13</v>
      </c>
      <c r="I218" s="330">
        <v>864</v>
      </c>
      <c r="J218" s="331">
        <v>322</v>
      </c>
      <c r="K218" s="158">
        <f>J218/G218</f>
        <v>161</v>
      </c>
      <c r="L218" s="159">
        <f t="shared" si="9"/>
        <v>2.6832298136645965</v>
      </c>
      <c r="M218" s="150">
        <f>4975832+1882135+1034271+412191+151618-1635+10999+12408+14293+6423+2375+2787+864</f>
        <v>8504561</v>
      </c>
      <c r="N218" s="151">
        <f>642956+245951+129523+51207+21082-161+1623+2391+2711+1404+495+717+322</f>
        <v>1100221</v>
      </c>
      <c r="O218" s="105">
        <f>+M218/N218</f>
        <v>7.729866090539992</v>
      </c>
      <c r="P218" s="364">
        <v>1</v>
      </c>
    </row>
    <row r="219" spans="1:16" ht="15">
      <c r="A219" s="66">
        <v>217</v>
      </c>
      <c r="B219" s="293" t="s">
        <v>207</v>
      </c>
      <c r="C219" s="286">
        <v>39808</v>
      </c>
      <c r="D219" s="285" t="s">
        <v>132</v>
      </c>
      <c r="E219" s="285" t="s">
        <v>125</v>
      </c>
      <c r="F219" s="287">
        <v>34</v>
      </c>
      <c r="G219" s="287">
        <v>1</v>
      </c>
      <c r="H219" s="287">
        <v>10</v>
      </c>
      <c r="I219" s="288">
        <v>856</v>
      </c>
      <c r="J219" s="289">
        <v>129</v>
      </c>
      <c r="K219" s="290">
        <f>J219/G219</f>
        <v>129</v>
      </c>
      <c r="L219" s="291">
        <f>+I219/J219</f>
        <v>6.635658914728682</v>
      </c>
      <c r="M219" s="292">
        <v>803840</v>
      </c>
      <c r="N219" s="290">
        <v>90331</v>
      </c>
      <c r="O219" s="302">
        <f>+M219/N219</f>
        <v>8.89882764499452</v>
      </c>
      <c r="P219" s="364">
        <v>1</v>
      </c>
    </row>
    <row r="220" spans="1:17" s="345" customFormat="1" ht="14.25" customHeight="1">
      <c r="A220" s="66">
        <v>218</v>
      </c>
      <c r="B220" s="293" t="s">
        <v>70</v>
      </c>
      <c r="C220" s="286">
        <v>39766</v>
      </c>
      <c r="D220" s="285" t="s">
        <v>133</v>
      </c>
      <c r="E220" s="285" t="s">
        <v>71</v>
      </c>
      <c r="F220" s="287">
        <v>1</v>
      </c>
      <c r="G220" s="287">
        <v>1</v>
      </c>
      <c r="H220" s="287">
        <v>18</v>
      </c>
      <c r="I220" s="288">
        <v>852</v>
      </c>
      <c r="J220" s="289">
        <v>172</v>
      </c>
      <c r="K220" s="290">
        <f>J220/G220</f>
        <v>172</v>
      </c>
      <c r="L220" s="291">
        <f>I220/J220</f>
        <v>4.953488372093023</v>
      </c>
      <c r="M220" s="292">
        <f>191668+16358.5+8305+0.5+19699.5+16705.5+7289+4467+3138+2267+1882+6536+9273+1289+852</f>
        <v>289730</v>
      </c>
      <c r="N220" s="290">
        <f>10324+8249+7871+7121+4755+3362+1751+2958+2636+1185+800+596+440+265+961+1648+202+172</f>
        <v>55296</v>
      </c>
      <c r="O220" s="302">
        <f>+M220/N220</f>
        <v>5.239619502314815</v>
      </c>
      <c r="P220" s="387">
        <v>1</v>
      </c>
      <c r="Q220" s="344"/>
    </row>
    <row r="221" spans="1:16" ht="15">
      <c r="A221" s="66">
        <v>219</v>
      </c>
      <c r="B221" s="293" t="s">
        <v>196</v>
      </c>
      <c r="C221" s="286">
        <v>39556</v>
      </c>
      <c r="D221" s="285" t="s">
        <v>133</v>
      </c>
      <c r="E221" s="285" t="s">
        <v>134</v>
      </c>
      <c r="F221" s="287">
        <v>1</v>
      </c>
      <c r="G221" s="287">
        <v>1</v>
      </c>
      <c r="H221" s="287">
        <v>20</v>
      </c>
      <c r="I221" s="288">
        <v>840</v>
      </c>
      <c r="J221" s="289">
        <v>117</v>
      </c>
      <c r="K221" s="290">
        <f>J221/G221</f>
        <v>117</v>
      </c>
      <c r="L221" s="291">
        <f>I221/J221</f>
        <v>7.17948717948718</v>
      </c>
      <c r="M221" s="292">
        <f>547723+268930+138072.5+72001+47770.5+20534.5+29707+9377+8368.5+23017+5732.5+1280+238+81+2408+580+1042+0.5+260+107+840</f>
        <v>1178070</v>
      </c>
      <c r="N221" s="290">
        <f>69527+33465+19378+11928+8462+4284+6759+1860+1698+5423+992+174+49+18+602+163+76+32+14+117</f>
        <v>165021</v>
      </c>
      <c r="O221" s="302">
        <f>+M221/N221</f>
        <v>7.138909593324486</v>
      </c>
      <c r="P221" s="364">
        <v>1</v>
      </c>
    </row>
    <row r="222" spans="1:16" ht="15">
      <c r="A222" s="66">
        <v>220</v>
      </c>
      <c r="B222" s="293" t="s">
        <v>67</v>
      </c>
      <c r="C222" s="286">
        <v>39759</v>
      </c>
      <c r="D222" s="285" t="s">
        <v>135</v>
      </c>
      <c r="E222" s="285" t="s">
        <v>230</v>
      </c>
      <c r="F222" s="287">
        <v>93</v>
      </c>
      <c r="G222" s="287">
        <v>1</v>
      </c>
      <c r="H222" s="287">
        <v>14</v>
      </c>
      <c r="I222" s="288">
        <v>832</v>
      </c>
      <c r="J222" s="289">
        <v>208</v>
      </c>
      <c r="K222" s="290">
        <f>(J222/G222)</f>
        <v>208</v>
      </c>
      <c r="L222" s="291">
        <f>I222/J222</f>
        <v>4</v>
      </c>
      <c r="M222" s="292">
        <f>224223+136351+27895+24212+1274+3482+7147+2804+5279+2025+2635+2196+1188+832</f>
        <v>441543</v>
      </c>
      <c r="N222" s="290">
        <f>27969+18593+4268+4646+311+857+1472+745+1285+386+636+549+297+208</f>
        <v>62222</v>
      </c>
      <c r="O222" s="302">
        <f>M222/N222</f>
        <v>7.096252129471891</v>
      </c>
      <c r="P222" s="364"/>
    </row>
    <row r="223" spans="1:16" ht="15">
      <c r="A223" s="66">
        <v>221</v>
      </c>
      <c r="B223" s="49" t="s">
        <v>42</v>
      </c>
      <c r="C223" s="40">
        <v>39640</v>
      </c>
      <c r="D223" s="65" t="s">
        <v>132</v>
      </c>
      <c r="E223" s="65" t="s">
        <v>43</v>
      </c>
      <c r="F223" s="41">
        <v>137</v>
      </c>
      <c r="G223" s="41">
        <v>1</v>
      </c>
      <c r="H223" s="41">
        <v>25</v>
      </c>
      <c r="I223" s="334">
        <v>805</v>
      </c>
      <c r="J223" s="335">
        <v>350</v>
      </c>
      <c r="K223" s="155">
        <f aca="true" t="shared" si="10" ref="K223:K228">J223/G223</f>
        <v>350</v>
      </c>
      <c r="L223" s="156">
        <f>+I223/J223</f>
        <v>2.3</v>
      </c>
      <c r="M223" s="154">
        <v>1629170</v>
      </c>
      <c r="N223" s="155">
        <v>217304</v>
      </c>
      <c r="O223" s="103">
        <f aca="true" t="shared" si="11" ref="O223:O228">+M223/N223</f>
        <v>7.497192872657659</v>
      </c>
      <c r="P223" s="364"/>
    </row>
    <row r="224" spans="1:16" ht="15">
      <c r="A224" s="66">
        <v>222</v>
      </c>
      <c r="B224" s="49" t="s">
        <v>57</v>
      </c>
      <c r="C224" s="40">
        <v>39745</v>
      </c>
      <c r="D224" s="65" t="s">
        <v>132</v>
      </c>
      <c r="E224" s="65" t="s">
        <v>32</v>
      </c>
      <c r="F224" s="41">
        <v>57</v>
      </c>
      <c r="G224" s="41">
        <v>1</v>
      </c>
      <c r="H224" s="41">
        <v>11</v>
      </c>
      <c r="I224" s="334">
        <v>801</v>
      </c>
      <c r="J224" s="335">
        <v>157</v>
      </c>
      <c r="K224" s="155">
        <f t="shared" si="10"/>
        <v>157</v>
      </c>
      <c r="L224" s="156">
        <f>+I224/J224</f>
        <v>5.101910828025478</v>
      </c>
      <c r="M224" s="154">
        <v>1167434</v>
      </c>
      <c r="N224" s="155">
        <v>125785</v>
      </c>
      <c r="O224" s="103">
        <f t="shared" si="11"/>
        <v>9.281186150971896</v>
      </c>
      <c r="P224" s="362"/>
    </row>
    <row r="225" spans="1:16" ht="15">
      <c r="A225" s="66">
        <v>223</v>
      </c>
      <c r="B225" s="293" t="s">
        <v>28</v>
      </c>
      <c r="C225" s="286">
        <v>39808</v>
      </c>
      <c r="D225" s="285" t="s">
        <v>133</v>
      </c>
      <c r="E225" s="285" t="s">
        <v>29</v>
      </c>
      <c r="F225" s="287">
        <v>1</v>
      </c>
      <c r="G225" s="287">
        <v>1</v>
      </c>
      <c r="H225" s="287">
        <v>6</v>
      </c>
      <c r="I225" s="288">
        <v>788</v>
      </c>
      <c r="J225" s="289">
        <v>263</v>
      </c>
      <c r="K225" s="290">
        <f t="shared" si="10"/>
        <v>263</v>
      </c>
      <c r="L225" s="291">
        <f>I225/J225</f>
        <v>2.9961977186311786</v>
      </c>
      <c r="M225" s="292">
        <f>173290.5+101994+52183.5+11344+1707+788</f>
        <v>341307</v>
      </c>
      <c r="N225" s="290">
        <f>23989+15166+8100+1911+346+263</f>
        <v>49775</v>
      </c>
      <c r="O225" s="302">
        <f t="shared" si="11"/>
        <v>6.856996484178804</v>
      </c>
      <c r="P225" s="364"/>
    </row>
    <row r="226" spans="1:16" ht="15">
      <c r="A226" s="66">
        <v>224</v>
      </c>
      <c r="B226" s="293" t="s">
        <v>207</v>
      </c>
      <c r="C226" s="286">
        <v>39808</v>
      </c>
      <c r="D226" s="285" t="s">
        <v>132</v>
      </c>
      <c r="E226" s="285" t="s">
        <v>125</v>
      </c>
      <c r="F226" s="287">
        <v>34</v>
      </c>
      <c r="G226" s="287">
        <v>2</v>
      </c>
      <c r="H226" s="287">
        <v>9</v>
      </c>
      <c r="I226" s="288">
        <v>787</v>
      </c>
      <c r="J226" s="289">
        <v>136</v>
      </c>
      <c r="K226" s="290">
        <f t="shared" si="10"/>
        <v>68</v>
      </c>
      <c r="L226" s="291">
        <f>+I226/J226</f>
        <v>5.786764705882353</v>
      </c>
      <c r="M226" s="292">
        <v>802984</v>
      </c>
      <c r="N226" s="290">
        <v>90202</v>
      </c>
      <c r="O226" s="302">
        <f t="shared" si="11"/>
        <v>8.902064255781468</v>
      </c>
      <c r="P226" s="363">
        <v>1</v>
      </c>
    </row>
    <row r="227" spans="1:16" ht="15">
      <c r="A227" s="66">
        <v>225</v>
      </c>
      <c r="B227" s="293" t="s">
        <v>23</v>
      </c>
      <c r="C227" s="286">
        <v>39808</v>
      </c>
      <c r="D227" s="285" t="s">
        <v>137</v>
      </c>
      <c r="E227" s="285" t="s">
        <v>24</v>
      </c>
      <c r="F227" s="287">
        <v>198</v>
      </c>
      <c r="G227" s="287">
        <v>1</v>
      </c>
      <c r="H227" s="287">
        <v>10</v>
      </c>
      <c r="I227" s="288">
        <v>765</v>
      </c>
      <c r="J227" s="289">
        <v>151</v>
      </c>
      <c r="K227" s="290">
        <f t="shared" si="10"/>
        <v>151</v>
      </c>
      <c r="L227" s="291">
        <f>IF(I227&lt;&gt;0,I227/J227,"")</f>
        <v>5.066225165562914</v>
      </c>
      <c r="M227" s="292">
        <f>909072+532572.5+214521.5+64908+15178.5+4216.5+2023+1098+1208+765</f>
        <v>1745563</v>
      </c>
      <c r="N227" s="290">
        <f>112486+67146+29772+10700+3086+733+452+228+242+151</f>
        <v>224996</v>
      </c>
      <c r="O227" s="302">
        <f t="shared" si="11"/>
        <v>7.758195701256911</v>
      </c>
      <c r="P227" s="364"/>
    </row>
    <row r="228" spans="1:16" ht="15">
      <c r="A228" s="66">
        <v>226</v>
      </c>
      <c r="B228" s="232" t="s">
        <v>92</v>
      </c>
      <c r="C228" s="216">
        <v>36413</v>
      </c>
      <c r="D228" s="217" t="s">
        <v>93</v>
      </c>
      <c r="E228" s="217" t="s">
        <v>94</v>
      </c>
      <c r="F228" s="218">
        <v>6</v>
      </c>
      <c r="G228" s="218">
        <v>1</v>
      </c>
      <c r="H228" s="218">
        <v>24</v>
      </c>
      <c r="I228" s="324">
        <v>712</v>
      </c>
      <c r="J228" s="325">
        <v>178</v>
      </c>
      <c r="K228" s="223">
        <f t="shared" si="10"/>
        <v>178</v>
      </c>
      <c r="L228" s="224">
        <f aca="true" t="shared" si="12" ref="L228:L235">I228/J228</f>
        <v>4</v>
      </c>
      <c r="M228" s="225">
        <v>39786.6</v>
      </c>
      <c r="N228" s="226">
        <v>21271</v>
      </c>
      <c r="O228" s="233">
        <f t="shared" si="11"/>
        <v>1.8704621315405952</v>
      </c>
      <c r="P228" s="364"/>
    </row>
    <row r="229" spans="1:16" ht="15">
      <c r="A229" s="66">
        <v>227</v>
      </c>
      <c r="B229" s="293" t="s">
        <v>47</v>
      </c>
      <c r="C229" s="286">
        <v>39780</v>
      </c>
      <c r="D229" s="285" t="s">
        <v>135</v>
      </c>
      <c r="E229" s="285" t="s">
        <v>33</v>
      </c>
      <c r="F229" s="287">
        <v>6</v>
      </c>
      <c r="G229" s="287">
        <v>1</v>
      </c>
      <c r="H229" s="287">
        <v>9</v>
      </c>
      <c r="I229" s="288">
        <v>691.5</v>
      </c>
      <c r="J229" s="289">
        <v>105</v>
      </c>
      <c r="K229" s="290">
        <f>(J229/G229)</f>
        <v>105</v>
      </c>
      <c r="L229" s="291">
        <f t="shared" si="12"/>
        <v>6.585714285714285</v>
      </c>
      <c r="M229" s="292">
        <f>25457+3030+1123+7370+430+997+6202+886+691.5</f>
        <v>46186.5</v>
      </c>
      <c r="N229" s="290">
        <f>2151+404+165+1079+59+230+1523+213+105</f>
        <v>5929</v>
      </c>
      <c r="O229" s="302">
        <f>M229/N229</f>
        <v>7.789930848372407</v>
      </c>
      <c r="P229" s="364">
        <v>1</v>
      </c>
    </row>
    <row r="230" spans="1:16" ht="15">
      <c r="A230" s="66">
        <v>228</v>
      </c>
      <c r="B230" s="293" t="s">
        <v>206</v>
      </c>
      <c r="C230" s="286">
        <v>39675</v>
      </c>
      <c r="D230" s="285" t="s">
        <v>202</v>
      </c>
      <c r="E230" s="285" t="s">
        <v>202</v>
      </c>
      <c r="F230" s="287">
        <v>54</v>
      </c>
      <c r="G230" s="287">
        <v>1</v>
      </c>
      <c r="H230" s="287">
        <v>10</v>
      </c>
      <c r="I230" s="288">
        <v>690</v>
      </c>
      <c r="J230" s="289">
        <v>230</v>
      </c>
      <c r="K230" s="290">
        <f>J230/G230</f>
        <v>230</v>
      </c>
      <c r="L230" s="291">
        <f t="shared" si="12"/>
        <v>3</v>
      </c>
      <c r="M230" s="292">
        <v>679944</v>
      </c>
      <c r="N230" s="290">
        <v>66454</v>
      </c>
      <c r="O230" s="302">
        <f>+M230/N230</f>
        <v>10.231799440214283</v>
      </c>
      <c r="P230" s="364"/>
    </row>
    <row r="231" spans="1:16" ht="15">
      <c r="A231" s="66">
        <v>229</v>
      </c>
      <c r="B231" s="293" t="s">
        <v>56</v>
      </c>
      <c r="C231" s="286">
        <v>39745</v>
      </c>
      <c r="D231" s="285" t="s">
        <v>137</v>
      </c>
      <c r="E231" s="285" t="s">
        <v>46</v>
      </c>
      <c r="F231" s="287">
        <v>104</v>
      </c>
      <c r="G231" s="287">
        <v>1</v>
      </c>
      <c r="H231" s="287">
        <v>16</v>
      </c>
      <c r="I231" s="288">
        <v>686</v>
      </c>
      <c r="J231" s="289">
        <v>106</v>
      </c>
      <c r="K231" s="290">
        <f>IF(I231&lt;&gt;0,J231/G231,"")</f>
        <v>106</v>
      </c>
      <c r="L231" s="291">
        <f t="shared" si="12"/>
        <v>6.471698113207547</v>
      </c>
      <c r="M231" s="292">
        <f>821522+622841.5+494230+434015.5+185757.5+145248.5+16130+16159+2033+6489+4346+3565+2540+1323+139+686</f>
        <v>2757025</v>
      </c>
      <c r="N231" s="290">
        <f>99216+78381+65128+58419+30420+24530+3077+3918+431+1704+1003+785+507+195+19+106</f>
        <v>367839</v>
      </c>
      <c r="O231" s="302">
        <f>+M231/N231</f>
        <v>7.495194908642096</v>
      </c>
      <c r="P231" s="363"/>
    </row>
    <row r="232" spans="1:16" ht="15">
      <c r="A232" s="66">
        <v>230</v>
      </c>
      <c r="B232" s="234">
        <v>120</v>
      </c>
      <c r="C232" s="229">
        <v>39493</v>
      </c>
      <c r="D232" s="227" t="s">
        <v>133</v>
      </c>
      <c r="E232" s="227" t="s">
        <v>95</v>
      </c>
      <c r="F232" s="228">
        <v>179</v>
      </c>
      <c r="G232" s="228">
        <v>1</v>
      </c>
      <c r="H232" s="228">
        <v>38</v>
      </c>
      <c r="I232" s="336">
        <v>666</v>
      </c>
      <c r="J232" s="337">
        <v>222</v>
      </c>
      <c r="K232" s="223">
        <f>J232/G232</f>
        <v>222</v>
      </c>
      <c r="L232" s="224">
        <f t="shared" si="12"/>
        <v>3</v>
      </c>
      <c r="M232" s="231">
        <f>940515+844172.5+750489+533469+396399.5+362067.5+228159+211115.5+153941.5+48+73076.5+60280+47290.5+46690+13789+13717.5+9809+2709.5+1288.5+22597.5+10821.5+12218+7313+44774.5+111294+3629+0.5+41599.5+20470.5+5217-3719.5+10067+1376+10253+13391+15635+48+500+2820+500+666</f>
        <v>5020498.5</v>
      </c>
      <c r="N232" s="222">
        <f>135921+127724+124508+97493+101422+99063+62455+57586+44490+6+19837+19877+15923+15427+4822+4847+3310+822+280+7405+3528+4050+2428+14923+37098+1709+6180+3303+3114+328+3418+4411+5191+12+100+806+100+222</f>
        <v>1034139</v>
      </c>
      <c r="O232" s="233">
        <f>+M232/N232</f>
        <v>4.854761787341934</v>
      </c>
      <c r="P232" s="364"/>
    </row>
    <row r="233" spans="1:16" ht="15">
      <c r="A233" s="66">
        <v>231</v>
      </c>
      <c r="B233" s="232" t="s">
        <v>150</v>
      </c>
      <c r="C233" s="216">
        <v>39801</v>
      </c>
      <c r="D233" s="217" t="s">
        <v>4</v>
      </c>
      <c r="E233" s="217" t="s">
        <v>77</v>
      </c>
      <c r="F233" s="218">
        <v>19</v>
      </c>
      <c r="G233" s="218">
        <v>4</v>
      </c>
      <c r="H233" s="218">
        <v>4</v>
      </c>
      <c r="I233" s="324">
        <v>661</v>
      </c>
      <c r="J233" s="325">
        <v>120</v>
      </c>
      <c r="K233" s="223">
        <f>J233/G233</f>
        <v>30</v>
      </c>
      <c r="L233" s="224">
        <f t="shared" si="12"/>
        <v>5.508333333333334</v>
      </c>
      <c r="M233" s="225">
        <v>137299</v>
      </c>
      <c r="N233" s="226">
        <v>12776</v>
      </c>
      <c r="O233" s="233">
        <f>+M233/N233</f>
        <v>10.746634314339387</v>
      </c>
      <c r="P233" s="364">
        <v>1</v>
      </c>
    </row>
    <row r="234" spans="1:16" ht="15">
      <c r="A234" s="66">
        <v>232</v>
      </c>
      <c r="B234" s="49" t="s">
        <v>19</v>
      </c>
      <c r="C234" s="40">
        <v>39731</v>
      </c>
      <c r="D234" s="45" t="s">
        <v>135</v>
      </c>
      <c r="E234" s="44" t="s">
        <v>35</v>
      </c>
      <c r="F234" s="41">
        <v>37</v>
      </c>
      <c r="G234" s="41">
        <v>1</v>
      </c>
      <c r="H234" s="41">
        <v>12</v>
      </c>
      <c r="I234" s="330">
        <v>594.5</v>
      </c>
      <c r="J234" s="331">
        <v>146</v>
      </c>
      <c r="K234" s="158">
        <f>(J234/G234)</f>
        <v>146</v>
      </c>
      <c r="L234" s="159">
        <f t="shared" si="12"/>
        <v>4.071917808219178</v>
      </c>
      <c r="M234" s="150">
        <f>129467.5+88890.1+34771+30141+12902+22737.5+2404+24305+405+301+3764.5+594.5</f>
        <v>350683.1</v>
      </c>
      <c r="N234" s="151">
        <f>14410+10160+4854+5433+2399+3960+492+3729+81+64+566+146</f>
        <v>46294</v>
      </c>
      <c r="O234" s="105">
        <f>M234/N234</f>
        <v>7.575130686482049</v>
      </c>
      <c r="P234" s="364"/>
    </row>
    <row r="235" spans="1:16" ht="15">
      <c r="A235" s="66">
        <v>233</v>
      </c>
      <c r="B235" s="234" t="s">
        <v>49</v>
      </c>
      <c r="C235" s="229">
        <v>39710</v>
      </c>
      <c r="D235" s="227" t="s">
        <v>108</v>
      </c>
      <c r="E235" s="227" t="s">
        <v>108</v>
      </c>
      <c r="F235" s="228">
        <v>66</v>
      </c>
      <c r="G235" s="228">
        <v>2</v>
      </c>
      <c r="H235" s="228">
        <v>17</v>
      </c>
      <c r="I235" s="336">
        <v>573.5</v>
      </c>
      <c r="J235" s="337">
        <v>137</v>
      </c>
      <c r="K235" s="223">
        <f>J235/G235</f>
        <v>68.5</v>
      </c>
      <c r="L235" s="224">
        <f t="shared" si="12"/>
        <v>4.186131386861314</v>
      </c>
      <c r="M235" s="231">
        <f>152576+127511+68854.5+21974+10111.5+7103+7290+0.5+1014+3149+989+3524+0.5+3768+138+2528+257+351.5+573.5</f>
        <v>411713</v>
      </c>
      <c r="N235" s="222">
        <f>50018+825+47+65+137</f>
        <v>51092</v>
      </c>
      <c r="O235" s="233">
        <f>+M235/N235</f>
        <v>8.058267439129414</v>
      </c>
      <c r="P235" s="364"/>
    </row>
    <row r="236" spans="1:16" ht="15">
      <c r="A236" s="66">
        <v>234</v>
      </c>
      <c r="B236" s="48" t="s">
        <v>68</v>
      </c>
      <c r="C236" s="39">
        <v>39759</v>
      </c>
      <c r="D236" s="42" t="s">
        <v>137</v>
      </c>
      <c r="E236" s="42" t="s">
        <v>31</v>
      </c>
      <c r="F236" s="54">
        <v>40</v>
      </c>
      <c r="G236" s="54">
        <v>1</v>
      </c>
      <c r="H236" s="54">
        <v>9</v>
      </c>
      <c r="I236" s="332">
        <v>556</v>
      </c>
      <c r="J236" s="333">
        <v>77</v>
      </c>
      <c r="K236" s="152">
        <f>IF(I236&lt;&gt;0,J236/G236,"")</f>
        <v>77</v>
      </c>
      <c r="L236" s="153">
        <f>IF(I236&lt;&gt;0,I236/J236,"")</f>
        <v>7.220779220779221</v>
      </c>
      <c r="M236" s="157">
        <f>84918+52341+11404+7823+3207+2014+937+2034+556</f>
        <v>165234</v>
      </c>
      <c r="N236" s="155">
        <f>10694+7043+2046+1560+538+345+174+389+77</f>
        <v>22866</v>
      </c>
      <c r="O236" s="104">
        <f>IF(M236&lt;&gt;0,M236/N236,"")</f>
        <v>7.226187352400944</v>
      </c>
      <c r="P236" s="364"/>
    </row>
    <row r="237" spans="1:16" ht="15">
      <c r="A237" s="66">
        <v>235</v>
      </c>
      <c r="B237" s="53" t="s">
        <v>150</v>
      </c>
      <c r="C237" s="39">
        <v>39801</v>
      </c>
      <c r="D237" s="45" t="s">
        <v>4</v>
      </c>
      <c r="E237" s="45" t="s">
        <v>77</v>
      </c>
      <c r="F237" s="50">
        <v>19</v>
      </c>
      <c r="G237" s="50">
        <v>2</v>
      </c>
      <c r="H237" s="50">
        <v>5</v>
      </c>
      <c r="I237" s="330">
        <v>554</v>
      </c>
      <c r="J237" s="331">
        <v>108</v>
      </c>
      <c r="K237" s="152">
        <f>+J237/G237</f>
        <v>54</v>
      </c>
      <c r="L237" s="153">
        <f>+I237/J237</f>
        <v>5.12962962962963</v>
      </c>
      <c r="M237" s="150">
        <v>137853</v>
      </c>
      <c r="N237" s="151">
        <v>12884</v>
      </c>
      <c r="O237" s="104">
        <f>+M237/N237</f>
        <v>10.699549829245576</v>
      </c>
      <c r="P237" s="364">
        <v>1</v>
      </c>
    </row>
    <row r="238" spans="1:16" ht="15">
      <c r="A238" s="66">
        <v>236</v>
      </c>
      <c r="B238" s="234" t="s">
        <v>53</v>
      </c>
      <c r="C238" s="229">
        <v>39738</v>
      </c>
      <c r="D238" s="217" t="s">
        <v>135</v>
      </c>
      <c r="E238" s="227" t="s">
        <v>54</v>
      </c>
      <c r="F238" s="228">
        <v>67</v>
      </c>
      <c r="G238" s="228">
        <v>5</v>
      </c>
      <c r="H238" s="228">
        <v>13</v>
      </c>
      <c r="I238" s="324">
        <v>545</v>
      </c>
      <c r="J238" s="325">
        <v>127</v>
      </c>
      <c r="K238" s="223">
        <f>(J238/G238)</f>
        <v>25.4</v>
      </c>
      <c r="L238" s="224">
        <f>I238/J238</f>
        <v>4.291338582677166</v>
      </c>
      <c r="M238" s="225">
        <f>167196+176809+54428+37340+38330.5+23467+11581+5867+4382+2577+3552+2137+545</f>
        <v>528211.5</v>
      </c>
      <c r="N238" s="226">
        <f>19168+21164+7719+6215+6404+4964+2339+1306+907+580+859+440+127</f>
        <v>72192</v>
      </c>
      <c r="O238" s="233">
        <f>M238/N238</f>
        <v>7.3167594747340425</v>
      </c>
      <c r="P238" s="364"/>
    </row>
    <row r="239" spans="1:16" ht="15">
      <c r="A239" s="66">
        <v>237</v>
      </c>
      <c r="B239" s="53" t="s">
        <v>82</v>
      </c>
      <c r="C239" s="39">
        <v>39633</v>
      </c>
      <c r="D239" s="45" t="s">
        <v>4</v>
      </c>
      <c r="E239" s="45" t="s">
        <v>77</v>
      </c>
      <c r="F239" s="50">
        <v>28</v>
      </c>
      <c r="G239" s="50">
        <v>1</v>
      </c>
      <c r="H239" s="50">
        <v>27</v>
      </c>
      <c r="I239" s="330">
        <v>475</v>
      </c>
      <c r="J239" s="331">
        <v>95</v>
      </c>
      <c r="K239" s="152">
        <f>+J239/G239</f>
        <v>95</v>
      </c>
      <c r="L239" s="153">
        <f>+I239/J239</f>
        <v>5</v>
      </c>
      <c r="M239" s="150">
        <v>315463</v>
      </c>
      <c r="N239" s="151">
        <v>42108</v>
      </c>
      <c r="O239" s="104">
        <f>+M239/N239</f>
        <v>7.491759285646433</v>
      </c>
      <c r="P239" s="362"/>
    </row>
    <row r="240" spans="1:16" ht="15">
      <c r="A240" s="66">
        <v>238</v>
      </c>
      <c r="B240" s="235" t="s">
        <v>96</v>
      </c>
      <c r="C240" s="229">
        <v>39717</v>
      </c>
      <c r="D240" s="227" t="s">
        <v>132</v>
      </c>
      <c r="E240" s="227" t="s">
        <v>97</v>
      </c>
      <c r="F240" s="228">
        <v>130</v>
      </c>
      <c r="G240" s="228">
        <v>1</v>
      </c>
      <c r="H240" s="228">
        <v>16</v>
      </c>
      <c r="I240" s="336">
        <v>441</v>
      </c>
      <c r="J240" s="337">
        <v>350</v>
      </c>
      <c r="K240" s="222">
        <f>J240/G240</f>
        <v>350</v>
      </c>
      <c r="L240" s="230">
        <f>+I240/J240</f>
        <v>1.26</v>
      </c>
      <c r="M240" s="231">
        <v>1478708</v>
      </c>
      <c r="N240" s="222">
        <v>170677</v>
      </c>
      <c r="O240" s="236">
        <f>+M240/N240</f>
        <v>8.663780122687884</v>
      </c>
      <c r="P240" s="362">
        <v>1</v>
      </c>
    </row>
    <row r="241" spans="1:16" ht="15">
      <c r="A241" s="66">
        <v>239</v>
      </c>
      <c r="B241" s="49" t="s">
        <v>83</v>
      </c>
      <c r="C241" s="40">
        <v>39633</v>
      </c>
      <c r="D241" s="65" t="s">
        <v>132</v>
      </c>
      <c r="E241" s="44" t="s">
        <v>128</v>
      </c>
      <c r="F241" s="41">
        <v>123</v>
      </c>
      <c r="G241" s="41">
        <v>1</v>
      </c>
      <c r="H241" s="41">
        <v>24</v>
      </c>
      <c r="I241" s="334">
        <v>441</v>
      </c>
      <c r="J241" s="335">
        <v>350</v>
      </c>
      <c r="K241" s="155">
        <f>J241/G241</f>
        <v>350</v>
      </c>
      <c r="L241" s="156">
        <f>+I241/J241</f>
        <v>1.26</v>
      </c>
      <c r="M241" s="154">
        <v>1541323</v>
      </c>
      <c r="N241" s="155">
        <v>212942</v>
      </c>
      <c r="O241" s="103">
        <f>+M241/N241</f>
        <v>7.238229189168882</v>
      </c>
      <c r="P241" s="362"/>
    </row>
    <row r="242" spans="1:16" ht="15">
      <c r="A242" s="66">
        <v>240</v>
      </c>
      <c r="B242" s="293" t="s">
        <v>58</v>
      </c>
      <c r="C242" s="286">
        <v>39745</v>
      </c>
      <c r="D242" s="285" t="s">
        <v>4</v>
      </c>
      <c r="E242" s="285" t="s">
        <v>59</v>
      </c>
      <c r="F242" s="287">
        <v>71</v>
      </c>
      <c r="G242" s="287">
        <v>1</v>
      </c>
      <c r="H242" s="287">
        <v>17</v>
      </c>
      <c r="I242" s="288">
        <v>440</v>
      </c>
      <c r="J242" s="289">
        <v>83</v>
      </c>
      <c r="K242" s="290">
        <f>+J242/G242</f>
        <v>83</v>
      </c>
      <c r="L242" s="291">
        <f>+I242/J242</f>
        <v>5.301204819277109</v>
      </c>
      <c r="M242" s="292">
        <v>1288589</v>
      </c>
      <c r="N242" s="290">
        <v>145943</v>
      </c>
      <c r="O242" s="302">
        <f>+M242/N242</f>
        <v>8.829399148982821</v>
      </c>
      <c r="P242" s="362"/>
    </row>
    <row r="243" spans="1:16" ht="15">
      <c r="A243" s="66">
        <v>241</v>
      </c>
      <c r="B243" s="235" t="s">
        <v>98</v>
      </c>
      <c r="C243" s="229">
        <v>39752</v>
      </c>
      <c r="D243" s="227" t="s">
        <v>132</v>
      </c>
      <c r="E243" s="227" t="s">
        <v>125</v>
      </c>
      <c r="F243" s="228">
        <v>45</v>
      </c>
      <c r="G243" s="228">
        <v>1</v>
      </c>
      <c r="H243" s="228">
        <v>10</v>
      </c>
      <c r="I243" s="336">
        <v>435</v>
      </c>
      <c r="J243" s="337">
        <v>87</v>
      </c>
      <c r="K243" s="222">
        <f>J243/G243</f>
        <v>87</v>
      </c>
      <c r="L243" s="230">
        <f>+I243/J243</f>
        <v>5</v>
      </c>
      <c r="M243" s="231">
        <v>454346</v>
      </c>
      <c r="N243" s="222">
        <v>49344</v>
      </c>
      <c r="O243" s="236">
        <f>+M243/N243</f>
        <v>9.207725356679637</v>
      </c>
      <c r="P243" s="364">
        <v>1</v>
      </c>
    </row>
    <row r="244" spans="1:16" ht="15">
      <c r="A244" s="66">
        <v>242</v>
      </c>
      <c r="B244" s="293" t="s">
        <v>143</v>
      </c>
      <c r="C244" s="286">
        <v>39794</v>
      </c>
      <c r="D244" s="285" t="s">
        <v>135</v>
      </c>
      <c r="E244" s="285" t="s">
        <v>134</v>
      </c>
      <c r="F244" s="287">
        <v>100</v>
      </c>
      <c r="G244" s="287">
        <v>1</v>
      </c>
      <c r="H244" s="287">
        <v>12</v>
      </c>
      <c r="I244" s="288">
        <v>420</v>
      </c>
      <c r="J244" s="289">
        <v>65</v>
      </c>
      <c r="K244" s="290">
        <f>(J244/G244)</f>
        <v>65</v>
      </c>
      <c r="L244" s="291">
        <f>I244/J244</f>
        <v>6.461538461538462</v>
      </c>
      <c r="M244" s="292">
        <f>1276778.5+626123+380324+112679.5+54533+36086+4129+3620.5+4348+1030+1904+420</f>
        <v>2501975.5</v>
      </c>
      <c r="N244" s="290">
        <f>133555+68793+41581+14968+8873+6454+539+324+976+204+524+65</f>
        <v>276856</v>
      </c>
      <c r="O244" s="302">
        <f>M244/N244</f>
        <v>9.03710051434681</v>
      </c>
      <c r="P244" s="362"/>
    </row>
    <row r="245" spans="1:16" ht="15">
      <c r="A245" s="66">
        <v>243</v>
      </c>
      <c r="B245" s="293" t="s">
        <v>61</v>
      </c>
      <c r="C245" s="286">
        <v>39752</v>
      </c>
      <c r="D245" s="285" t="s">
        <v>135</v>
      </c>
      <c r="E245" s="285" t="s">
        <v>113</v>
      </c>
      <c r="F245" s="287">
        <v>27</v>
      </c>
      <c r="G245" s="287">
        <v>1</v>
      </c>
      <c r="H245" s="287">
        <v>12</v>
      </c>
      <c r="I245" s="288">
        <v>416</v>
      </c>
      <c r="J245" s="289">
        <v>60</v>
      </c>
      <c r="K245" s="290">
        <f>(J245/G245)</f>
        <v>60</v>
      </c>
      <c r="L245" s="291">
        <f>I245/J245</f>
        <v>6.933333333333334</v>
      </c>
      <c r="M245" s="292">
        <f>122635.5+51150+18262+4454+16388.5+1375+1246+204+334+67+36+416</f>
        <v>216568</v>
      </c>
      <c r="N245" s="290">
        <f>11002+4826+2043+624+2156+227+195+32+110+10+6+60</f>
        <v>21291</v>
      </c>
      <c r="O245" s="302">
        <f>+M245/N245</f>
        <v>10.17180968484336</v>
      </c>
      <c r="P245" s="362">
        <v>1</v>
      </c>
    </row>
    <row r="246" spans="1:16" ht="15">
      <c r="A246" s="66">
        <v>244</v>
      </c>
      <c r="B246" s="293" t="s">
        <v>57</v>
      </c>
      <c r="C246" s="286">
        <v>39745</v>
      </c>
      <c r="D246" s="285" t="s">
        <v>132</v>
      </c>
      <c r="E246" s="285" t="s">
        <v>32</v>
      </c>
      <c r="F246" s="287">
        <v>57</v>
      </c>
      <c r="G246" s="287">
        <v>1</v>
      </c>
      <c r="H246" s="287">
        <v>20</v>
      </c>
      <c r="I246" s="288">
        <v>400</v>
      </c>
      <c r="J246" s="289">
        <v>67</v>
      </c>
      <c r="K246" s="290">
        <f>J246/G246</f>
        <v>67</v>
      </c>
      <c r="L246" s="291">
        <f>+I246/J246</f>
        <v>5.970149253731344</v>
      </c>
      <c r="M246" s="292">
        <v>1170952</v>
      </c>
      <c r="N246" s="290">
        <v>127004</v>
      </c>
      <c r="O246" s="302">
        <f>+M246/N246</f>
        <v>9.219804100658248</v>
      </c>
      <c r="P246" s="363"/>
    </row>
    <row r="247" spans="1:16" ht="15">
      <c r="A247" s="66">
        <v>245</v>
      </c>
      <c r="B247" s="293" t="s">
        <v>45</v>
      </c>
      <c r="C247" s="286">
        <v>39780</v>
      </c>
      <c r="D247" s="285" t="s">
        <v>135</v>
      </c>
      <c r="E247" s="285" t="s">
        <v>78</v>
      </c>
      <c r="F247" s="287">
        <v>61</v>
      </c>
      <c r="G247" s="287">
        <v>1</v>
      </c>
      <c r="H247" s="287">
        <v>12</v>
      </c>
      <c r="I247" s="288">
        <v>396</v>
      </c>
      <c r="J247" s="289">
        <v>84</v>
      </c>
      <c r="K247" s="290">
        <f>(J247/G247)</f>
        <v>84</v>
      </c>
      <c r="L247" s="291">
        <f>I247/J247</f>
        <v>4.714285714285714</v>
      </c>
      <c r="M247" s="292">
        <f>499000.5+313125.5+89561.5+27980+2002.5+4772+1387+1470+1387+1387+1119+396</f>
        <v>943588</v>
      </c>
      <c r="N247" s="290">
        <f>48458+27725+9315+4737+330+944+309+224+175+250+246+84</f>
        <v>92797</v>
      </c>
      <c r="O247" s="302">
        <f>M247/N247</f>
        <v>10.168302854618146</v>
      </c>
      <c r="P247" s="363">
        <v>1</v>
      </c>
    </row>
    <row r="248" spans="1:16" ht="15">
      <c r="A248" s="66">
        <v>246</v>
      </c>
      <c r="B248" s="48" t="s">
        <v>84</v>
      </c>
      <c r="C248" s="39">
        <v>39738</v>
      </c>
      <c r="D248" s="43" t="s">
        <v>131</v>
      </c>
      <c r="E248" s="42" t="s">
        <v>123</v>
      </c>
      <c r="F248" s="54">
        <v>52</v>
      </c>
      <c r="G248" s="54">
        <v>1</v>
      </c>
      <c r="H248" s="54">
        <v>11</v>
      </c>
      <c r="I248" s="330">
        <v>392</v>
      </c>
      <c r="J248" s="331">
        <v>67</v>
      </c>
      <c r="K248" s="158">
        <f>J248/G248</f>
        <v>67</v>
      </c>
      <c r="L248" s="159">
        <f>I248/J248</f>
        <v>5.850746268656716</v>
      </c>
      <c r="M248" s="150">
        <f>406562+322843+70349+13845+3121+7380+8038+2297+3564+114+392</f>
        <v>838505</v>
      </c>
      <c r="N248" s="151">
        <f>38224+30194+7191+2669+501+1117+1379+703+1188+19+67</f>
        <v>83252</v>
      </c>
      <c r="O248" s="105">
        <f>+M248/N248</f>
        <v>10.071890164800845</v>
      </c>
      <c r="P248" s="364">
        <v>1</v>
      </c>
    </row>
    <row r="249" spans="1:16" ht="15">
      <c r="A249" s="66">
        <v>247</v>
      </c>
      <c r="B249" s="49" t="s">
        <v>22</v>
      </c>
      <c r="C249" s="286">
        <v>39787</v>
      </c>
      <c r="D249" s="285" t="s">
        <v>132</v>
      </c>
      <c r="E249" s="65" t="s">
        <v>139</v>
      </c>
      <c r="F249" s="287">
        <v>406</v>
      </c>
      <c r="G249" s="287">
        <v>1</v>
      </c>
      <c r="H249" s="287">
        <v>15</v>
      </c>
      <c r="I249" s="288">
        <v>385</v>
      </c>
      <c r="J249" s="289">
        <v>81</v>
      </c>
      <c r="K249" s="290">
        <f>J249/G249</f>
        <v>81</v>
      </c>
      <c r="L249" s="291">
        <f>+I249/J249</f>
        <v>4.753086419753086</v>
      </c>
      <c r="M249" s="292">
        <v>30400302</v>
      </c>
      <c r="N249" s="290">
        <v>3701940</v>
      </c>
      <c r="O249" s="302">
        <f>+M249/N249</f>
        <v>8.21199209063356</v>
      </c>
      <c r="P249" s="387">
        <v>1</v>
      </c>
    </row>
    <row r="250" spans="1:16" ht="15">
      <c r="A250" s="66">
        <v>248</v>
      </c>
      <c r="B250" s="293" t="s">
        <v>146</v>
      </c>
      <c r="C250" s="286">
        <v>39801</v>
      </c>
      <c r="D250" s="285" t="s">
        <v>137</v>
      </c>
      <c r="E250" s="285" t="s">
        <v>147</v>
      </c>
      <c r="F250" s="287">
        <v>84</v>
      </c>
      <c r="G250" s="287">
        <v>1</v>
      </c>
      <c r="H250" s="287">
        <v>10</v>
      </c>
      <c r="I250" s="288">
        <v>354</v>
      </c>
      <c r="J250" s="289">
        <v>69</v>
      </c>
      <c r="K250" s="290">
        <f>IF(I250&lt;&gt;0,J250/G250,"")</f>
        <v>69</v>
      </c>
      <c r="L250" s="291">
        <f>I250/J250</f>
        <v>5.130434782608695</v>
      </c>
      <c r="M250" s="292">
        <f>369313.5+145108.5+43813+31258+11772.5+5392.5+2080+3225+50+354</f>
        <v>612367</v>
      </c>
      <c r="N250" s="290">
        <f>41017+16460+6346+5364+2357+1094+419+545+10+69</f>
        <v>73681</v>
      </c>
      <c r="O250" s="302">
        <f>+M250/N250</f>
        <v>8.311057124631859</v>
      </c>
      <c r="P250" s="363"/>
    </row>
    <row r="251" spans="1:16" ht="15">
      <c r="A251" s="66">
        <v>249</v>
      </c>
      <c r="B251" s="49" t="s">
        <v>49</v>
      </c>
      <c r="C251" s="40">
        <v>39710</v>
      </c>
      <c r="D251" s="44" t="s">
        <v>108</v>
      </c>
      <c r="E251" s="44" t="s">
        <v>108</v>
      </c>
      <c r="F251" s="41">
        <v>66</v>
      </c>
      <c r="G251" s="41">
        <v>4</v>
      </c>
      <c r="H251" s="41">
        <v>16</v>
      </c>
      <c r="I251" s="334">
        <v>351.5</v>
      </c>
      <c r="J251" s="335">
        <v>65</v>
      </c>
      <c r="K251" s="152">
        <f>+J251/G251</f>
        <v>16.25</v>
      </c>
      <c r="L251" s="153">
        <f>+I251/J251</f>
        <v>5.407692307692308</v>
      </c>
      <c r="M251" s="154">
        <f>152576+127511+68854.5+21974+10111.5+7103+7290+0.5+1014+3149+989+3524+0.5+3768+138+2528+257+351.5</f>
        <v>411139.5</v>
      </c>
      <c r="N251" s="155">
        <f>50018+825+47+65</f>
        <v>50955</v>
      </c>
      <c r="O251" s="104">
        <f>+M251/N251</f>
        <v>8.068678245510744</v>
      </c>
      <c r="P251" s="364"/>
    </row>
    <row r="252" spans="1:16" ht="15">
      <c r="A252" s="66">
        <v>250</v>
      </c>
      <c r="B252" s="49" t="s">
        <v>20</v>
      </c>
      <c r="C252" s="40">
        <v>39773</v>
      </c>
      <c r="D252" s="44" t="s">
        <v>133</v>
      </c>
      <c r="E252" s="44" t="s">
        <v>21</v>
      </c>
      <c r="F252" s="41">
        <v>10</v>
      </c>
      <c r="G252" s="41">
        <v>2</v>
      </c>
      <c r="H252" s="41">
        <v>5</v>
      </c>
      <c r="I252" s="334">
        <v>344</v>
      </c>
      <c r="J252" s="335">
        <v>61</v>
      </c>
      <c r="K252" s="158">
        <f>(J252/G252)</f>
        <v>30.5</v>
      </c>
      <c r="L252" s="159">
        <f>I252/J252</f>
        <v>5.639344262295082</v>
      </c>
      <c r="M252" s="154">
        <f>43532.5+13875+1400+341+344</f>
        <v>59492.5</v>
      </c>
      <c r="N252" s="155">
        <f>3969+1359+251+52+61</f>
        <v>5692</v>
      </c>
      <c r="O252" s="105">
        <f>M252/N252</f>
        <v>10.451950105411104</v>
      </c>
      <c r="P252" s="364"/>
    </row>
    <row r="253" spans="1:16" ht="15">
      <c r="A253" s="66">
        <v>251</v>
      </c>
      <c r="B253" s="293" t="s">
        <v>69</v>
      </c>
      <c r="C253" s="286">
        <v>39766</v>
      </c>
      <c r="D253" s="285" t="s">
        <v>135</v>
      </c>
      <c r="E253" s="285" t="s">
        <v>50</v>
      </c>
      <c r="F253" s="287">
        <v>20</v>
      </c>
      <c r="G253" s="287">
        <v>1</v>
      </c>
      <c r="H253" s="287">
        <v>13</v>
      </c>
      <c r="I253" s="288">
        <v>338</v>
      </c>
      <c r="J253" s="289">
        <v>68</v>
      </c>
      <c r="K253" s="290">
        <f>(J253/G253)</f>
        <v>68</v>
      </c>
      <c r="L253" s="291">
        <f>I253/J253</f>
        <v>4.970588235294118</v>
      </c>
      <c r="M253" s="292">
        <f>109364.5+38539+31287+12101+5368+8640.5+12331+9410+9143+5719+2775+1424+1017+338</f>
        <v>247457</v>
      </c>
      <c r="N253" s="290">
        <f>11866+4674+4443+2133+1061+1670+2334+1542+1728+1224+544+356+207+68</f>
        <v>33850</v>
      </c>
      <c r="O253" s="302">
        <f>M253/N253</f>
        <v>7.3103988183161</v>
      </c>
      <c r="P253" s="363"/>
    </row>
    <row r="254" spans="1:16" ht="15">
      <c r="A254" s="66">
        <v>252</v>
      </c>
      <c r="B254" s="53" t="s">
        <v>51</v>
      </c>
      <c r="C254" s="39">
        <v>39731</v>
      </c>
      <c r="D254" s="45" t="s">
        <v>4</v>
      </c>
      <c r="E254" s="45" t="s">
        <v>77</v>
      </c>
      <c r="F254" s="50">
        <v>20</v>
      </c>
      <c r="G254" s="50">
        <v>1</v>
      </c>
      <c r="H254" s="50">
        <v>13</v>
      </c>
      <c r="I254" s="330">
        <v>305</v>
      </c>
      <c r="J254" s="340">
        <v>61</v>
      </c>
      <c r="K254" s="152">
        <f>+J254/G254</f>
        <v>61</v>
      </c>
      <c r="L254" s="153">
        <f>+I254/J254</f>
        <v>5</v>
      </c>
      <c r="M254" s="150">
        <v>397120</v>
      </c>
      <c r="N254" s="151">
        <v>35350</v>
      </c>
      <c r="O254" s="104">
        <f>+M254/N254</f>
        <v>11.233946251768034</v>
      </c>
      <c r="P254" s="364">
        <v>1</v>
      </c>
    </row>
    <row r="255" spans="1:16" ht="15">
      <c r="A255" s="66">
        <v>253</v>
      </c>
      <c r="B255" s="235" t="s">
        <v>52</v>
      </c>
      <c r="C255" s="229">
        <v>39738</v>
      </c>
      <c r="D255" s="217" t="s">
        <v>135</v>
      </c>
      <c r="E255" s="227" t="s">
        <v>134</v>
      </c>
      <c r="F255" s="228">
        <v>65</v>
      </c>
      <c r="G255" s="228">
        <v>2</v>
      </c>
      <c r="H255" s="228">
        <v>12</v>
      </c>
      <c r="I255" s="324">
        <v>302</v>
      </c>
      <c r="J255" s="325">
        <v>50</v>
      </c>
      <c r="K255" s="223">
        <f>(J255/G255)</f>
        <v>25</v>
      </c>
      <c r="L255" s="224">
        <f aca="true" t="shared" si="13" ref="L255:L262">I255/J255</f>
        <v>6.04</v>
      </c>
      <c r="M255" s="225">
        <f>502954.7+385847+127398.5+41644+35371+15703.5+9494+704+1120.5+952+891+302</f>
        <v>1122382.2</v>
      </c>
      <c r="N255" s="226">
        <f>51438+39611+14487+7156+6343+2488+1591+176+567+238+149+50</f>
        <v>124294</v>
      </c>
      <c r="O255" s="233">
        <f>M255/N255</f>
        <v>9.030059375351987</v>
      </c>
      <c r="P255" s="362">
        <v>1</v>
      </c>
    </row>
    <row r="256" spans="1:16" ht="15">
      <c r="A256" s="66">
        <v>254</v>
      </c>
      <c r="B256" s="293" t="s">
        <v>168</v>
      </c>
      <c r="C256" s="286">
        <v>39703</v>
      </c>
      <c r="D256" s="285" t="s">
        <v>202</v>
      </c>
      <c r="E256" s="285" t="s">
        <v>169</v>
      </c>
      <c r="F256" s="287">
        <v>16</v>
      </c>
      <c r="G256" s="287">
        <v>1</v>
      </c>
      <c r="H256" s="287">
        <v>13</v>
      </c>
      <c r="I256" s="288">
        <v>288</v>
      </c>
      <c r="J256" s="289">
        <v>59</v>
      </c>
      <c r="K256" s="290">
        <f>J256/G256</f>
        <v>59</v>
      </c>
      <c r="L256" s="291">
        <f t="shared" si="13"/>
        <v>4.88135593220339</v>
      </c>
      <c r="M256" s="292">
        <v>74288</v>
      </c>
      <c r="N256" s="290">
        <v>10179</v>
      </c>
      <c r="O256" s="302">
        <f>M256/N256</f>
        <v>7.298162884369781</v>
      </c>
      <c r="P256" s="364"/>
    </row>
    <row r="257" spans="1:16" ht="15">
      <c r="A257" s="66">
        <v>255</v>
      </c>
      <c r="B257" s="293" t="s">
        <v>53</v>
      </c>
      <c r="C257" s="286">
        <v>39738</v>
      </c>
      <c r="D257" s="285" t="s">
        <v>135</v>
      </c>
      <c r="E257" s="285" t="s">
        <v>54</v>
      </c>
      <c r="F257" s="287">
        <v>67</v>
      </c>
      <c r="G257" s="287">
        <v>1</v>
      </c>
      <c r="H257" s="287">
        <v>20</v>
      </c>
      <c r="I257" s="288">
        <v>288</v>
      </c>
      <c r="J257" s="289">
        <v>56</v>
      </c>
      <c r="K257" s="290">
        <f>(J257/G257)</f>
        <v>56</v>
      </c>
      <c r="L257" s="291">
        <f t="shared" si="13"/>
        <v>5.142857142857143</v>
      </c>
      <c r="M257" s="292">
        <f>167196+176809+54428+37340+38330.5+23467+11581+5867+4382+2577+3552+2137+545+4006+9422+7992+4936+1547+1147+288</f>
        <v>557549.5</v>
      </c>
      <c r="N257" s="290">
        <f>19168+21164+7719+6215+6404+4964+2339+1306+907+580+859+440+127+905+2170+1822+1050+392+333+56</f>
        <v>78920</v>
      </c>
      <c r="O257" s="302">
        <f>M257/N257</f>
        <v>7.064742777496199</v>
      </c>
      <c r="P257" s="364"/>
    </row>
    <row r="258" spans="1:16" ht="15">
      <c r="A258" s="66">
        <v>256</v>
      </c>
      <c r="B258" s="293" t="s">
        <v>58</v>
      </c>
      <c r="C258" s="286">
        <v>39745</v>
      </c>
      <c r="D258" s="285" t="s">
        <v>4</v>
      </c>
      <c r="E258" s="285" t="s">
        <v>59</v>
      </c>
      <c r="F258" s="287">
        <v>71</v>
      </c>
      <c r="G258" s="287">
        <v>1</v>
      </c>
      <c r="H258" s="287">
        <v>18</v>
      </c>
      <c r="I258" s="288">
        <v>278</v>
      </c>
      <c r="J258" s="289">
        <v>54</v>
      </c>
      <c r="K258" s="290">
        <f>+J258/G258</f>
        <v>54</v>
      </c>
      <c r="L258" s="291">
        <f t="shared" si="13"/>
        <v>5.148148148148148</v>
      </c>
      <c r="M258" s="292">
        <v>1288867</v>
      </c>
      <c r="N258" s="290">
        <v>145997</v>
      </c>
      <c r="O258" s="302">
        <f>+M258/N258</f>
        <v>8.828037562415666</v>
      </c>
      <c r="P258" s="363"/>
    </row>
    <row r="259" spans="1:16" ht="15">
      <c r="A259" s="66">
        <v>257</v>
      </c>
      <c r="B259" s="48" t="s">
        <v>62</v>
      </c>
      <c r="C259" s="39">
        <v>39689</v>
      </c>
      <c r="D259" s="43" t="s">
        <v>131</v>
      </c>
      <c r="E259" s="42" t="s">
        <v>63</v>
      </c>
      <c r="F259" s="54">
        <v>100</v>
      </c>
      <c r="G259" s="54">
        <v>1</v>
      </c>
      <c r="H259" s="54">
        <v>9</v>
      </c>
      <c r="I259" s="330">
        <v>276</v>
      </c>
      <c r="J259" s="331">
        <v>55</v>
      </c>
      <c r="K259" s="158">
        <f>J259/G259</f>
        <v>55</v>
      </c>
      <c r="L259" s="159">
        <f t="shared" si="13"/>
        <v>5.0181818181818185</v>
      </c>
      <c r="M259" s="150">
        <f>17818+1364876+864151+384239+240974+16635+2871+5064-50+5187+276</f>
        <v>2902041</v>
      </c>
      <c r="N259" s="151">
        <f>1487+139515+89937+39711+26370+2302+499+787-9+1471+55</f>
        <v>302125</v>
      </c>
      <c r="O259" s="105">
        <f>+M259/N259</f>
        <v>9.605431526685974</v>
      </c>
      <c r="P259" s="362"/>
    </row>
    <row r="260" spans="1:16" ht="15">
      <c r="A260" s="66">
        <v>258</v>
      </c>
      <c r="B260" s="281" t="s">
        <v>168</v>
      </c>
      <c r="C260" s="40">
        <v>39766</v>
      </c>
      <c r="D260" s="261" t="s">
        <v>165</v>
      </c>
      <c r="E260" s="261" t="s">
        <v>169</v>
      </c>
      <c r="F260" s="262">
        <v>17</v>
      </c>
      <c r="G260" s="262">
        <v>1</v>
      </c>
      <c r="H260" s="262">
        <v>11</v>
      </c>
      <c r="I260" s="278">
        <v>260</v>
      </c>
      <c r="J260" s="279">
        <v>57</v>
      </c>
      <c r="K260" s="265">
        <f>J260/G260</f>
        <v>57</v>
      </c>
      <c r="L260" s="266">
        <f t="shared" si="13"/>
        <v>4.56140350877193</v>
      </c>
      <c r="M260" s="280">
        <v>72802</v>
      </c>
      <c r="N260" s="265">
        <v>9877</v>
      </c>
      <c r="O260" s="282">
        <f>M260/N260</f>
        <v>7.370861597651109</v>
      </c>
      <c r="P260" s="364">
        <v>1</v>
      </c>
    </row>
    <row r="261" spans="1:16" ht="15">
      <c r="A261" s="66">
        <v>259</v>
      </c>
      <c r="B261" s="293" t="s">
        <v>206</v>
      </c>
      <c r="C261" s="286">
        <v>39703</v>
      </c>
      <c r="D261" s="285" t="s">
        <v>202</v>
      </c>
      <c r="E261" s="285" t="s">
        <v>244</v>
      </c>
      <c r="F261" s="287">
        <v>54</v>
      </c>
      <c r="G261" s="287">
        <v>1</v>
      </c>
      <c r="H261" s="287">
        <v>11</v>
      </c>
      <c r="I261" s="288">
        <v>254</v>
      </c>
      <c r="J261" s="289">
        <v>46</v>
      </c>
      <c r="K261" s="290">
        <f>J261/G261</f>
        <v>46</v>
      </c>
      <c r="L261" s="291">
        <f t="shared" si="13"/>
        <v>5.521739130434782</v>
      </c>
      <c r="M261" s="292">
        <v>680198</v>
      </c>
      <c r="N261" s="290">
        <v>66500</v>
      </c>
      <c r="O261" s="302">
        <f>+M261/N261</f>
        <v>10.22854135338346</v>
      </c>
      <c r="P261" s="364">
        <v>1</v>
      </c>
    </row>
    <row r="262" spans="1:16" ht="15">
      <c r="A262" s="66">
        <v>260</v>
      </c>
      <c r="B262" s="293" t="s">
        <v>145</v>
      </c>
      <c r="C262" s="286">
        <v>39801</v>
      </c>
      <c r="D262" s="285" t="s">
        <v>131</v>
      </c>
      <c r="E262" s="285" t="s">
        <v>123</v>
      </c>
      <c r="F262" s="287">
        <v>69</v>
      </c>
      <c r="G262" s="287">
        <v>1</v>
      </c>
      <c r="H262" s="287">
        <v>10</v>
      </c>
      <c r="I262" s="288">
        <v>251</v>
      </c>
      <c r="J262" s="289">
        <v>41</v>
      </c>
      <c r="K262" s="290">
        <f>J262/G262</f>
        <v>41</v>
      </c>
      <c r="L262" s="291">
        <f t="shared" si="13"/>
        <v>6.121951219512195</v>
      </c>
      <c r="M262" s="292">
        <f>820286+588484+413907+112495+41441-111+9385+4586+8718+1191+251</f>
        <v>2000633</v>
      </c>
      <c r="N262" s="290">
        <f>83839+57678+42374+12212+5722-11+2124+1350+1256+191+41</f>
        <v>206776</v>
      </c>
      <c r="O262" s="302">
        <f>+M262/N262</f>
        <v>9.675363678570047</v>
      </c>
      <c r="P262" s="363"/>
    </row>
    <row r="263" spans="1:16" ht="15">
      <c r="A263" s="66">
        <v>261</v>
      </c>
      <c r="B263" s="53" t="s">
        <v>68</v>
      </c>
      <c r="C263" s="39">
        <v>39759</v>
      </c>
      <c r="D263" s="127" t="s">
        <v>137</v>
      </c>
      <c r="E263" s="127" t="s">
        <v>31</v>
      </c>
      <c r="F263" s="50">
        <v>40</v>
      </c>
      <c r="G263" s="50">
        <v>1</v>
      </c>
      <c r="H263" s="50">
        <v>12</v>
      </c>
      <c r="I263" s="269">
        <v>228</v>
      </c>
      <c r="J263" s="270">
        <v>39</v>
      </c>
      <c r="K263" s="271">
        <f>IF(I263&lt;&gt;0,J263/G263,"")</f>
        <v>39</v>
      </c>
      <c r="L263" s="153">
        <f>IF(I263&lt;&gt;0,I263/J263,"")</f>
        <v>5.846153846153846</v>
      </c>
      <c r="M263" s="272">
        <f>84918+52341+11404+7823+3207+2014+937+2034+556+1450+3725+228</f>
        <v>170637</v>
      </c>
      <c r="N263" s="268">
        <f>10694+7043+2046+1560+538+345+174+389+77+318+659+39</f>
        <v>23882</v>
      </c>
      <c r="O263" s="104">
        <f>IF(M263&lt;&gt;0,M263/N263,"")</f>
        <v>7.145004605979398</v>
      </c>
      <c r="P263" s="362"/>
    </row>
    <row r="264" spans="1:16" ht="15">
      <c r="A264" s="66">
        <v>262</v>
      </c>
      <c r="B264" s="293" t="s">
        <v>207</v>
      </c>
      <c r="C264" s="286">
        <v>39808</v>
      </c>
      <c r="D264" s="285" t="s">
        <v>132</v>
      </c>
      <c r="E264" s="285" t="s">
        <v>125</v>
      </c>
      <c r="F264" s="287">
        <v>34</v>
      </c>
      <c r="G264" s="287">
        <v>1</v>
      </c>
      <c r="H264" s="287">
        <v>8</v>
      </c>
      <c r="I264" s="288">
        <v>223</v>
      </c>
      <c r="J264" s="289">
        <v>37</v>
      </c>
      <c r="K264" s="290">
        <f>J264/G264</f>
        <v>37</v>
      </c>
      <c r="L264" s="291">
        <f>+I264/J264</f>
        <v>6.027027027027027</v>
      </c>
      <c r="M264" s="292">
        <v>802197</v>
      </c>
      <c r="N264" s="290">
        <v>90066</v>
      </c>
      <c r="O264" s="302">
        <f>+M264/N264</f>
        <v>8.906768369862101</v>
      </c>
      <c r="P264" s="364"/>
    </row>
    <row r="265" spans="1:16" ht="15">
      <c r="A265" s="66">
        <v>263</v>
      </c>
      <c r="B265" s="49" t="s">
        <v>49</v>
      </c>
      <c r="C265" s="40">
        <v>39710</v>
      </c>
      <c r="D265" s="44" t="s">
        <v>108</v>
      </c>
      <c r="E265" s="44" t="s">
        <v>108</v>
      </c>
      <c r="F265" s="41">
        <v>66</v>
      </c>
      <c r="G265" s="41">
        <v>1</v>
      </c>
      <c r="H265" s="41">
        <v>18</v>
      </c>
      <c r="I265" s="334">
        <v>184</v>
      </c>
      <c r="J265" s="335">
        <v>67</v>
      </c>
      <c r="K265" s="158">
        <f>(J265/G265)</f>
        <v>67</v>
      </c>
      <c r="L265" s="159">
        <f>I265/J265</f>
        <v>2.746268656716418</v>
      </c>
      <c r="M265" s="154">
        <f>152576+127511+68854.5+21974+10111.5+7103+7290+0.5+1014+3149+989+3524+0.5+3768+138+2528+257+351.5+573.5+184</f>
        <v>411897</v>
      </c>
      <c r="N265" s="155">
        <f>50018+825+47+65+137+67</f>
        <v>51159</v>
      </c>
      <c r="O265" s="105">
        <f>M265/N265</f>
        <v>8.051310619832288</v>
      </c>
      <c r="P265" s="363"/>
    </row>
    <row r="266" spans="1:16" ht="15">
      <c r="A266" s="66">
        <v>264</v>
      </c>
      <c r="B266" s="281" t="s">
        <v>170</v>
      </c>
      <c r="C266" s="40">
        <v>39472</v>
      </c>
      <c r="D266" s="261" t="s">
        <v>108</v>
      </c>
      <c r="E266" s="261" t="s">
        <v>108</v>
      </c>
      <c r="F266" s="262">
        <v>1</v>
      </c>
      <c r="G266" s="262">
        <v>1</v>
      </c>
      <c r="H266" s="262">
        <v>29</v>
      </c>
      <c r="I266" s="263">
        <v>183.5</v>
      </c>
      <c r="J266" s="264">
        <v>68</v>
      </c>
      <c r="K266" s="271">
        <f>+J266/G266</f>
        <v>68</v>
      </c>
      <c r="L266" s="153">
        <f>+I266/J266</f>
        <v>2.698529411764706</v>
      </c>
      <c r="M266" s="267">
        <f>395290.5+262822+75939+23709.5+4083+1327+9321+1445+1267+2173+4575+201+1748+3343+728+28+948+1329+163+182+173+15521.5+171+40+110+75+183.5</f>
        <v>806896</v>
      </c>
      <c r="N266" s="268">
        <f>47426+32442+9866+4010+887+225+2185+263+226+460+1077+33+367+887+230+4+139+355+32+35+32+3859+49+8+22+15+68</f>
        <v>105202</v>
      </c>
      <c r="O266" s="104">
        <f>+M266/N266</f>
        <v>7.669968251554153</v>
      </c>
      <c r="P266" s="364"/>
    </row>
    <row r="267" spans="1:16" ht="15">
      <c r="A267" s="66">
        <v>265</v>
      </c>
      <c r="B267" s="293" t="s">
        <v>164</v>
      </c>
      <c r="C267" s="286">
        <v>39766</v>
      </c>
      <c r="D267" s="285" t="s">
        <v>202</v>
      </c>
      <c r="E267" s="285" t="s">
        <v>203</v>
      </c>
      <c r="F267" s="287">
        <v>50</v>
      </c>
      <c r="G267" s="287">
        <v>1</v>
      </c>
      <c r="H267" s="287">
        <v>16</v>
      </c>
      <c r="I267" s="288">
        <v>174</v>
      </c>
      <c r="J267" s="289">
        <v>58</v>
      </c>
      <c r="K267" s="290">
        <f>J267/G267</f>
        <v>58</v>
      </c>
      <c r="L267" s="291">
        <f>I267/J267</f>
        <v>3</v>
      </c>
      <c r="M267" s="292">
        <v>225537</v>
      </c>
      <c r="N267" s="290">
        <v>32942</v>
      </c>
      <c r="O267" s="302">
        <f>M267/N267</f>
        <v>6.846487766377269</v>
      </c>
      <c r="P267" s="362"/>
    </row>
    <row r="268" spans="1:16" ht="15">
      <c r="A268" s="66">
        <v>266</v>
      </c>
      <c r="B268" s="293" t="s">
        <v>245</v>
      </c>
      <c r="C268" s="286">
        <v>39717</v>
      </c>
      <c r="D268" s="285" t="s">
        <v>137</v>
      </c>
      <c r="E268" s="285" t="s">
        <v>246</v>
      </c>
      <c r="F268" s="287">
        <v>199</v>
      </c>
      <c r="G268" s="287">
        <v>2</v>
      </c>
      <c r="H268" s="287">
        <v>10</v>
      </c>
      <c r="I268" s="288">
        <v>153</v>
      </c>
      <c r="J268" s="289">
        <v>32</v>
      </c>
      <c r="K268" s="290">
        <f>J268/G268</f>
        <v>16</v>
      </c>
      <c r="L268" s="291">
        <f>I268/J268</f>
        <v>4.78125</v>
      </c>
      <c r="M268" s="292">
        <v>1396188</v>
      </c>
      <c r="N268" s="290">
        <v>190962</v>
      </c>
      <c r="O268" s="302">
        <f>+M268/N268</f>
        <v>7.311339428786879</v>
      </c>
      <c r="P268" s="362"/>
    </row>
    <row r="269" spans="1:16" ht="15">
      <c r="A269" s="66">
        <v>267</v>
      </c>
      <c r="B269" s="293" t="s">
        <v>56</v>
      </c>
      <c r="C269" s="286">
        <v>39745</v>
      </c>
      <c r="D269" s="285" t="s">
        <v>137</v>
      </c>
      <c r="E269" s="285" t="s">
        <v>46</v>
      </c>
      <c r="F269" s="287">
        <v>104</v>
      </c>
      <c r="G269" s="287">
        <v>1</v>
      </c>
      <c r="H269" s="287">
        <v>18</v>
      </c>
      <c r="I269" s="288">
        <v>150</v>
      </c>
      <c r="J269" s="289">
        <v>28</v>
      </c>
      <c r="K269" s="290">
        <f>IF(I269&lt;&gt;0,J269/G269,"")</f>
        <v>28</v>
      </c>
      <c r="L269" s="291">
        <f>I269/J269</f>
        <v>5.357142857142857</v>
      </c>
      <c r="M269" s="292">
        <f>821522+622841.5+494230+434015.5+185757.5+145248.5+16130+16159+2033+6489+4346+3565+2540+1323+139+686+2328+150</f>
        <v>2759503</v>
      </c>
      <c r="N269" s="290">
        <f>99216+78381+65128+58419+30420+24530+3077+3918+431+1704+1003+785+507+195+19+106+426+28</f>
        <v>368293</v>
      </c>
      <c r="O269" s="302">
        <f>+M269/N269</f>
        <v>7.492683814245723</v>
      </c>
      <c r="P269" s="364">
        <v>1</v>
      </c>
    </row>
    <row r="270" spans="1:16" ht="15">
      <c r="A270" s="66">
        <v>268</v>
      </c>
      <c r="B270" s="293" t="s">
        <v>56</v>
      </c>
      <c r="C270" s="286">
        <v>39745</v>
      </c>
      <c r="D270" s="285" t="s">
        <v>137</v>
      </c>
      <c r="E270" s="285" t="s">
        <v>46</v>
      </c>
      <c r="F270" s="287">
        <v>104</v>
      </c>
      <c r="G270" s="287">
        <v>1</v>
      </c>
      <c r="H270" s="287">
        <v>15</v>
      </c>
      <c r="I270" s="288">
        <v>139</v>
      </c>
      <c r="J270" s="289">
        <v>19</v>
      </c>
      <c r="K270" s="290">
        <f>IF(I270&lt;&gt;0,J270/G270,"")</f>
        <v>19</v>
      </c>
      <c r="L270" s="291">
        <f>IF(I270&lt;&gt;0,I270/J270,"")</f>
        <v>7.315789473684211</v>
      </c>
      <c r="M270" s="292">
        <f>821522+622841.5+494230+434015.5+185757.5+145248.5+16130+16159+2033+6489+4346+3565+2540+1323+139</f>
        <v>2756339</v>
      </c>
      <c r="N270" s="290">
        <f>99216+78381+65128+58419+30420+24530+3077+3918+431+1704+1003+785+507+195+19</f>
        <v>367733</v>
      </c>
      <c r="O270" s="302">
        <f>IF(M270&lt;&gt;0,M270/N270,"")</f>
        <v>7.495489934272964</v>
      </c>
      <c r="P270" s="364">
        <v>1</v>
      </c>
    </row>
    <row r="271" spans="1:16" ht="15">
      <c r="A271" s="66">
        <v>269</v>
      </c>
      <c r="B271" s="234" t="s">
        <v>60</v>
      </c>
      <c r="C271" s="229">
        <v>39745</v>
      </c>
      <c r="D271" s="217" t="s">
        <v>135</v>
      </c>
      <c r="E271" s="227" t="s">
        <v>107</v>
      </c>
      <c r="F271" s="228">
        <v>7</v>
      </c>
      <c r="G271" s="228">
        <v>1</v>
      </c>
      <c r="H271" s="228">
        <v>11</v>
      </c>
      <c r="I271" s="324">
        <v>135</v>
      </c>
      <c r="J271" s="325">
        <v>23</v>
      </c>
      <c r="K271" s="223">
        <f>(J271/G271)</f>
        <v>23</v>
      </c>
      <c r="L271" s="224">
        <f>I271/J271</f>
        <v>5.869565217391305</v>
      </c>
      <c r="M271" s="225">
        <f>31758.5+8225.5+1958+2180+395+7254.5+494+2046+429+128+135</f>
        <v>55003.5</v>
      </c>
      <c r="N271" s="226">
        <f>2732+851+288+247+46+761+52+333+72+22+23</f>
        <v>5427</v>
      </c>
      <c r="O271" s="233">
        <f>M271/N271</f>
        <v>10.135157545605306</v>
      </c>
      <c r="P271" s="364"/>
    </row>
    <row r="272" spans="1:16" ht="15">
      <c r="A272" s="66">
        <v>270</v>
      </c>
      <c r="B272" s="293" t="s">
        <v>98</v>
      </c>
      <c r="C272" s="286">
        <v>39752</v>
      </c>
      <c r="D272" s="285" t="s">
        <v>132</v>
      </c>
      <c r="E272" s="285" t="s">
        <v>125</v>
      </c>
      <c r="F272" s="287">
        <v>45</v>
      </c>
      <c r="G272" s="287">
        <v>1</v>
      </c>
      <c r="H272" s="287">
        <v>14</v>
      </c>
      <c r="I272" s="288">
        <v>134</v>
      </c>
      <c r="J272" s="289">
        <v>22</v>
      </c>
      <c r="K272" s="290">
        <f>J272/G272</f>
        <v>22</v>
      </c>
      <c r="L272" s="291">
        <f>I272/J272</f>
        <v>6.090909090909091</v>
      </c>
      <c r="M272" s="292">
        <v>457245</v>
      </c>
      <c r="N272" s="290">
        <v>49875</v>
      </c>
      <c r="O272" s="302">
        <f>+M272/N272</f>
        <v>9.167819548872181</v>
      </c>
      <c r="P272" s="362"/>
    </row>
    <row r="273" spans="1:16" ht="15">
      <c r="A273" s="66">
        <v>271</v>
      </c>
      <c r="B273" s="49" t="s">
        <v>60</v>
      </c>
      <c r="C273" s="40">
        <v>39745</v>
      </c>
      <c r="D273" s="45" t="s">
        <v>135</v>
      </c>
      <c r="E273" s="44" t="s">
        <v>107</v>
      </c>
      <c r="F273" s="41">
        <v>7</v>
      </c>
      <c r="G273" s="41">
        <v>1</v>
      </c>
      <c r="H273" s="41">
        <v>10</v>
      </c>
      <c r="I273" s="330">
        <v>128</v>
      </c>
      <c r="J273" s="331">
        <v>22</v>
      </c>
      <c r="K273" s="158">
        <f>(J273/G273)</f>
        <v>22</v>
      </c>
      <c r="L273" s="159">
        <f>I273/J273</f>
        <v>5.818181818181818</v>
      </c>
      <c r="M273" s="150">
        <f>31758.5+8225.5+1958+2180+395+7254.5+494+2046+429+128</f>
        <v>54868.5</v>
      </c>
      <c r="N273" s="151">
        <f>2732+851+288+247+46+761+52+333+72+22</f>
        <v>5404</v>
      </c>
      <c r="O273" s="105">
        <f>M273/N273</f>
        <v>10.153312361213915</v>
      </c>
      <c r="P273" s="364"/>
    </row>
    <row r="274" spans="1:16" ht="15">
      <c r="A274" s="66">
        <v>272</v>
      </c>
      <c r="B274" s="293" t="s">
        <v>170</v>
      </c>
      <c r="C274" s="286">
        <v>39472</v>
      </c>
      <c r="D274" s="285" t="s">
        <v>108</v>
      </c>
      <c r="E274" s="285" t="s">
        <v>108</v>
      </c>
      <c r="F274" s="287">
        <v>1</v>
      </c>
      <c r="G274" s="287">
        <v>1</v>
      </c>
      <c r="H274" s="287">
        <v>30</v>
      </c>
      <c r="I274" s="288">
        <v>127</v>
      </c>
      <c r="J274" s="289">
        <v>46</v>
      </c>
      <c r="K274" s="290">
        <f>J274/G274</f>
        <v>46</v>
      </c>
      <c r="L274" s="291">
        <f>I274/J274</f>
        <v>2.760869565217391</v>
      </c>
      <c r="M274" s="292">
        <f>395290.5+262822+75939+23709.5+4083+1327+9321+1445+1267+2173+4575+201+1748+3343+728+28+948+1329+163+182+173+15521.5+171+40+110+75+183.5+127</f>
        <v>807023</v>
      </c>
      <c r="N274" s="290">
        <f>47426+32442+9866+4010+887+225+2185+263+226+460+1077+33+367+887+230+4+139+355+32+35+32+3859+49+8+22+15+68+46</f>
        <v>105248</v>
      </c>
      <c r="O274" s="302">
        <f>+M274/N274</f>
        <v>7.66782266646397</v>
      </c>
      <c r="P274" s="363"/>
    </row>
    <row r="275" spans="1:16" ht="15">
      <c r="A275" s="66">
        <v>273</v>
      </c>
      <c r="B275" s="293" t="s">
        <v>170</v>
      </c>
      <c r="C275" s="286">
        <v>39472</v>
      </c>
      <c r="D275" s="285" t="s">
        <v>133</v>
      </c>
      <c r="E275" s="285" t="s">
        <v>93</v>
      </c>
      <c r="F275" s="287">
        <v>1</v>
      </c>
      <c r="G275" s="287">
        <v>1</v>
      </c>
      <c r="H275" s="287">
        <v>31</v>
      </c>
      <c r="I275" s="288">
        <v>124.5</v>
      </c>
      <c r="J275" s="289">
        <v>45</v>
      </c>
      <c r="K275" s="290">
        <f>J275/G275</f>
        <v>45</v>
      </c>
      <c r="L275" s="291">
        <f>I275/J275</f>
        <v>2.7666666666666666</v>
      </c>
      <c r="M275" s="292">
        <f>395290.5+262822+75939+23709.5+4083+1327+9321+1445+1267+2173+4575+201+1748+3343+728+28+948+1329+163+182+173+15521.5+171+40+110+75+183.5+127+124.5</f>
        <v>807147.5</v>
      </c>
      <c r="N275" s="290">
        <f>47426+32442+9866+4010+887+225+2185+263+226+460+1077+33+367+887+230+4+139+355+32+35+32+3859+49+8+22+15+68+46+45</f>
        <v>105293</v>
      </c>
      <c r="O275" s="302">
        <f>+M275/N275</f>
        <v>7.665728016107433</v>
      </c>
      <c r="P275" s="362"/>
    </row>
    <row r="276" spans="1:16" ht="15">
      <c r="A276" s="66">
        <v>274</v>
      </c>
      <c r="B276" s="293" t="s">
        <v>22</v>
      </c>
      <c r="C276" s="286">
        <v>39787</v>
      </c>
      <c r="D276" s="285" t="s">
        <v>132</v>
      </c>
      <c r="E276" s="285" t="s">
        <v>139</v>
      </c>
      <c r="F276" s="287">
        <v>406</v>
      </c>
      <c r="G276" s="287">
        <v>1</v>
      </c>
      <c r="H276" s="287">
        <v>11</v>
      </c>
      <c r="I276" s="288">
        <v>110</v>
      </c>
      <c r="J276" s="289">
        <v>11</v>
      </c>
      <c r="K276" s="290">
        <f>J276/G276</f>
        <v>11</v>
      </c>
      <c r="L276" s="291">
        <f>+I276/J276</f>
        <v>10</v>
      </c>
      <c r="M276" s="292">
        <v>30391026</v>
      </c>
      <c r="N276" s="290">
        <v>3700053</v>
      </c>
      <c r="O276" s="302">
        <f>+M276/N276</f>
        <v>8.213673155492637</v>
      </c>
      <c r="P276" s="364"/>
    </row>
    <row r="277" spans="1:16" ht="15">
      <c r="A277" s="66">
        <v>275</v>
      </c>
      <c r="B277" s="53" t="s">
        <v>142</v>
      </c>
      <c r="C277" s="39">
        <v>39780</v>
      </c>
      <c r="D277" s="127" t="s">
        <v>79</v>
      </c>
      <c r="E277" s="127" t="s">
        <v>48</v>
      </c>
      <c r="F277" s="54">
        <v>3</v>
      </c>
      <c r="G277" s="54">
        <v>1</v>
      </c>
      <c r="H277" s="54">
        <v>6</v>
      </c>
      <c r="I277" s="341">
        <v>81</v>
      </c>
      <c r="J277" s="342">
        <v>13</v>
      </c>
      <c r="K277" s="161"/>
      <c r="L277" s="215">
        <f>IF(I277&lt;&gt;0,I277/J277,"")</f>
        <v>6.230769230769231</v>
      </c>
      <c r="M277" s="160">
        <v>42285.5</v>
      </c>
      <c r="N277" s="161">
        <v>3919</v>
      </c>
      <c r="O277" s="104">
        <f>IF(M277&lt;&gt;0,M277/N277,"")</f>
        <v>10.78986986476142</v>
      </c>
      <c r="P277" s="364">
        <v>1</v>
      </c>
    </row>
    <row r="278" spans="1:16" ht="15">
      <c r="A278" s="66">
        <v>276</v>
      </c>
      <c r="B278" s="49" t="s">
        <v>80</v>
      </c>
      <c r="C278" s="40">
        <v>39703</v>
      </c>
      <c r="D278" s="45" t="s">
        <v>135</v>
      </c>
      <c r="E278" s="44" t="s">
        <v>81</v>
      </c>
      <c r="F278" s="41">
        <v>6</v>
      </c>
      <c r="G278" s="41">
        <v>1</v>
      </c>
      <c r="H278" s="41">
        <v>14</v>
      </c>
      <c r="I278" s="330">
        <v>73</v>
      </c>
      <c r="J278" s="331">
        <v>11</v>
      </c>
      <c r="K278" s="158">
        <f>(J278/G278)</f>
        <v>11</v>
      </c>
      <c r="L278" s="159">
        <f>I278/J278</f>
        <v>6.636363636363637</v>
      </c>
      <c r="M278" s="150">
        <f>18453+18044+4959+3105.5+2221+2795+1156+907+1188+3416+108+86+53+73</f>
        <v>56564.5</v>
      </c>
      <c r="N278" s="151">
        <f>1896+1808+596+485+314+510+270+216+297+854+33+15+9+11</f>
        <v>7314</v>
      </c>
      <c r="O278" s="105">
        <f>M278/N278</f>
        <v>7.733729833196609</v>
      </c>
      <c r="P278" s="364"/>
    </row>
    <row r="279" spans="1:16" ht="15">
      <c r="A279" s="66">
        <v>277</v>
      </c>
      <c r="B279" s="49" t="s">
        <v>52</v>
      </c>
      <c r="C279" s="40">
        <v>39738</v>
      </c>
      <c r="D279" s="45" t="s">
        <v>135</v>
      </c>
      <c r="E279" s="44" t="s">
        <v>134</v>
      </c>
      <c r="F279" s="41">
        <v>65</v>
      </c>
      <c r="G279" s="41">
        <v>1</v>
      </c>
      <c r="H279" s="41">
        <v>13</v>
      </c>
      <c r="I279" s="330">
        <v>72</v>
      </c>
      <c r="J279" s="331">
        <v>12</v>
      </c>
      <c r="K279" s="158">
        <f>(J279/G279)</f>
        <v>12</v>
      </c>
      <c r="L279" s="159">
        <f>I279/J279</f>
        <v>6</v>
      </c>
      <c r="M279" s="150">
        <f>502954.7+385847+127398.5+41644+35371+15703.5+9494+704+1120.5+952+891+302+72</f>
        <v>1122454.2</v>
      </c>
      <c r="N279" s="151">
        <f>51438+39611+14487+7156+6343+2488+1591+176+567+238+149+50+12</f>
        <v>124306</v>
      </c>
      <c r="O279" s="105">
        <f>M279/N279</f>
        <v>9.029766865638022</v>
      </c>
      <c r="P279" s="363"/>
    </row>
    <row r="280" spans="1:16" ht="15">
      <c r="A280" s="66">
        <v>278</v>
      </c>
      <c r="B280" s="49" t="s">
        <v>99</v>
      </c>
      <c r="C280" s="40">
        <v>39724</v>
      </c>
      <c r="D280" s="45" t="s">
        <v>135</v>
      </c>
      <c r="E280" s="44" t="s">
        <v>107</v>
      </c>
      <c r="F280" s="41">
        <v>2</v>
      </c>
      <c r="G280" s="41">
        <v>1</v>
      </c>
      <c r="H280" s="41">
        <v>11</v>
      </c>
      <c r="I280" s="330">
        <v>67</v>
      </c>
      <c r="J280" s="331">
        <v>10</v>
      </c>
      <c r="K280" s="158">
        <f>(J280/G280)</f>
        <v>10</v>
      </c>
      <c r="L280" s="159">
        <f>I280/J280</f>
        <v>6.7</v>
      </c>
      <c r="M280" s="150">
        <f>10160+3974+2322+148+808+1106+1364.5+963+712+38+67</f>
        <v>21662.5</v>
      </c>
      <c r="N280" s="151">
        <f>966+422+271+18+130+124+165+258+178+6+10</f>
        <v>2548</v>
      </c>
      <c r="O280" s="105">
        <f>M280/N280</f>
        <v>8.501766091051806</v>
      </c>
      <c r="P280" s="362"/>
    </row>
    <row r="281" spans="1:16" ht="15">
      <c r="A281" s="66">
        <v>279</v>
      </c>
      <c r="B281" s="49" t="s">
        <v>61</v>
      </c>
      <c r="C281" s="40">
        <v>39752</v>
      </c>
      <c r="D281" s="45" t="s">
        <v>135</v>
      </c>
      <c r="E281" s="44" t="s">
        <v>113</v>
      </c>
      <c r="F281" s="41">
        <v>27</v>
      </c>
      <c r="G281" s="41">
        <v>1</v>
      </c>
      <c r="H281" s="41">
        <v>10</v>
      </c>
      <c r="I281" s="330">
        <v>67</v>
      </c>
      <c r="J281" s="331">
        <v>10</v>
      </c>
      <c r="K281" s="158">
        <f>(J281/G281)</f>
        <v>10</v>
      </c>
      <c r="L281" s="159">
        <f>I281/J281</f>
        <v>6.7</v>
      </c>
      <c r="M281" s="150">
        <f>122635.5+51150+18262+4454+16388.5+1375+1246+204+334+67</f>
        <v>216116</v>
      </c>
      <c r="N281" s="151">
        <f>11002+4826+2043+624+2156+227+195+32+110+10</f>
        <v>21225</v>
      </c>
      <c r="O281" s="105">
        <f>M281/N281</f>
        <v>10.182143698468787</v>
      </c>
      <c r="P281" s="362"/>
    </row>
    <row r="282" spans="1:16" ht="15">
      <c r="A282" s="66">
        <v>280</v>
      </c>
      <c r="B282" s="281" t="s">
        <v>99</v>
      </c>
      <c r="C282" s="40">
        <v>39724</v>
      </c>
      <c r="D282" s="127" t="s">
        <v>135</v>
      </c>
      <c r="E282" s="261" t="s">
        <v>107</v>
      </c>
      <c r="F282" s="262">
        <v>2</v>
      </c>
      <c r="G282" s="262">
        <v>1</v>
      </c>
      <c r="H282" s="262">
        <v>12</v>
      </c>
      <c r="I282" s="273">
        <v>64</v>
      </c>
      <c r="J282" s="274">
        <v>10</v>
      </c>
      <c r="K282" s="275">
        <f>(J282/G282)</f>
        <v>10</v>
      </c>
      <c r="L282" s="159">
        <f>I282/J282</f>
        <v>6.4</v>
      </c>
      <c r="M282" s="276">
        <f>10160+3974+2322+148+808+1106+1364.5+963+712+38+67+64</f>
        <v>21726.5</v>
      </c>
      <c r="N282" s="277">
        <f>966+422+271+18+130+124+165+258+178+6+10+10</f>
        <v>2558</v>
      </c>
      <c r="O282" s="105">
        <f>M282/N282</f>
        <v>8.493549648162627</v>
      </c>
      <c r="P282" s="362">
        <v>1</v>
      </c>
    </row>
    <row r="283" spans="1:16" ht="15">
      <c r="A283" s="66">
        <v>281</v>
      </c>
      <c r="B283" s="293" t="s">
        <v>260</v>
      </c>
      <c r="C283" s="286">
        <v>39731</v>
      </c>
      <c r="D283" s="285" t="s">
        <v>137</v>
      </c>
      <c r="E283" s="285" t="s">
        <v>261</v>
      </c>
      <c r="F283" s="287">
        <v>131</v>
      </c>
      <c r="G283" s="287">
        <v>1</v>
      </c>
      <c r="H283" s="287">
        <v>13</v>
      </c>
      <c r="I283" s="288">
        <v>55</v>
      </c>
      <c r="J283" s="289">
        <v>11</v>
      </c>
      <c r="K283" s="290">
        <f>IF(I283&lt;&gt;0,J283/G283,"")</f>
        <v>11</v>
      </c>
      <c r="L283" s="291">
        <f>IF(I283&lt;&gt;0,I283/J283,"")</f>
        <v>5</v>
      </c>
      <c r="M283" s="292">
        <v>1232074</v>
      </c>
      <c r="N283" s="290">
        <v>157539</v>
      </c>
      <c r="O283" s="302">
        <v>7.83</v>
      </c>
      <c r="P283" s="387">
        <v>1</v>
      </c>
    </row>
    <row r="284" spans="1:16" ht="15">
      <c r="A284" s="66">
        <v>282</v>
      </c>
      <c r="B284" s="281" t="s">
        <v>52</v>
      </c>
      <c r="C284" s="40">
        <v>39738</v>
      </c>
      <c r="D284" s="127" t="s">
        <v>135</v>
      </c>
      <c r="E284" s="261" t="s">
        <v>134</v>
      </c>
      <c r="F284" s="262">
        <v>65</v>
      </c>
      <c r="G284" s="262">
        <v>1</v>
      </c>
      <c r="H284" s="262">
        <v>14</v>
      </c>
      <c r="I284" s="273">
        <v>55</v>
      </c>
      <c r="J284" s="274">
        <v>9</v>
      </c>
      <c r="K284" s="275">
        <f>(J284/G284)</f>
        <v>9</v>
      </c>
      <c r="L284" s="159">
        <f>I284/J284</f>
        <v>6.111111111111111</v>
      </c>
      <c r="M284" s="276">
        <f>502954.7+385847+127398.5+41644+35371+15703.5+9494+704+1120.5+952+891+302+72+55</f>
        <v>1122509.2</v>
      </c>
      <c r="N284" s="277">
        <f>51438+39611+14487+7156+6343+2488+1591+176+567+238+149+50+12+9</f>
        <v>124315</v>
      </c>
      <c r="O284" s="105">
        <f>M284/N284</f>
        <v>9.029555564493423</v>
      </c>
      <c r="P284" s="364"/>
    </row>
    <row r="285" spans="1:16" ht="15">
      <c r="A285" s="66">
        <v>283</v>
      </c>
      <c r="B285" s="293" t="s">
        <v>44</v>
      </c>
      <c r="C285" s="286">
        <v>39780</v>
      </c>
      <c r="D285" s="285" t="s">
        <v>132</v>
      </c>
      <c r="E285" s="285" t="s">
        <v>128</v>
      </c>
      <c r="F285" s="287">
        <v>121</v>
      </c>
      <c r="G285" s="287">
        <v>2</v>
      </c>
      <c r="H285" s="287">
        <v>14</v>
      </c>
      <c r="I285" s="288">
        <v>54</v>
      </c>
      <c r="J285" s="289">
        <v>9</v>
      </c>
      <c r="K285" s="290">
        <f>J285/G285</f>
        <v>4.5</v>
      </c>
      <c r="L285" s="291">
        <f>+I285/J285</f>
        <v>6</v>
      </c>
      <c r="M285" s="292">
        <v>3456633</v>
      </c>
      <c r="N285" s="290">
        <v>406065</v>
      </c>
      <c r="O285" s="302">
        <f>+M285/N285</f>
        <v>8.51251154371837</v>
      </c>
      <c r="P285" s="364"/>
    </row>
    <row r="286" spans="1:16" ht="15">
      <c r="A286" s="66">
        <v>284</v>
      </c>
      <c r="B286" s="293" t="s">
        <v>44</v>
      </c>
      <c r="C286" s="286">
        <v>39780</v>
      </c>
      <c r="D286" s="285" t="s">
        <v>132</v>
      </c>
      <c r="E286" s="285" t="s">
        <v>128</v>
      </c>
      <c r="F286" s="287">
        <v>121</v>
      </c>
      <c r="G286" s="287">
        <v>2</v>
      </c>
      <c r="H286" s="287">
        <v>15</v>
      </c>
      <c r="I286" s="288">
        <v>50</v>
      </c>
      <c r="J286" s="289">
        <v>10</v>
      </c>
      <c r="K286" s="290">
        <f>J286/G286</f>
        <v>5</v>
      </c>
      <c r="L286" s="291">
        <f>+I286/J286</f>
        <v>5</v>
      </c>
      <c r="M286" s="292">
        <v>3456683</v>
      </c>
      <c r="N286" s="290">
        <v>406075</v>
      </c>
      <c r="O286" s="302">
        <f>+M286/N286</f>
        <v>8.512425044634611</v>
      </c>
      <c r="P286" s="364"/>
    </row>
    <row r="287" spans="1:16" ht="15">
      <c r="A287" s="66">
        <v>285</v>
      </c>
      <c r="B287" s="293" t="s">
        <v>146</v>
      </c>
      <c r="C287" s="286">
        <v>39801</v>
      </c>
      <c r="D287" s="285" t="s">
        <v>137</v>
      </c>
      <c r="E287" s="285" t="s">
        <v>147</v>
      </c>
      <c r="F287" s="287">
        <v>84</v>
      </c>
      <c r="G287" s="287">
        <v>1</v>
      </c>
      <c r="H287" s="287">
        <v>9</v>
      </c>
      <c r="I287" s="288">
        <v>50</v>
      </c>
      <c r="J287" s="289">
        <v>10</v>
      </c>
      <c r="K287" s="290">
        <f>IF(I287&lt;&gt;0,J287/G287,"")</f>
        <v>10</v>
      </c>
      <c r="L287" s="291">
        <f>IF(I287&lt;&gt;0,I287/J287,"")</f>
        <v>5</v>
      </c>
      <c r="M287" s="292">
        <f>369313.5+145108.5+43813+31258+11772.5+5392.5+2080+3225+50</f>
        <v>612013</v>
      </c>
      <c r="N287" s="290">
        <f>41017+16460+6346+5364+2357+1094+419+545+10</f>
        <v>73612</v>
      </c>
      <c r="O287" s="302">
        <f>+M287/N287</f>
        <v>8.314038471988264</v>
      </c>
      <c r="P287" s="364">
        <v>1</v>
      </c>
    </row>
    <row r="288" spans="1:16" ht="15">
      <c r="A288" s="66">
        <v>286</v>
      </c>
      <c r="B288" s="293" t="s">
        <v>150</v>
      </c>
      <c r="C288" s="286">
        <v>39801</v>
      </c>
      <c r="D288" s="285" t="s">
        <v>4</v>
      </c>
      <c r="E288" s="285" t="s">
        <v>77</v>
      </c>
      <c r="F288" s="287">
        <v>19</v>
      </c>
      <c r="G288" s="287">
        <v>1</v>
      </c>
      <c r="H288" s="287">
        <v>9</v>
      </c>
      <c r="I288" s="288">
        <v>43</v>
      </c>
      <c r="J288" s="289">
        <v>7</v>
      </c>
      <c r="K288" s="290">
        <f>+J288/G288</f>
        <v>7</v>
      </c>
      <c r="L288" s="291">
        <f>+I288/J288</f>
        <v>6.142857142857143</v>
      </c>
      <c r="M288" s="292">
        <v>140010</v>
      </c>
      <c r="N288" s="290">
        <v>13242</v>
      </c>
      <c r="O288" s="302">
        <f>+M288/N288</f>
        <v>10.573176257362936</v>
      </c>
      <c r="P288" s="364"/>
    </row>
    <row r="289" spans="1:16" ht="15">
      <c r="A289" s="66">
        <v>287</v>
      </c>
      <c r="B289" s="53" t="s">
        <v>150</v>
      </c>
      <c r="C289" s="39">
        <v>39801</v>
      </c>
      <c r="D289" s="127" t="s">
        <v>4</v>
      </c>
      <c r="E289" s="127" t="s">
        <v>77</v>
      </c>
      <c r="F289" s="50">
        <v>19</v>
      </c>
      <c r="G289" s="50">
        <v>1</v>
      </c>
      <c r="H289" s="50">
        <v>6</v>
      </c>
      <c r="I289" s="273">
        <v>40</v>
      </c>
      <c r="J289" s="274">
        <v>6</v>
      </c>
      <c r="K289" s="271">
        <f>+J289/G289</f>
        <v>6</v>
      </c>
      <c r="L289" s="153">
        <f>+I289/J289</f>
        <v>6.666666666666667</v>
      </c>
      <c r="M289" s="276">
        <v>137893</v>
      </c>
      <c r="N289" s="277">
        <v>12890</v>
      </c>
      <c r="O289" s="104">
        <f>+M289/N289</f>
        <v>10.697672614429791</v>
      </c>
      <c r="P289" s="362"/>
    </row>
    <row r="290" spans="1:16" ht="15">
      <c r="A290" s="66">
        <v>288</v>
      </c>
      <c r="B290" s="234" t="s">
        <v>99</v>
      </c>
      <c r="C290" s="229">
        <v>39724</v>
      </c>
      <c r="D290" s="217" t="s">
        <v>135</v>
      </c>
      <c r="E290" s="227" t="s">
        <v>107</v>
      </c>
      <c r="F290" s="228">
        <v>2</v>
      </c>
      <c r="G290" s="228">
        <v>1</v>
      </c>
      <c r="H290" s="228">
        <v>10</v>
      </c>
      <c r="I290" s="324">
        <v>38</v>
      </c>
      <c r="J290" s="325">
        <v>6</v>
      </c>
      <c r="K290" s="223">
        <f>(J290/G290)</f>
        <v>6</v>
      </c>
      <c r="L290" s="224">
        <f>I290/J290</f>
        <v>6.333333333333333</v>
      </c>
      <c r="M290" s="225">
        <f>10160+3974+2322+148+808+1106+1364.5+963+712+38</f>
        <v>21595.5</v>
      </c>
      <c r="N290" s="226">
        <f>966+422+271+18+130+124+165+258+178+6</f>
        <v>2538</v>
      </c>
      <c r="O290" s="233">
        <f>M290/N290</f>
        <v>8.50886524822695</v>
      </c>
      <c r="P290" s="363"/>
    </row>
    <row r="291" spans="1:16" ht="15">
      <c r="A291" s="66">
        <v>289</v>
      </c>
      <c r="B291" s="234" t="s">
        <v>61</v>
      </c>
      <c r="C291" s="229">
        <v>39752</v>
      </c>
      <c r="D291" s="217" t="s">
        <v>135</v>
      </c>
      <c r="E291" s="227" t="s">
        <v>113</v>
      </c>
      <c r="F291" s="228">
        <v>27</v>
      </c>
      <c r="G291" s="228">
        <v>1</v>
      </c>
      <c r="H291" s="228">
        <v>11</v>
      </c>
      <c r="I291" s="324">
        <v>36</v>
      </c>
      <c r="J291" s="325">
        <v>6</v>
      </c>
      <c r="K291" s="223">
        <f>(J291/G291)</f>
        <v>6</v>
      </c>
      <c r="L291" s="224">
        <f>I291/J291</f>
        <v>6</v>
      </c>
      <c r="M291" s="225">
        <f>122635.5+51150+18262+4454+16388.5+1375+1246+204+334+67+36</f>
        <v>216152</v>
      </c>
      <c r="N291" s="226">
        <f>11002+4826+2043+624+2156+227+195+32+110+10+6</f>
        <v>21231</v>
      </c>
      <c r="O291" s="233">
        <f>M291/N291</f>
        <v>10.180961801139842</v>
      </c>
      <c r="P291" s="363"/>
    </row>
    <row r="292" spans="1:16" ht="15">
      <c r="A292" s="66">
        <v>290</v>
      </c>
      <c r="B292" s="293" t="s">
        <v>44</v>
      </c>
      <c r="C292" s="286">
        <v>39780</v>
      </c>
      <c r="D292" s="285" t="s">
        <v>132</v>
      </c>
      <c r="E292" s="285" t="s">
        <v>128</v>
      </c>
      <c r="F292" s="287">
        <v>121</v>
      </c>
      <c r="G292" s="287">
        <v>1</v>
      </c>
      <c r="H292" s="287">
        <v>16</v>
      </c>
      <c r="I292" s="288">
        <v>15</v>
      </c>
      <c r="J292" s="289">
        <v>3</v>
      </c>
      <c r="K292" s="290">
        <f>J292/G292</f>
        <v>3</v>
      </c>
      <c r="L292" s="291">
        <f>+I292/J292</f>
        <v>5</v>
      </c>
      <c r="M292" s="292">
        <v>3456698</v>
      </c>
      <c r="N292" s="290">
        <v>406078</v>
      </c>
      <c r="O292" s="302">
        <f>+M292/N292</f>
        <v>8.512399095740227</v>
      </c>
      <c r="P292" s="387"/>
    </row>
    <row r="293" spans="1:16" ht="15">
      <c r="A293" s="66">
        <v>291</v>
      </c>
      <c r="B293" s="293" t="s">
        <v>49</v>
      </c>
      <c r="C293" s="286">
        <v>39710</v>
      </c>
      <c r="D293" s="285" t="s">
        <v>133</v>
      </c>
      <c r="E293" s="285" t="s">
        <v>180</v>
      </c>
      <c r="F293" s="287">
        <v>1</v>
      </c>
      <c r="G293" s="287">
        <v>1</v>
      </c>
      <c r="H293" s="287">
        <v>21</v>
      </c>
      <c r="I293" s="288">
        <v>15</v>
      </c>
      <c r="J293" s="289">
        <v>3</v>
      </c>
      <c r="K293" s="290">
        <f>(J293/G293)</f>
        <v>3</v>
      </c>
      <c r="L293" s="291">
        <f>I293/J293</f>
        <v>5</v>
      </c>
      <c r="M293" s="292">
        <f>152576+127511+68854.5+21974+10111.5+7103+7290+0.5+1014+3149+989+3524+0.5+3768+138+2528+257+351.5+573.5+184+3655+10+15</f>
        <v>415577</v>
      </c>
      <c r="N293" s="290">
        <f>50018+825+47+65+137+67+1215+2+3</f>
        <v>52379</v>
      </c>
      <c r="O293" s="302">
        <f>+M293/N293</f>
        <v>7.934038450524065</v>
      </c>
      <c r="P293" s="364"/>
    </row>
    <row r="294" spans="1:16" ht="15">
      <c r="A294" s="66">
        <v>292</v>
      </c>
      <c r="B294" s="293" t="s">
        <v>49</v>
      </c>
      <c r="C294" s="286">
        <v>39710</v>
      </c>
      <c r="D294" s="285" t="s">
        <v>133</v>
      </c>
      <c r="E294" s="285" t="s">
        <v>180</v>
      </c>
      <c r="F294" s="287">
        <v>1</v>
      </c>
      <c r="G294" s="287">
        <v>1</v>
      </c>
      <c r="H294" s="287">
        <v>23</v>
      </c>
      <c r="I294" s="288">
        <v>10</v>
      </c>
      <c r="J294" s="289">
        <v>2</v>
      </c>
      <c r="K294" s="290">
        <f>J294/G294</f>
        <v>2</v>
      </c>
      <c r="L294" s="291">
        <f>IF(I294&lt;&gt;0,I294/J294,"")</f>
        <v>5</v>
      </c>
      <c r="M294" s="292">
        <v>415587</v>
      </c>
      <c r="N294" s="290">
        <v>52381</v>
      </c>
      <c r="O294" s="302">
        <f>+M294/N294</f>
        <v>7.933926423703251</v>
      </c>
      <c r="P294" s="364"/>
    </row>
    <row r="295" spans="1:16" ht="15.75" thickBot="1">
      <c r="A295" s="66">
        <v>293</v>
      </c>
      <c r="B295" s="303" t="s">
        <v>49</v>
      </c>
      <c r="C295" s="304">
        <v>39710</v>
      </c>
      <c r="D295" s="305" t="s">
        <v>133</v>
      </c>
      <c r="E295" s="305" t="s">
        <v>13</v>
      </c>
      <c r="F295" s="306">
        <v>1</v>
      </c>
      <c r="G295" s="306">
        <v>1</v>
      </c>
      <c r="H295" s="306">
        <v>20</v>
      </c>
      <c r="I295" s="307">
        <v>10</v>
      </c>
      <c r="J295" s="308">
        <v>2</v>
      </c>
      <c r="K295" s="309">
        <f>J295/G295</f>
        <v>2</v>
      </c>
      <c r="L295" s="310">
        <f>I295/J295</f>
        <v>5</v>
      </c>
      <c r="M295" s="311">
        <f>152576+127511+68854.5+21974+10111.5+7103+7290+0.5+1014+3149+989+3524+0.5+3768+138+2528+257+351.5+573.5+184+3655+10</f>
        <v>415562</v>
      </c>
      <c r="N295" s="309">
        <f>50018+825+47+65+137+67+1215+2</f>
        <v>52376</v>
      </c>
      <c r="O295" s="312">
        <f>+M295/N295</f>
        <v>7.934206506797007</v>
      </c>
      <c r="P295" s="364"/>
    </row>
    <row r="296" spans="1:15" ht="12.75">
      <c r="A296" s="88"/>
      <c r="B296" s="89"/>
      <c r="C296" s="90"/>
      <c r="D296" s="90"/>
      <c r="E296" s="90"/>
      <c r="F296" s="95"/>
      <c r="G296" s="96"/>
      <c r="H296" s="97"/>
      <c r="I296" s="145">
        <f>SUM(I4:I295)</f>
        <v>14220318</v>
      </c>
      <c r="J296" s="134">
        <f>SUM(J4:J295)</f>
        <v>1879122</v>
      </c>
      <c r="K296" s="136"/>
      <c r="L296" s="142"/>
      <c r="M296" s="129"/>
      <c r="N296" s="136"/>
      <c r="O296" s="142"/>
    </row>
    <row r="297" spans="1:7" ht="12.75">
      <c r="A297" s="32"/>
      <c r="B297" s="30"/>
      <c r="C297" s="24"/>
      <c r="D297" s="24"/>
      <c r="E297" s="24"/>
      <c r="F297" s="98"/>
      <c r="G297" s="99"/>
    </row>
    <row r="298" spans="1:15" ht="13.5">
      <c r="A298" s="32"/>
      <c r="B298" s="30"/>
      <c r="C298" s="85"/>
      <c r="D298" s="86"/>
      <c r="E298" s="86"/>
      <c r="F298" s="24"/>
      <c r="G298" s="24"/>
      <c r="K298" s="437" t="s">
        <v>74</v>
      </c>
      <c r="L298" s="424"/>
      <c r="M298" s="424"/>
      <c r="N298" s="424"/>
      <c r="O298" s="424"/>
    </row>
    <row r="299" spans="1:15" ht="12.75">
      <c r="A299" s="32"/>
      <c r="B299" s="30"/>
      <c r="C299" s="86"/>
      <c r="D299" s="86"/>
      <c r="E299" s="86"/>
      <c r="F299" s="24"/>
      <c r="G299" s="24"/>
      <c r="K299" s="424"/>
      <c r="L299" s="424"/>
      <c r="M299" s="424"/>
      <c r="N299" s="424"/>
      <c r="O299" s="424"/>
    </row>
    <row r="300" spans="1:15" ht="12.75">
      <c r="A300" s="32"/>
      <c r="B300" s="30"/>
      <c r="C300" s="86"/>
      <c r="D300" s="86"/>
      <c r="E300" s="86"/>
      <c r="F300" s="24"/>
      <c r="G300" s="24"/>
      <c r="K300" s="424"/>
      <c r="L300" s="424"/>
      <c r="M300" s="424"/>
      <c r="N300" s="424"/>
      <c r="O300" s="424"/>
    </row>
    <row r="301" spans="1:15" ht="12.75">
      <c r="A301" s="32"/>
      <c r="B301" s="30"/>
      <c r="C301" s="86"/>
      <c r="D301" s="86"/>
      <c r="E301" s="86"/>
      <c r="F301" s="24"/>
      <c r="G301" s="24"/>
      <c r="K301" s="424"/>
      <c r="L301" s="424"/>
      <c r="M301" s="424"/>
      <c r="N301" s="424"/>
      <c r="O301" s="424"/>
    </row>
    <row r="302" spans="1:15" ht="12.75">
      <c r="A302" s="32"/>
      <c r="B302" s="30"/>
      <c r="C302" s="86"/>
      <c r="D302" s="86"/>
      <c r="E302" s="86"/>
      <c r="F302" s="24"/>
      <c r="G302" s="24"/>
      <c r="K302" s="424"/>
      <c r="L302" s="424"/>
      <c r="M302" s="424"/>
      <c r="N302" s="424"/>
      <c r="O302" s="424"/>
    </row>
    <row r="303" spans="1:15" ht="12.75">
      <c r="A303" s="32"/>
      <c r="B303" s="30"/>
      <c r="C303" s="86"/>
      <c r="D303" s="86"/>
      <c r="E303" s="86"/>
      <c r="F303" s="24"/>
      <c r="G303" s="24"/>
      <c r="K303" s="424"/>
      <c r="L303" s="424"/>
      <c r="M303" s="424"/>
      <c r="N303" s="424"/>
      <c r="O303" s="424"/>
    </row>
    <row r="304" spans="1:15" ht="12.75">
      <c r="A304" s="32"/>
      <c r="B304" s="30"/>
      <c r="C304" s="24"/>
      <c r="D304" s="86"/>
      <c r="E304" s="86"/>
      <c r="F304" s="98"/>
      <c r="G304" s="99"/>
      <c r="K304" s="138"/>
      <c r="L304" s="140"/>
      <c r="M304" s="132"/>
      <c r="N304" s="139"/>
      <c r="O304" s="140"/>
    </row>
    <row r="305" spans="1:15" ht="13.5">
      <c r="A305" s="32"/>
      <c r="B305" s="30"/>
      <c r="C305" s="87"/>
      <c r="D305" s="86"/>
      <c r="E305" s="86"/>
      <c r="F305" s="24"/>
      <c r="G305" s="24"/>
      <c r="K305" s="422" t="s">
        <v>0</v>
      </c>
      <c r="L305" s="423"/>
      <c r="M305" s="423"/>
      <c r="N305" s="424"/>
      <c r="O305" s="423"/>
    </row>
    <row r="306" spans="1:15" ht="12.75">
      <c r="A306" s="32"/>
      <c r="B306" s="30"/>
      <c r="C306" s="86"/>
      <c r="D306" s="86"/>
      <c r="E306" s="86"/>
      <c r="F306" s="24"/>
      <c r="G306" s="24"/>
      <c r="K306" s="423"/>
      <c r="L306" s="423"/>
      <c r="M306" s="423"/>
      <c r="N306" s="424"/>
      <c r="O306" s="423"/>
    </row>
    <row r="307" spans="1:15" ht="12.75">
      <c r="A307" s="32"/>
      <c r="B307" s="30"/>
      <c r="C307" s="86"/>
      <c r="D307" s="86"/>
      <c r="E307" s="86"/>
      <c r="F307" s="24"/>
      <c r="G307" s="24"/>
      <c r="K307" s="423"/>
      <c r="L307" s="423"/>
      <c r="M307" s="423"/>
      <c r="N307" s="424"/>
      <c r="O307" s="423"/>
    </row>
    <row r="308" spans="1:15" ht="12.75">
      <c r="A308" s="32"/>
      <c r="B308" s="30"/>
      <c r="C308" s="86"/>
      <c r="D308" s="86"/>
      <c r="E308" s="86"/>
      <c r="F308" s="24"/>
      <c r="G308" s="24"/>
      <c r="K308" s="423"/>
      <c r="L308" s="423"/>
      <c r="M308" s="423"/>
      <c r="N308" s="424"/>
      <c r="O308" s="423"/>
    </row>
    <row r="309" spans="1:15" ht="12.75">
      <c r="A309" s="32"/>
      <c r="B309" s="30"/>
      <c r="C309" s="86"/>
      <c r="D309" s="86"/>
      <c r="E309" s="86"/>
      <c r="F309" s="24"/>
      <c r="G309" s="24"/>
      <c r="K309" s="423"/>
      <c r="L309" s="423"/>
      <c r="M309" s="423"/>
      <c r="N309" s="424"/>
      <c r="O309" s="423"/>
    </row>
    <row r="310" spans="1:15" ht="12.75">
      <c r="A310" s="32"/>
      <c r="B310" s="30"/>
      <c r="C310" s="86"/>
      <c r="D310" s="86"/>
      <c r="E310" s="86"/>
      <c r="F310" s="24"/>
      <c r="G310" s="24"/>
      <c r="K310" s="423"/>
      <c r="L310" s="423"/>
      <c r="M310" s="423"/>
      <c r="N310" s="424"/>
      <c r="O310" s="423"/>
    </row>
    <row r="311" spans="1:15" ht="12.75">
      <c r="A311" s="32"/>
      <c r="B311" s="30"/>
      <c r="C311" s="30"/>
      <c r="D311" s="30"/>
      <c r="E311" s="30"/>
      <c r="F311" s="24"/>
      <c r="G311" s="24"/>
      <c r="K311" s="425"/>
      <c r="L311" s="425"/>
      <c r="M311" s="425"/>
      <c r="N311" s="426"/>
      <c r="O311" s="425"/>
    </row>
    <row r="312" spans="1:7" ht="12.75">
      <c r="A312" s="32"/>
      <c r="B312" s="30"/>
      <c r="C312" s="24"/>
      <c r="D312" s="24"/>
      <c r="E312" s="24"/>
      <c r="F312" s="98"/>
      <c r="G312" s="99"/>
    </row>
    <row r="313" spans="1:7" ht="12.75">
      <c r="A313" s="32"/>
      <c r="B313" s="30"/>
      <c r="C313" s="24"/>
      <c r="D313" s="24"/>
      <c r="E313" s="24"/>
      <c r="F313" s="98"/>
      <c r="G313" s="99"/>
    </row>
  </sheetData>
  <sheetProtection/>
  <mergeCells count="12">
    <mergeCell ref="A1:O1"/>
    <mergeCell ref="K298:O303"/>
    <mergeCell ref="B2:B3"/>
    <mergeCell ref="C2:C3"/>
    <mergeCell ref="D2:D3"/>
    <mergeCell ref="K305:O311"/>
    <mergeCell ref="G2:G3"/>
    <mergeCell ref="H2:H3"/>
    <mergeCell ref="I2:L2"/>
    <mergeCell ref="M2:O2"/>
    <mergeCell ref="E2:E3"/>
    <mergeCell ref="F2:F3"/>
  </mergeCells>
  <printOptions/>
  <pageMargins left="0.75" right="0.75" top="1" bottom="1" header="0.5" footer="0.5"/>
  <pageSetup orientation="portrait" paperSize="9"/>
  <ignoredErrors>
    <ignoredError sqref="L18:L45 M7:N8 M49:N49 M50:N50 L7:L17 L50 K18:K45 K46:K49 L46:L49 O18:O45 J259:K294 L259:L276 L278:L294" formula="1"/>
    <ignoredError sqref="M18:M45 N9:N17 N46:N48 M9:M17 M46:M48 N18:N45 L277 O260:O287" formula="1" unlockedFormula="1"/>
    <ignoredError sqref="I42:J49 M259:N294 O259 O288:O294" unlocked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11" sqref="A11"/>
    </sheetView>
  </sheetViews>
  <sheetFormatPr defaultColWidth="9.140625" defaultRowHeight="12.75"/>
  <cols>
    <col min="1" max="1" width="3.421875" style="181" bestFit="1" customWidth="1"/>
    <col min="2" max="2" width="6.28125" style="182" bestFit="1" customWidth="1"/>
    <col min="3" max="3" width="11.7109375" style="181" bestFit="1" customWidth="1"/>
    <col min="4" max="4" width="6.28125" style="206" bestFit="1" customWidth="1"/>
    <col min="5" max="5" width="14.7109375" style="207" bestFit="1" customWidth="1"/>
    <col min="6" max="6" width="11.7109375" style="206" bestFit="1" customWidth="1"/>
    <col min="7" max="7" width="3.421875" style="181" bestFit="1" customWidth="1"/>
    <col min="8" max="8" width="16.00390625" style="189" bestFit="1" customWidth="1"/>
    <col min="9" max="9" width="11.7109375" style="190" customWidth="1"/>
    <col min="10" max="10" width="7.7109375" style="198" bestFit="1" customWidth="1"/>
    <col min="11" max="11" width="9.140625" style="119" customWidth="1"/>
    <col min="12" max="12" width="10.421875" style="119" bestFit="1" customWidth="1"/>
    <col min="13" max="16384" width="9.140625" style="119" customWidth="1"/>
  </cols>
  <sheetData>
    <row r="1" spans="1:10" ht="15.75" thickBot="1">
      <c r="A1" s="171">
        <v>1</v>
      </c>
      <c r="B1" s="172" t="s">
        <v>109</v>
      </c>
      <c r="C1" s="173" t="s">
        <v>75</v>
      </c>
      <c r="D1" s="199">
        <v>45</v>
      </c>
      <c r="E1" s="200">
        <v>6658013.5</v>
      </c>
      <c r="F1" s="201">
        <v>793660</v>
      </c>
      <c r="G1" s="174">
        <v>17</v>
      </c>
      <c r="H1" s="183">
        <v>4239918.5</v>
      </c>
      <c r="I1" s="184">
        <v>539295</v>
      </c>
      <c r="J1" s="185">
        <f aca="true" t="shared" si="0" ref="J1:J11">SUM(I1/F1)</f>
        <v>0.679503817755714</v>
      </c>
    </row>
    <row r="2" spans="1:10" ht="15.75" thickBot="1">
      <c r="A2" s="171">
        <v>2</v>
      </c>
      <c r="B2" s="172" t="s">
        <v>85</v>
      </c>
      <c r="C2" s="173" t="s">
        <v>75</v>
      </c>
      <c r="D2" s="202">
        <v>43</v>
      </c>
      <c r="E2" s="200">
        <v>6639071.5</v>
      </c>
      <c r="F2" s="201">
        <v>832213</v>
      </c>
      <c r="G2" s="174">
        <v>17</v>
      </c>
      <c r="H2" s="183">
        <v>4079062</v>
      </c>
      <c r="I2" s="184">
        <v>562422</v>
      </c>
      <c r="J2" s="185">
        <f t="shared" si="0"/>
        <v>0.6758149656398061</v>
      </c>
    </row>
    <row r="3" spans="1:10" ht="15.75" thickBot="1">
      <c r="A3" s="171">
        <v>3</v>
      </c>
      <c r="B3" s="172" t="s">
        <v>100</v>
      </c>
      <c r="C3" s="173" t="s">
        <v>75</v>
      </c>
      <c r="D3" s="202">
        <v>53</v>
      </c>
      <c r="E3" s="200">
        <v>8733845</v>
      </c>
      <c r="F3" s="201">
        <v>1080261</v>
      </c>
      <c r="G3" s="174">
        <v>23</v>
      </c>
      <c r="H3" s="183">
        <v>5039182</v>
      </c>
      <c r="I3" s="184">
        <v>673682</v>
      </c>
      <c r="J3" s="185">
        <f t="shared" si="0"/>
        <v>0.6236289193074637</v>
      </c>
    </row>
    <row r="4" spans="1:10" ht="15.75" thickBot="1">
      <c r="A4" s="171">
        <v>4</v>
      </c>
      <c r="B4" s="172" t="s">
        <v>151</v>
      </c>
      <c r="C4" s="173" t="s">
        <v>75</v>
      </c>
      <c r="D4" s="202">
        <v>53</v>
      </c>
      <c r="E4" s="200">
        <v>8888659</v>
      </c>
      <c r="F4" s="201">
        <v>1070929</v>
      </c>
      <c r="G4" s="174">
        <v>23</v>
      </c>
      <c r="H4" s="183">
        <v>4693311.5</v>
      </c>
      <c r="I4" s="184">
        <v>608301</v>
      </c>
      <c r="J4" s="185">
        <f t="shared" si="0"/>
        <v>0.568012445269481</v>
      </c>
    </row>
    <row r="5" spans="1:10" ht="15.75" thickBot="1">
      <c r="A5" s="171">
        <v>5</v>
      </c>
      <c r="B5" s="172" t="s">
        <v>171</v>
      </c>
      <c r="C5" s="173" t="s">
        <v>172</v>
      </c>
      <c r="D5" s="202">
        <v>49</v>
      </c>
      <c r="E5" s="200">
        <v>8052708</v>
      </c>
      <c r="F5" s="201">
        <v>964107</v>
      </c>
      <c r="G5" s="174">
        <v>17</v>
      </c>
      <c r="H5" s="183">
        <v>3630761.5</v>
      </c>
      <c r="I5" s="184">
        <v>475853</v>
      </c>
      <c r="J5" s="185">
        <f t="shared" si="0"/>
        <v>0.4935686599101552</v>
      </c>
    </row>
    <row r="6" spans="1:10" ht="15.75" thickBot="1">
      <c r="A6" s="171">
        <v>6</v>
      </c>
      <c r="B6" s="172" t="s">
        <v>183</v>
      </c>
      <c r="C6" s="173" t="s">
        <v>172</v>
      </c>
      <c r="D6" s="202">
        <v>54</v>
      </c>
      <c r="E6" s="200">
        <v>6370282.5</v>
      </c>
      <c r="F6" s="201">
        <v>748726</v>
      </c>
      <c r="G6" s="174">
        <v>16</v>
      </c>
      <c r="H6" s="183">
        <v>2051397.5</v>
      </c>
      <c r="I6" s="184">
        <v>278469</v>
      </c>
      <c r="J6" s="185">
        <f t="shared" si="0"/>
        <v>0.3719237745183151</v>
      </c>
    </row>
    <row r="7" spans="1:10" ht="15.75" thickBot="1">
      <c r="A7" s="171">
        <v>7</v>
      </c>
      <c r="B7" s="172" t="s">
        <v>197</v>
      </c>
      <c r="C7" s="173" t="s">
        <v>172</v>
      </c>
      <c r="D7" s="202">
        <v>56</v>
      </c>
      <c r="E7" s="200">
        <v>20271309</v>
      </c>
      <c r="F7" s="201">
        <v>2575383</v>
      </c>
      <c r="G7" s="174">
        <v>20</v>
      </c>
      <c r="H7" s="183">
        <v>17871756.5</v>
      </c>
      <c r="I7" s="184">
        <v>2319917</v>
      </c>
      <c r="J7" s="185">
        <f t="shared" si="0"/>
        <v>0.9008046570160633</v>
      </c>
    </row>
    <row r="8" spans="1:10" ht="15.75" thickBot="1">
      <c r="A8" s="171">
        <v>8</v>
      </c>
      <c r="B8" s="172" t="s">
        <v>208</v>
      </c>
      <c r="C8" s="173" t="s">
        <v>172</v>
      </c>
      <c r="D8" s="202">
        <v>58</v>
      </c>
      <c r="E8" s="200">
        <v>12304820.5</v>
      </c>
      <c r="F8" s="201">
        <v>1540913</v>
      </c>
      <c r="G8" s="174">
        <v>18</v>
      </c>
      <c r="H8" s="183">
        <v>9751608</v>
      </c>
      <c r="I8" s="184">
        <v>1260008</v>
      </c>
      <c r="J8" s="185">
        <f t="shared" si="0"/>
        <v>0.8177022323778176</v>
      </c>
    </row>
    <row r="9" spans="1:10" ht="15.75" thickBot="1">
      <c r="A9" s="171">
        <v>9</v>
      </c>
      <c r="B9" s="172" t="s">
        <v>222</v>
      </c>
      <c r="C9" s="173" t="s">
        <v>221</v>
      </c>
      <c r="D9" s="202">
        <v>47</v>
      </c>
      <c r="E9" s="200">
        <v>7856404.5</v>
      </c>
      <c r="F9" s="201">
        <v>962930</v>
      </c>
      <c r="G9" s="174">
        <v>21</v>
      </c>
      <c r="H9" s="183">
        <v>4911121</v>
      </c>
      <c r="I9" s="184">
        <v>644142</v>
      </c>
      <c r="J9" s="185">
        <f t="shared" si="0"/>
        <v>0.6689395906244483</v>
      </c>
    </row>
    <row r="10" spans="1:10" ht="15.75" thickBot="1">
      <c r="A10" s="171">
        <v>10</v>
      </c>
      <c r="B10" s="172" t="s">
        <v>183</v>
      </c>
      <c r="C10" s="173" t="s">
        <v>221</v>
      </c>
      <c r="D10" s="202">
        <v>74</v>
      </c>
      <c r="E10" s="200">
        <v>5262665.5</v>
      </c>
      <c r="F10" s="201">
        <v>640692</v>
      </c>
      <c r="G10" s="174">
        <v>26</v>
      </c>
      <c r="H10" s="183">
        <v>2385212</v>
      </c>
      <c r="I10" s="184">
        <v>321514</v>
      </c>
      <c r="J10" s="185">
        <f t="shared" si="0"/>
        <v>0.5018230288500559</v>
      </c>
    </row>
    <row r="11" spans="1:10" ht="15.75" thickBot="1">
      <c r="A11" s="171">
        <v>11</v>
      </c>
      <c r="B11" s="172" t="s">
        <v>197</v>
      </c>
      <c r="C11" s="173" t="s">
        <v>221</v>
      </c>
      <c r="D11" s="202">
        <v>38</v>
      </c>
      <c r="E11" s="200">
        <v>10766623.5</v>
      </c>
      <c r="F11" s="201">
        <v>1381371</v>
      </c>
      <c r="G11" s="174">
        <v>16</v>
      </c>
      <c r="H11" s="183">
        <v>9267313</v>
      </c>
      <c r="I11" s="184">
        <v>1221193</v>
      </c>
      <c r="J11" s="185">
        <f t="shared" si="0"/>
        <v>0.8840441850885823</v>
      </c>
    </row>
    <row r="12" spans="1:10" ht="15.75" thickBot="1">
      <c r="A12" s="171"/>
      <c r="B12" s="172"/>
      <c r="C12" s="173"/>
      <c r="D12" s="202"/>
      <c r="E12" s="200"/>
      <c r="F12" s="201"/>
      <c r="G12" s="174"/>
      <c r="H12" s="183"/>
      <c r="I12" s="184"/>
      <c r="J12" s="185"/>
    </row>
    <row r="13" spans="1:10" ht="15.75" thickBot="1">
      <c r="A13" s="171"/>
      <c r="B13" s="172"/>
      <c r="C13" s="173"/>
      <c r="D13" s="202"/>
      <c r="E13" s="200"/>
      <c r="F13" s="201"/>
      <c r="G13" s="174"/>
      <c r="H13" s="183"/>
      <c r="I13" s="184"/>
      <c r="J13" s="185"/>
    </row>
    <row r="14" spans="1:10" ht="15.75" thickBot="1">
      <c r="A14" s="171"/>
      <c r="B14" s="172"/>
      <c r="C14" s="173"/>
      <c r="D14" s="202"/>
      <c r="E14" s="200"/>
      <c r="F14" s="201"/>
      <c r="G14" s="174"/>
      <c r="H14" s="183"/>
      <c r="I14" s="184"/>
      <c r="J14" s="185"/>
    </row>
    <row r="15" spans="1:10" ht="15.75" thickBot="1">
      <c r="A15" s="174"/>
      <c r="B15" s="172"/>
      <c r="C15" s="173"/>
      <c r="D15" s="202"/>
      <c r="E15" s="200"/>
      <c r="F15" s="201"/>
      <c r="G15" s="174"/>
      <c r="H15" s="183"/>
      <c r="I15" s="184"/>
      <c r="J15" s="185"/>
    </row>
    <row r="16" spans="1:10" ht="15.75" thickBot="1">
      <c r="A16" s="174"/>
      <c r="B16" s="172"/>
      <c r="C16" s="173"/>
      <c r="D16" s="202"/>
      <c r="E16" s="200"/>
      <c r="F16" s="201"/>
      <c r="G16" s="174"/>
      <c r="H16" s="183"/>
      <c r="I16" s="184"/>
      <c r="J16" s="185"/>
    </row>
    <row r="17" spans="1:10" ht="15.75" thickBot="1">
      <c r="A17" s="174"/>
      <c r="B17" s="172"/>
      <c r="C17" s="173"/>
      <c r="D17" s="202"/>
      <c r="E17" s="200"/>
      <c r="F17" s="201"/>
      <c r="G17" s="174"/>
      <c r="H17" s="183"/>
      <c r="I17" s="184"/>
      <c r="J17" s="185"/>
    </row>
    <row r="18" spans="1:10" ht="15.75" thickBot="1">
      <c r="A18" s="174"/>
      <c r="B18" s="172"/>
      <c r="C18" s="173"/>
      <c r="D18" s="202"/>
      <c r="E18" s="200"/>
      <c r="F18" s="201"/>
      <c r="G18" s="174"/>
      <c r="H18" s="183"/>
      <c r="I18" s="184"/>
      <c r="J18" s="185"/>
    </row>
    <row r="19" spans="1:15" ht="15.75" thickBot="1">
      <c r="A19" s="174"/>
      <c r="B19" s="172"/>
      <c r="C19" s="173"/>
      <c r="D19" s="202"/>
      <c r="E19" s="200"/>
      <c r="F19" s="201"/>
      <c r="G19" s="174"/>
      <c r="H19" s="183"/>
      <c r="I19" s="184"/>
      <c r="J19" s="185"/>
      <c r="N19" s="121"/>
      <c r="O19" s="122"/>
    </row>
    <row r="20" spans="1:12" ht="15.75" thickBot="1">
      <c r="A20" s="174"/>
      <c r="B20" s="172"/>
      <c r="C20" s="173"/>
      <c r="D20" s="202"/>
      <c r="E20" s="200"/>
      <c r="F20" s="201"/>
      <c r="G20" s="174"/>
      <c r="H20" s="183"/>
      <c r="I20" s="184"/>
      <c r="J20" s="185"/>
      <c r="L20" s="121"/>
    </row>
    <row r="21" spans="1:10" ht="15.75" thickBot="1">
      <c r="A21" s="174"/>
      <c r="B21" s="172"/>
      <c r="C21" s="173"/>
      <c r="D21" s="202"/>
      <c r="E21" s="200"/>
      <c r="F21" s="201"/>
      <c r="G21" s="174"/>
      <c r="H21" s="183"/>
      <c r="I21" s="184"/>
      <c r="J21" s="185"/>
    </row>
    <row r="22" spans="1:10" ht="15.75" thickBot="1">
      <c r="A22" s="174"/>
      <c r="B22" s="172"/>
      <c r="C22" s="173"/>
      <c r="D22" s="202"/>
      <c r="E22" s="200"/>
      <c r="F22" s="201"/>
      <c r="G22" s="174"/>
      <c r="H22" s="183"/>
      <c r="I22" s="184"/>
      <c r="J22" s="185"/>
    </row>
    <row r="23" spans="1:10" ht="15.75" thickBot="1">
      <c r="A23" s="174"/>
      <c r="B23" s="172"/>
      <c r="C23" s="173"/>
      <c r="D23" s="202"/>
      <c r="E23" s="200"/>
      <c r="F23" s="201"/>
      <c r="G23" s="174"/>
      <c r="H23" s="183"/>
      <c r="I23" s="184"/>
      <c r="J23" s="185"/>
    </row>
    <row r="24" spans="1:10" ht="15.75" thickBot="1">
      <c r="A24" s="174"/>
      <c r="B24" s="172"/>
      <c r="C24" s="173"/>
      <c r="D24" s="202"/>
      <c r="E24" s="200"/>
      <c r="F24" s="201"/>
      <c r="G24" s="174"/>
      <c r="H24" s="183"/>
      <c r="I24" s="184"/>
      <c r="J24" s="185"/>
    </row>
    <row r="25" spans="1:10" ht="15.75" thickBot="1">
      <c r="A25" s="174"/>
      <c r="B25" s="172"/>
      <c r="C25" s="173"/>
      <c r="D25" s="202"/>
      <c r="E25" s="200"/>
      <c r="F25" s="201"/>
      <c r="G25" s="174"/>
      <c r="H25" s="183"/>
      <c r="I25" s="184"/>
      <c r="J25" s="185"/>
    </row>
    <row r="26" spans="1:10" ht="15.75" thickBot="1">
      <c r="A26" s="174"/>
      <c r="B26" s="172"/>
      <c r="C26" s="173"/>
      <c r="D26" s="202"/>
      <c r="E26" s="200"/>
      <c r="F26" s="201"/>
      <c r="G26" s="174"/>
      <c r="H26" s="183"/>
      <c r="I26" s="184"/>
      <c r="J26" s="185"/>
    </row>
    <row r="27" spans="1:10" ht="15.75" thickBot="1">
      <c r="A27" s="174"/>
      <c r="B27" s="172"/>
      <c r="C27" s="173"/>
      <c r="D27" s="202"/>
      <c r="E27" s="200"/>
      <c r="F27" s="201"/>
      <c r="G27" s="174"/>
      <c r="H27" s="183"/>
      <c r="I27" s="184"/>
      <c r="J27" s="185"/>
    </row>
    <row r="28" spans="1:10" ht="15.75" thickBot="1">
      <c r="A28" s="174"/>
      <c r="B28" s="172"/>
      <c r="C28" s="173"/>
      <c r="D28" s="202"/>
      <c r="E28" s="200"/>
      <c r="F28" s="201"/>
      <c r="G28" s="174"/>
      <c r="H28" s="183"/>
      <c r="I28" s="184"/>
      <c r="J28" s="185"/>
    </row>
    <row r="29" spans="1:10" ht="15.75" thickBot="1">
      <c r="A29" s="174"/>
      <c r="B29" s="172"/>
      <c r="C29" s="173"/>
      <c r="D29" s="202"/>
      <c r="E29" s="200"/>
      <c r="F29" s="201"/>
      <c r="G29" s="174"/>
      <c r="H29" s="183"/>
      <c r="I29" s="184"/>
      <c r="J29" s="185"/>
    </row>
    <row r="30" spans="1:10" ht="15.75" thickBot="1">
      <c r="A30" s="174"/>
      <c r="B30" s="172"/>
      <c r="C30" s="173"/>
      <c r="D30" s="202"/>
      <c r="E30" s="200"/>
      <c r="F30" s="201"/>
      <c r="G30" s="174"/>
      <c r="H30" s="183"/>
      <c r="I30" s="184"/>
      <c r="J30" s="185"/>
    </row>
    <row r="31" spans="1:10" ht="15.75" thickBot="1">
      <c r="A31" s="174"/>
      <c r="B31" s="172"/>
      <c r="C31" s="173"/>
      <c r="D31" s="202"/>
      <c r="E31" s="200"/>
      <c r="F31" s="201"/>
      <c r="G31" s="174"/>
      <c r="H31" s="183"/>
      <c r="I31" s="184"/>
      <c r="J31" s="185"/>
    </row>
    <row r="32" spans="1:10" ht="15.75" thickBot="1">
      <c r="A32" s="174"/>
      <c r="B32" s="172"/>
      <c r="C32" s="173"/>
      <c r="D32" s="202"/>
      <c r="E32" s="200"/>
      <c r="F32" s="201"/>
      <c r="G32" s="174"/>
      <c r="H32" s="183"/>
      <c r="I32" s="184"/>
      <c r="J32" s="185"/>
    </row>
    <row r="33" spans="1:10" ht="15.75" thickBot="1">
      <c r="A33" s="174"/>
      <c r="B33" s="172"/>
      <c r="C33" s="173"/>
      <c r="D33" s="202"/>
      <c r="E33" s="200"/>
      <c r="F33" s="201"/>
      <c r="G33" s="174"/>
      <c r="H33" s="183"/>
      <c r="I33" s="184"/>
      <c r="J33" s="185"/>
    </row>
    <row r="34" spans="1:10" ht="15.75" thickBot="1">
      <c r="A34" s="174"/>
      <c r="B34" s="172"/>
      <c r="C34" s="173"/>
      <c r="D34" s="202"/>
      <c r="E34" s="200"/>
      <c r="F34" s="201"/>
      <c r="G34" s="174"/>
      <c r="H34" s="183"/>
      <c r="I34" s="184"/>
      <c r="J34" s="185"/>
    </row>
    <row r="35" spans="1:10" ht="15.75" thickBot="1">
      <c r="A35" s="174"/>
      <c r="B35" s="172"/>
      <c r="C35" s="173"/>
      <c r="D35" s="202"/>
      <c r="E35" s="200"/>
      <c r="F35" s="201"/>
      <c r="G35" s="174"/>
      <c r="H35" s="183"/>
      <c r="I35" s="184"/>
      <c r="J35" s="185"/>
    </row>
    <row r="36" spans="1:10" ht="15.75" thickBot="1">
      <c r="A36" s="174"/>
      <c r="B36" s="172"/>
      <c r="C36" s="173"/>
      <c r="D36" s="202"/>
      <c r="E36" s="200"/>
      <c r="F36" s="201"/>
      <c r="G36" s="174"/>
      <c r="H36" s="183"/>
      <c r="I36" s="184"/>
      <c r="J36" s="185"/>
    </row>
    <row r="37" spans="1:10" ht="15.75" thickBot="1">
      <c r="A37" s="174"/>
      <c r="B37" s="172"/>
      <c r="C37" s="173"/>
      <c r="D37" s="202"/>
      <c r="E37" s="200"/>
      <c r="F37" s="201"/>
      <c r="G37" s="174"/>
      <c r="H37" s="183"/>
      <c r="I37" s="184"/>
      <c r="J37" s="185"/>
    </row>
    <row r="38" spans="1:10" ht="15.75" thickBot="1">
      <c r="A38" s="174"/>
      <c r="B38" s="172"/>
      <c r="C38" s="173"/>
      <c r="D38" s="202"/>
      <c r="E38" s="200"/>
      <c r="F38" s="201"/>
      <c r="G38" s="174"/>
      <c r="H38" s="183"/>
      <c r="I38" s="184"/>
      <c r="J38" s="185"/>
    </row>
    <row r="39" spans="1:10" ht="15.75" thickBot="1">
      <c r="A39" s="174"/>
      <c r="B39" s="172"/>
      <c r="C39" s="173"/>
      <c r="D39" s="202"/>
      <c r="E39" s="200"/>
      <c r="F39" s="201"/>
      <c r="G39" s="174"/>
      <c r="H39" s="183"/>
      <c r="I39" s="184"/>
      <c r="J39" s="185"/>
    </row>
    <row r="40" spans="1:10" ht="15.75" thickBot="1">
      <c r="A40" s="174"/>
      <c r="B40" s="172"/>
      <c r="C40" s="173"/>
      <c r="D40" s="202"/>
      <c r="E40" s="200"/>
      <c r="F40" s="201"/>
      <c r="G40" s="174"/>
      <c r="H40" s="183"/>
      <c r="I40" s="184"/>
      <c r="J40" s="185"/>
    </row>
    <row r="41" spans="1:10" ht="15.75" thickBot="1">
      <c r="A41" s="174"/>
      <c r="B41" s="172"/>
      <c r="C41" s="173"/>
      <c r="D41" s="202"/>
      <c r="E41" s="200"/>
      <c r="F41" s="201"/>
      <c r="G41" s="174"/>
      <c r="H41" s="183"/>
      <c r="I41" s="184"/>
      <c r="J41" s="185"/>
    </row>
    <row r="42" spans="1:10" ht="15.75" thickBot="1">
      <c r="A42" s="174"/>
      <c r="B42" s="172"/>
      <c r="C42" s="173"/>
      <c r="D42" s="202"/>
      <c r="E42" s="200"/>
      <c r="F42" s="201"/>
      <c r="G42" s="174"/>
      <c r="H42" s="183"/>
      <c r="I42" s="184"/>
      <c r="J42" s="185"/>
    </row>
    <row r="43" spans="1:10" ht="15.75" thickBot="1">
      <c r="A43" s="174"/>
      <c r="B43" s="172"/>
      <c r="C43" s="173"/>
      <c r="D43" s="202"/>
      <c r="E43" s="200"/>
      <c r="F43" s="201"/>
      <c r="G43" s="174"/>
      <c r="H43" s="183"/>
      <c r="I43" s="184"/>
      <c r="J43" s="185"/>
    </row>
    <row r="44" spans="1:10" ht="15.75" thickBot="1">
      <c r="A44" s="174"/>
      <c r="B44" s="172"/>
      <c r="C44" s="173"/>
      <c r="D44" s="202"/>
      <c r="E44" s="200"/>
      <c r="F44" s="201"/>
      <c r="G44" s="174"/>
      <c r="H44" s="183"/>
      <c r="I44" s="184"/>
      <c r="J44" s="185"/>
    </row>
    <row r="45" spans="1:10" ht="15.75" thickBot="1">
      <c r="A45" s="174"/>
      <c r="B45" s="172"/>
      <c r="C45" s="173"/>
      <c r="D45" s="202"/>
      <c r="E45" s="200"/>
      <c r="F45" s="201"/>
      <c r="G45" s="174"/>
      <c r="H45" s="183"/>
      <c r="I45" s="184"/>
      <c r="J45" s="185"/>
    </row>
    <row r="46" spans="1:10" ht="15.75" thickBot="1">
      <c r="A46" s="174"/>
      <c r="B46" s="172"/>
      <c r="C46" s="173"/>
      <c r="D46" s="202"/>
      <c r="E46" s="200"/>
      <c r="F46" s="201"/>
      <c r="G46" s="174"/>
      <c r="H46" s="183"/>
      <c r="I46" s="184"/>
      <c r="J46" s="185"/>
    </row>
    <row r="47" spans="1:10" ht="15.75" thickBot="1">
      <c r="A47" s="174"/>
      <c r="B47" s="172"/>
      <c r="C47" s="173"/>
      <c r="D47" s="202"/>
      <c r="E47" s="200"/>
      <c r="F47" s="201"/>
      <c r="G47" s="174"/>
      <c r="H47" s="183"/>
      <c r="I47" s="184"/>
      <c r="J47" s="185"/>
    </row>
    <row r="48" spans="1:10" ht="15.75" thickBot="1">
      <c r="A48" s="174"/>
      <c r="B48" s="172"/>
      <c r="C48" s="173"/>
      <c r="D48" s="202"/>
      <c r="E48" s="200"/>
      <c r="F48" s="201"/>
      <c r="G48" s="174"/>
      <c r="H48" s="183"/>
      <c r="I48" s="184"/>
      <c r="J48" s="185"/>
    </row>
    <row r="49" spans="1:10" ht="15.75" thickBot="1">
      <c r="A49" s="174"/>
      <c r="B49" s="172"/>
      <c r="C49" s="173"/>
      <c r="D49" s="202"/>
      <c r="E49" s="200"/>
      <c r="F49" s="201"/>
      <c r="G49" s="174"/>
      <c r="H49" s="183"/>
      <c r="I49" s="184"/>
      <c r="J49" s="185"/>
    </row>
    <row r="50" spans="1:10" ht="15.75" thickBot="1">
      <c r="A50" s="174"/>
      <c r="B50" s="172"/>
      <c r="C50" s="173"/>
      <c r="D50" s="202"/>
      <c r="E50" s="200"/>
      <c r="F50" s="201"/>
      <c r="G50" s="174"/>
      <c r="H50" s="183"/>
      <c r="I50" s="184"/>
      <c r="J50" s="185"/>
    </row>
    <row r="51" spans="1:10" ht="15.75" thickBot="1">
      <c r="A51" s="174"/>
      <c r="B51" s="172"/>
      <c r="C51" s="173"/>
      <c r="D51" s="202"/>
      <c r="E51" s="200"/>
      <c r="F51" s="201"/>
      <c r="G51" s="174"/>
      <c r="H51" s="183"/>
      <c r="I51" s="184"/>
      <c r="J51" s="185"/>
    </row>
    <row r="52" spans="1:10" ht="15.75" thickBot="1">
      <c r="A52" s="174"/>
      <c r="B52" s="172"/>
      <c r="C52" s="173"/>
      <c r="D52" s="202"/>
      <c r="E52" s="200"/>
      <c r="F52" s="201"/>
      <c r="G52" s="174"/>
      <c r="H52" s="183"/>
      <c r="I52" s="184"/>
      <c r="J52" s="185"/>
    </row>
    <row r="53" spans="1:10" ht="15">
      <c r="A53" s="175"/>
      <c r="B53" s="176"/>
      <c r="C53" s="177"/>
      <c r="D53" s="203"/>
      <c r="E53" s="204"/>
      <c r="F53" s="205"/>
      <c r="G53" s="175"/>
      <c r="H53" s="186"/>
      <c r="I53" s="187"/>
      <c r="J53" s="188"/>
    </row>
    <row r="54" spans="1:10" ht="15">
      <c r="A54" s="175"/>
      <c r="B54" s="176"/>
      <c r="C54" s="177"/>
      <c r="F54" s="205"/>
      <c r="J54" s="188"/>
    </row>
    <row r="55" spans="1:10" ht="15">
      <c r="A55" s="175"/>
      <c r="B55" s="176"/>
      <c r="C55" s="177"/>
      <c r="F55" s="205"/>
      <c r="J55" s="188"/>
    </row>
    <row r="56" spans="1:10" ht="15">
      <c r="A56" s="175"/>
      <c r="B56" s="176"/>
      <c r="C56" s="177"/>
      <c r="F56" s="205"/>
      <c r="J56" s="188"/>
    </row>
    <row r="57" spans="1:10" ht="15">
      <c r="A57" s="442">
        <v>2009</v>
      </c>
      <c r="B57" s="443"/>
      <c r="C57" s="444"/>
      <c r="D57" s="208">
        <f>SUM(D1:D56)</f>
        <v>570</v>
      </c>
      <c r="E57" s="209">
        <f>SUM(E1:E56)</f>
        <v>101804402.5</v>
      </c>
      <c r="F57" s="210">
        <f>SUM(F1:F56)</f>
        <v>12591185</v>
      </c>
      <c r="G57" s="191"/>
      <c r="H57" s="192">
        <f>SUM(H1:H56)</f>
        <v>67920643.5</v>
      </c>
      <c r="I57" s="193">
        <f>SUM(I1:I56)</f>
        <v>8904796</v>
      </c>
      <c r="J57" s="194">
        <f>SUM(I57/F57)</f>
        <v>0.707224617857652</v>
      </c>
    </row>
    <row r="58" spans="1:10" s="120" customFormat="1" ht="15">
      <c r="A58" s="445"/>
      <c r="B58" s="446"/>
      <c r="C58" s="447"/>
      <c r="D58" s="211"/>
      <c r="E58" s="204"/>
      <c r="F58" s="205"/>
      <c r="G58" s="175"/>
      <c r="H58" s="186"/>
      <c r="I58" s="187"/>
      <c r="J58" s="188"/>
    </row>
    <row r="59" spans="1:10" ht="15">
      <c r="A59" s="175"/>
      <c r="B59" s="176"/>
      <c r="C59" s="177"/>
      <c r="D59" s="203"/>
      <c r="E59" s="204"/>
      <c r="F59" s="205"/>
      <c r="G59" s="175"/>
      <c r="H59" s="186"/>
      <c r="I59" s="187"/>
      <c r="J59" s="188"/>
    </row>
    <row r="60" spans="1:10" ht="15.75" thickBot="1">
      <c r="A60" s="178"/>
      <c r="B60" s="179"/>
      <c r="C60" s="180"/>
      <c r="D60" s="212"/>
      <c r="E60" s="213"/>
      <c r="F60" s="214"/>
      <c r="G60" s="178"/>
      <c r="H60" s="195"/>
      <c r="I60" s="196"/>
      <c r="J60" s="197"/>
    </row>
    <row r="63" ht="15">
      <c r="H63" s="190"/>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2009-03-21T07:39:44Z</dcterms:modified>
  <cp:category/>
  <cp:version/>
  <cp:contentType/>
  <cp:contentStatus/>
</cp:coreProperties>
</file>